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656E3279-3FA6-3649-8626-EF712FD58645}"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T221" i="1"/>
  <c r="BT222" i="1"/>
  <c r="BT223" i="1"/>
  <c r="BT224" i="1"/>
  <c r="BF225" i="1"/>
  <c r="BT225" i="1"/>
  <c r="BF226" i="1"/>
  <c r="BT226" i="1"/>
  <c r="BT227" i="1"/>
  <c r="BT228"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T297" i="1"/>
  <c r="BT298" i="1"/>
  <c r="BT299" i="1"/>
  <c r="BT300" i="1"/>
  <c r="BT301" i="1"/>
  <c r="BT302" i="1"/>
  <c r="BF303" i="1"/>
  <c r="BT303" i="1"/>
  <c r="BT304" i="1"/>
  <c r="BT305" i="1"/>
  <c r="BF306" i="1"/>
  <c r="BT306" i="1"/>
  <c r="BT307" i="1"/>
  <c r="BF308" i="1"/>
  <c r="BT308" i="1"/>
  <c r="BF309" i="1"/>
  <c r="BT309" i="1"/>
  <c r="BF310" i="1"/>
  <c r="BT310" i="1"/>
  <c r="BF311" i="1"/>
  <c r="BT311" i="1"/>
  <c r="BT312" i="1"/>
  <c r="BT313"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T329" i="1"/>
  <c r="BF330" i="1"/>
  <c r="BT330" i="1"/>
  <c r="BF331" i="1"/>
  <c r="BT331" i="1"/>
  <c r="BF332" i="1"/>
  <c r="BT332" i="1"/>
  <c r="BF333" i="1"/>
  <c r="BT333" i="1"/>
  <c r="BF334" i="1"/>
  <c r="BT334" i="1"/>
  <c r="BF335" i="1"/>
  <c r="BT335" i="1"/>
  <c r="BT336" i="1"/>
  <c r="BF337" i="1"/>
  <c r="BT337" i="1"/>
  <c r="BF338" i="1"/>
  <c r="BT338" i="1"/>
  <c r="BF339" i="1"/>
  <c r="BT339" i="1"/>
  <c r="BT340"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T356" i="1"/>
  <c r="BT357" i="1"/>
  <c r="BT358" i="1"/>
  <c r="BT359" i="1"/>
  <c r="BF360" i="1"/>
  <c r="BT360" i="1"/>
  <c r="BF361" i="1"/>
  <c r="BT361" i="1"/>
  <c r="BF362" i="1"/>
  <c r="BT362" i="1"/>
  <c r="BF363" i="1"/>
  <c r="BT363" i="1"/>
  <c r="BF364" i="1"/>
  <c r="BT364"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T500" i="1"/>
  <c r="BT501" i="1"/>
  <c r="BT502" i="1"/>
  <c r="BT503" i="1"/>
  <c r="BT504" i="1"/>
  <c r="BT505" i="1"/>
  <c r="BT506" i="1"/>
  <c r="BT507" i="1"/>
  <c r="BT508" i="1"/>
  <c r="BT509" i="1"/>
  <c r="BT510" i="1"/>
  <c r="BT511" i="1"/>
  <c r="BT512" i="1"/>
  <c r="BT513" i="1"/>
  <c r="BT514" i="1"/>
  <c r="BT515" i="1"/>
  <c r="BT516" i="1"/>
  <c r="BT517" i="1"/>
  <c r="BT518" i="1"/>
  <c r="BT519" i="1"/>
  <c r="BT520" i="1"/>
  <c r="BT521" i="1"/>
  <c r="BT522" i="1"/>
  <c r="BT523" i="1"/>
  <c r="BT524" i="1"/>
  <c r="BT525" i="1"/>
  <c r="BT526" i="1"/>
  <c r="BT527" i="1"/>
  <c r="BT528" i="1"/>
  <c r="BT529" i="1"/>
  <c r="BT530" i="1"/>
  <c r="BT531" i="1"/>
  <c r="BT532" i="1"/>
  <c r="BT533" i="1"/>
  <c r="BT534" i="1"/>
  <c r="BT535" i="1"/>
  <c r="BT536" i="1"/>
  <c r="BT537" i="1"/>
  <c r="BT538" i="1"/>
  <c r="BF539" i="1"/>
  <c r="BT539" i="1"/>
  <c r="BF540" i="1"/>
  <c r="BT540" i="1"/>
  <c r="BF541" i="1"/>
  <c r="BT541" i="1"/>
  <c r="BF542" i="1"/>
  <c r="BT542" i="1"/>
  <c r="BF543" i="1"/>
  <c r="BT543"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T568" i="1"/>
  <c r="BT569" i="1"/>
  <c r="BT570" i="1"/>
  <c r="BT571" i="1"/>
  <c r="BF572" i="1"/>
  <c r="BT572" i="1"/>
  <c r="BF573" i="1"/>
  <c r="BT573" i="1"/>
  <c r="BT574" i="1"/>
  <c r="BT575" i="1"/>
  <c r="BT576" i="1"/>
  <c r="BT577"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<sst xmlns="http://schemas.openxmlformats.org/spreadsheetml/2006/main" count="59976" uniqueCount="18904">
  <si>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</si>
  <si>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</si>
  <si>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</si>
  <si>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</si>
  <si>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</si>
  <si>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</si>
  <si>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</si>
  <si>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</si>
  <si>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</si>
  <si>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</si>
  <si>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</si>
  <si>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</si>
  <si>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</si>
  <si>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</si>
  <si>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</si>
  <si>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</si>
  <si>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</si>
  <si>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</si>
  <si>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</si>
  <si>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</si>
  <si>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</si>
  <si>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</si>
  <si>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</si>
  <si>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</si>
  <si>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</si>
  <si>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</si>
  <si>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</si>
  <si>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</si>
  <si>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</si>
  <si>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</si>
  <si>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</si>
  <si>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</si>
  <si>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</si>
  <si>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</si>
  <si>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</si>
  <si>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</si>
  <si>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</si>
  <si>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</si>
  <si>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</si>
  <si>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</si>
  <si>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</si>
  <si>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</si>
  <si>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</si>
  <si>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</si>
  <si>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</si>
  <si>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</si>
  <si>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</si>
  <si>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</si>
  <si>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</si>
  <si>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</si>
  <si>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</si>
  <si>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</si>
  <si>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</si>
  <si>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</si>
  <si>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</si>
  <si>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</si>
  <si>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</si>
  <si>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</si>
  <si>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</si>
  <si>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</si>
  <si>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</si>
  <si>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</si>
  <si>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</si>
  <si>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</si>
  <si>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</si>
  <si>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</si>
  <si>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</si>
  <si>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</si>
  <si>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</si>
  <si>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</si>
  <si>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</si>
  <si>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</si>
  <si>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</si>
  <si>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Durán, J; Rodríguez, A; Fangueiro, D; De los Ríos, A</t>
  </si>
  <si>
    <t/>
  </si>
  <si>
    <t>Duran, J.; Rodriguez, A.; Fangueiro, D.; De los Rios, A.</t>
  </si>
  <si>
    <t>In-situ soil greenhouse gas fluxes under different cryptogamic covers in maritime Antarctica</t>
  </si>
  <si>
    <t>SCIENCE OF THE TOTAL ENVIRONMENT</t>
  </si>
  <si>
    <t>English</t>
  </si>
  <si>
    <t>Article</t>
  </si>
  <si>
    <t>Nitrous oxide; Methane; Carbon dioxide; Cryptogams; Trace gases; Polar areas</t>
  </si>
  <si>
    <t>NITROUS-OXIDE FLUXES; CLIMATE-CHANGE; METHANE; PLANT; CO2; TEMPERATURE; VEGETATION; EMISSIONS; CYCLES; CH4</t>
  </si>
  <si>
    <t>Soils can influence climate by sequestering or emitting greenhouse gases (GHG) such as carbon dioxide (CO2), methane (CH4), and nitrous oxide (N2O). We are far from understanding the direct influence of cryptogamic covers on soil GHG fluxes, particularly in areas free of potential anthropogenic confounding factors. We assessed the role ofwell-developed cryptogamic covers in soil attributes, as well as in the in-situ exchange of GHG between Antarctic soils and the atmosphere during the austral summer. We found lower values of soil organic matter, total organic carbon, and total nitrogen in bare areas than in soils covered by mosses and, particularly, lichens. These differences, together with concomitant decreases and increases in soil temperature and moisture, respectively, resulted in increases in in-situ CO2 emission (i.e. ecosystem respiration) and decreases in CH4 uptake but no significant changes in N2O fluxes. We found consistent linear positive and negative relationships between soil attributes (i.e. soil organic matter, total organic carbon and total nitrogen) and CO2 emissions and CH4 uptake, respectively, and polynomial relationships between these soil attributes and net N2O fluxes. Our results indicate that any increase in the area occupied by cryptogams in terrestrial Antarctic ecosystems (due to increased growing season and increasingly warming conditions) will likely result in parallel increases in soil fertility as well as in an enhanced capacity to emit CO2 and a decreased capacity to uptake CH4. Suchchanges, unless offset by parallel C uptake processes, would represent a paradigmatic example of a positive climate change feedback. Further, we show that the fate of these terrestrial ecosystems under future climate scenarios, as well as their capacity to exchange GHG with the atmosphere might depend on the relative ability of different above-ground cryptogams to thrive under the new conditions. (C) 2021 Elsevier B.V. All rights reserved.</t>
  </si>
  <si>
    <t>[Duran, J.; Rodriguez, A.] Univ Coimbra, Ctr Funct Ecol, Dept Life Sci, P-3000456 Coimbra, Portugal; [Fangueiro, D.] Univ Lisbon, Inst Super Agron, LEAF, P-1349017 Lisbon, Portugal; [De los Rios, A.] CSIC, Dept Biogeochem &amp; Microbial Ecol, Natl Museum Nat Sci MNCN, E-28006 Madrid, Spain</t>
  </si>
  <si>
    <t>Universidade de Coimbra; Universidade de Lisboa; Consejo Superior de Investigaciones Cientificas (CSIC)</t>
  </si>
  <si>
    <t>Durán, J (corresponding author), Univ Coimbra, Ctr Funct Ecol, Dept Life Sci, P-3000456 Coimbra, Portugal.</t>
  </si>
  <si>
    <t>jdh@uc.pt</t>
  </si>
  <si>
    <t>Duran, Jorge/AFN-5619-2022; Rodríguez Pereiras, Alexandra/C-2879-2015; de los Rios, Asuncion/L-3694-2014; Fangueiro, David/C-3876-2009</t>
  </si>
  <si>
    <t>Duran, Jorge/0000-0002-7375-5290; Rodríguez Pereiras, Alexandra/0000-0001-5849-8778; de los Rios, Asuncion/0000-0002-0266-3516; Fangueiro, David/0000-0002-6101-9210</t>
  </si>
  <si>
    <t>MINECO/FEDER, UE [CTM2015-64728-C2-2-R]</t>
  </si>
  <si>
    <t>MINECO/FEDER, UE(Spanish Government)</t>
  </si>
  <si>
    <t>This work was supported by a grant CTM2015-64728-C2-2-R (MINECO/FEDER, UE).</t>
  </si>
  <si>
    <t>ELSEVIER</t>
  </si>
  <si>
    <t>AMSTERDAM</t>
  </si>
  <si>
    <t>RADARWEG 29, 1043 NX AMSTERDAM, NETHERLANDS</t>
  </si>
  <si>
    <t>0048-9697</t>
  </si>
  <si>
    <t>1879-1026</t>
  </si>
  <si>
    <t>SCI TOTAL ENVIRON</t>
  </si>
  <si>
    <t>Sci. Total Environ.</t>
  </si>
  <si>
    <t>MAY 20</t>
  </si>
  <si>
    <t>10.1016/j.scitotenv.2020.144557</t>
  </si>
  <si>
    <t>JAN 2021</t>
  </si>
  <si>
    <t>Environmental Sciences</t>
  </si>
  <si>
    <t>Science Citation Index Expanded (SCI-EXPANDED)</t>
  </si>
  <si>
    <t>Environmental Sciences &amp; Ecology</t>
  </si>
  <si>
    <t>QV3SX</t>
  </si>
  <si>
    <t>2024-04-21</t>
  </si>
  <si>
    <t>WOS:000627896100005</t>
  </si>
  <si>
    <t>Daskalopoulou, V; Mallios, SA; Ulanowski, Z; Hloupis, G; Gialitaki, A; Tsikoudi, I; Tassis, K; Amiridis, V</t>
  </si>
  <si>
    <t>Daskalopoulou, Vasiliki; Mallios, Sotirios A.; Ulanowski, Zbigniew; Hloupis, George; Gialitaki, Anna; Tsikoudi, Ioanna; Tassis, Konstantinos; Amiridis, Vassilis</t>
  </si>
  <si>
    <t>The electrical activity of Saharan dust as perceived from surface electric field observations</t>
  </si>
  <si>
    <t>ATMOSPHERIC CHEMISTRY AND PHYSICS</t>
  </si>
  <si>
    <t>ATMOSPHERIC ELECTRICITY; MINERAL DUST; CIRCUIT; EARTH; POLARIZATION; THICKNESS; DYNAMICS; KEW</t>
  </si>
  <si>
    <t>We report on the electric field variations during Saharan dust advection over two atmospheric remote stations in Greece, using synergistic observations of the vertical atmospheric electric field strength (E-z) at ground level and the lidar-derived particle backscatter coefficient profiles. Both parameters were monitored for the first time with the simultaneous deployment of a ground-based field mill electrometer and a multi-wavelength polarization lidar. The field mill time series are processed to extract the diurnal variations of the global electric circuit and remove fast field perturbations due to peak lightning activity. In order to identify the influence of the elevated dust layers on the ground E-z, we extract a localized reference electric field from the time series that reflects the local fair-weather activity. Then, we compare it with the reconstructed daily average behaviour of the electric field and the Saharan dust layers' evolution, as depicted by the lidar. The observed enhancement of the vertical electric field (up to similar to 100 V m(-1)), for detached pure dust layers, suggests the presence of in-layer electric charges. Although higher dust loads are expected to result in such an electric field enhancement, episodic cases that reduce the electric field are also observed (up to similar to 60 V m(-1)). To quantitatively approach our results, we examine the dependency of E-z against theoretical assumptions for the distribution of separated charges within the electrified dust layer. Electrically neutral dust is approximated by atmospheric conductivity reduction, while charge separation areas within electrically active dust layers are approximated as finite-extent cylinders. This physical approximation constitutes a more realistic description of the distribution of charges, as opposed to infinite-extent geometries, and allows for analytical solutions of the electric field strength so that observed variations during the monitored dust outbreaks can be explained.</t>
  </si>
  <si>
    <t>[Daskalopoulou, Vasiliki] Univ Crete, Dept Phys, Sect Astrophys &amp; Space Phys, Iraklion 70013, Greece; [Daskalopoulou, Vasiliki; Mallios, Sotirios A.; Gialitaki, Anna; Tsikoudi, Ioanna; Amiridis, Vassilis] Natl Observ Athens, Inst Astron Astrophys Space Applicat &amp; Remote Sen, Athens 15236, Greece; [Ulanowski, Zbigniew] Univ Manchester, Dept Earth &amp; Environm Sci, Manchester M13 9PL, Lancs, England; [Ulanowski, Zbigniew] British Antarctic Survey, NERC, Cambridge CB3 0ET, England; [Hloupis, George] Univ West Attica, Dept Surveying &amp; Geoinformat Engn, Egaleo Campus, Egaleo 12244, Greece; [Gialitaki, Anna] Aristotle Univ Thessaloniki, Dept Phys, Lab Atmospher Phys, Thessaloniki 54124, Greece; [Tsikoudi, Ioanna] Natl &amp; Kapodistrian Univ Athens, Sect Environm Phys &amp; Meteorol, Athens, Greece; [Tassis, Konstantinos] Univ Crete, Inst Theoret &amp; Computat Phys, Dept Phys, Iraklion 70013, Greece; [Tassis, Konstantinos] Fdn Res &amp; Technol Hellas, Inst Astrophys, Iraklion 71110, Greece</t>
  </si>
  <si>
    <t>University of Crete; National Observatory of Athens; University of Manchester; UK Research &amp; Innovation (UKRI); Natural Environment Research Council (NERC); NERC British Antarctic Survey; University of West Attica; Aristotle University of Thessaloniki; National &amp; Kapodistrian University of Athens; University of Crete; Foundation for Research &amp; Technology - Hellas (FORTH)</t>
  </si>
  <si>
    <t>Amiridis, V (corresponding author), Natl Observ Athens, Inst Astron Astrophys Space Applicat &amp; Remote Sen, Athens 15236, Greece.</t>
  </si>
  <si>
    <t>vamoir@noa.gr</t>
  </si>
  <si>
    <t>Tassis, Konstantinos/AFQ-8021-2022; Mallios, Sotirios/B-7630-2019; Mallios, Sotirios/AGY-4643-2022; Amiridis, Vassilis/G-6769-2012; Hloupis, George/ABD-7674-2020; Daskalopoulou, Vasiliki/P-4415-2017; Gialitaki, Anna/O-6757-2017</t>
  </si>
  <si>
    <t>Tassis, Konstantinos/0000-0002-8831-2038; Mallios, Sotirios/0000-0002-9504-6786; Mallios, Sotirios/0000-0002-9504-6786; Hloupis, George/0000-0001-7722-3112; Daskalopoulou, Vasiliki/0000-0001-6774-5240; Gialitaki, Anna/0000-0001-9270-8361; Ulanowski, Zbigniew/0000-0003-4761-6980; Tsikoudi, Ioanna/0000-0001-7858-1667</t>
  </si>
  <si>
    <t>D-TECT - European Research Council (ERC) under the European Union's Horizon 2020 research and innovation programme [725698]; European Union (European Social Fund -ESF) through the Human Resources Development, Education and Lifelong Learning Operational Programme [MIS-5000432]; A.G. Leventis Foundation; Stavros Niarchos Foundation (SNF); European Research Council (ERC) under the European Union's Horizon 2020 research and innovation programme [771282]; NERC [bas0100032] Funding Source: UKRI</t>
  </si>
  <si>
    <t>D-TECT - European Research Council (ERC) under the European Union's Horizon 2020 research and innovation programme; European Union (European Social Fund -ESF) through the Human Resources Development, Education and Lifelong Learning Operational Programme; A.G. Leventis Foundation; Stavros Niarchos Foundation (SNF); European Research Council (ERC) under the European Union's Horizon 2020 research and innovation programme(European Research Council (ERC)); NERC(UK Research &amp; Innovation (UKRI)Natural Environment Research Council (NERC))</t>
  </si>
  <si>
    <t>This research was supported by D-TECT (grant no. 725698) funded by the European Research Council (ERC) under the European Union's Horizon 2020 research and innovation programme. Vasiliki Daskalopoulou would like to state that this re-search is also co-financed by Greece and the European Union (European Social Fund -ESF) through the Human Resources Development, Education and Lifelong Learning Operational Programme in the context of the project Strengthening Human Resources Research Potential via Doctorate Research (no. MIS-5000432), implemented by the State Scholarships Foundation (IKY). ReACTNOA was supported by the A.G. Leventis Foundation and the Stavros Niarchos Foundation (SNF). Konstantinos Tassis received funding from the European Research Council (ERC) under the European Union's Horizon 2020 research and innovation programme (grant no. 771282).</t>
  </si>
  <si>
    <t>COPERNICUS GESELLSCHAFT MBH</t>
  </si>
  <si>
    <t>GOTTINGEN</t>
  </si>
  <si>
    <t>BAHNHOFSALLEE 1E, GOTTINGEN, 37081, GERMANY</t>
  </si>
  <si>
    <t>1680-7316</t>
  </si>
  <si>
    <t>1680-7324</t>
  </si>
  <si>
    <t>ATMOS CHEM PHYS</t>
  </si>
  <si>
    <t>Atmos. Chem. Phys.</t>
  </si>
  <si>
    <t>JAN 25</t>
  </si>
  <si>
    <t>10.5194/acp-21-927-2021</t>
  </si>
  <si>
    <t>Environmental Sciences; Meteorology &amp; Atmospheric Sciences</t>
  </si>
  <si>
    <t>Environmental Sciences &amp; Ecology; Meteorology &amp; Atmospheric Sciences</t>
  </si>
  <si>
    <t>QA2HK</t>
  </si>
  <si>
    <t>gold, Green Submitted, Green Accepted</t>
  </si>
  <si>
    <t>WOS:000613269200001</t>
  </si>
  <si>
    <t>Slater, T; Lawrence, IR; Otosaka, IN; Shepherd, A; Gourmelen, N; Jakob, L; Tepes, P; Gilbert, L; Nienow, P</t>
  </si>
  <si>
    <t>Slater, Thomas; Lawrence, Isobel R.; Otosaka, Ines N.; Shepherd, Andrew; Gourmelen, Noel; Jakob, Livia; Tepes, Paul; Gilbert, Lin; Nienow, Peter</t>
  </si>
  <si>
    <t>Review article: Earth's ice imbalance</t>
  </si>
  <si>
    <t>CRYOSPHERE</t>
  </si>
  <si>
    <t>Review</t>
  </si>
  <si>
    <t>ARCTIC SEA-ICE; SURFACE MASS-BALANCE; LEVEL RISE; GLACIER CONTRIBUTIONS; OCEAN; CLIMATE; SHELF; SHEET; THICKNESS; COLLAPSE</t>
  </si>
  <si>
    <t>We combine satellite observations and numerical models to show that Earth lost 28 trillion tonnes of ice between 1994 and 2017. Arctic sea ice (7.6 trillion tonnes), Antarctic ice shelves (6.5 trillion tonnes), mountain glaciers (6.1 trillion tonnes), the Greenland ice sheet (3.8 trillion tonnes), the Antarctic ice sheet (2.5 trillion tonnes), and Southern Ocean sea ice (0.9 trillion tonnes) have all decreased in mass. Just over half (58 %) of the ice loss was from the Northern Hemisphere, and the remainder (42 %) was from the Southern Hemisphere. The rate of ice loss has risen by 57 % since the 1990s - from 0.8 to 1.2 trillion tonnes per year - owing to increased losses from mountain glaciers, Antarctica, Greenland and from Antarctic ice shelves. During the same period, the loss of grounded ice from the Antarctic and Greenland ice sheets and mountain glaciers raised the global sea level by 34.6 +/- 3.1 mm The majority of all ice losses were driven by atmospheric melting (68 % from Arctic sea ice, mountain glaciers ice shelf calving and ice sheet surface mass balance), with the remaining losses (32 % from ice sheet discharge and ice shelf thinning) being driven by oceanic melting. Altogether, these elements of the cryosphere have taken up 3.2 % of the global energy imbalance.</t>
  </si>
  <si>
    <t>[Slater, Thomas; Lawrence, Isobel R.; Otosaka, Ines N.; Shepherd, Andrew] Univ Leeds, Ctr Polar Observat &amp; Modelling, Sch Earth &amp; Environm, Leeds LS2 9JT, W Yorkshire, England; [Gourmelen, Noel; Tepes, Paul; Nienow, Peter] Univ Edinburgh, Sch GeoSci, Edinburgh EH8 9XP, Midlothian, Scotland; [Jakob, Livia] EarthWave Ltd, Edinburgh EH9 3HJ, Midlothian, Scotland; [Gilbert, Lin] UCL, Dept Space &amp; Climate Phys, Mullard Space Sci Lab, London WC1E 6BT, England</t>
  </si>
  <si>
    <t>University of Leeds; University of Edinburgh; University of London; University College London</t>
  </si>
  <si>
    <t>Slater, T (corresponding author), Univ Leeds, Ctr Polar Observat &amp; Modelling, Sch Earth &amp; Environm, Leeds LS2 9JT, W Yorkshire, England.</t>
  </si>
  <si>
    <t>t.slater1@leeds.ac.uk</t>
  </si>
  <si>
    <t>Otosaka, Ines Natsuki/0000-0001-9740-3735; Slater, Thomas/0000-0003-2541-7788</t>
  </si>
  <si>
    <t>Natural Environment Research Council [cpom300001]; NERC [NE/T009470/1, NE/J005657/1, NE/N018001/1, cpom30001, NE/J005681/1] Funding Source: UKRI</t>
  </si>
  <si>
    <t>Natural Environment Research Council(UK Research &amp; Innovation (UKRI)Natural Environment Research Council (NERC)); NERC(UK Research &amp; Innovation (UKRI)Natural Environment Research Council (NERC))</t>
  </si>
  <si>
    <t>This research has been supported by the Natural Environment Research Council (grant no. cpom300001).</t>
  </si>
  <si>
    <t>1994-0416</t>
  </si>
  <si>
    <t>1994-0424</t>
  </si>
  <si>
    <t>Cryosphere</t>
  </si>
  <si>
    <t>10.5194/tc-15-233-2021</t>
  </si>
  <si>
    <t>Geography, Physical; Geosciences, Multidisciplinary</t>
  </si>
  <si>
    <t>Physical Geography; Geology</t>
  </si>
  <si>
    <t>PX7MR</t>
  </si>
  <si>
    <t>Green Submitted, gold</t>
  </si>
  <si>
    <t>WOS:000611538500001</t>
  </si>
  <si>
    <t>Bhatia, RK; Ullah, S; Hoque, MZ; Ahmad, I; Yang, YH; Bhatt, AK; Bhatia, SK</t>
  </si>
  <si>
    <t>Bhatia, Ravi Kant; Ullah, Saleem; Hoque, Mubasher Zahir; Ahmad, Irshad; Yang, Yung-Hun; Bhatt, Arvind Kumar; Bhatia, Shashi Kant</t>
  </si>
  <si>
    <t>Psychrophiles: A source of cold-adapted enzymes for energy efficient biotechnological industrial processes</t>
  </si>
  <si>
    <t>JOURNAL OF ENVIRONMENTAL CHEMICAL ENGINEERING</t>
  </si>
  <si>
    <t>Psychrophiles; adaptation; R&amp;D; scale-up; energy efficient; industry; applications</t>
  </si>
  <si>
    <t>ICE-BINDING PROTEINS; CRYSTAL-STRUCTURE; PSYCHROBACTER SP; POTENTIAL APPLICATION; ANTARCTIC BACTERIUM; MARINE PSYCHROPHILE; BACILLUS LIPASE; ACTIVE-LIPASES; WASTE-WATER; EXPRESSION</t>
  </si>
  <si>
    <t>Biocatalysts are the backbone of bioprocessing industries that are going through a phase of transition with reference to the requirement of extraordinary enzymes for various biochemical processes. This transition is well reported and documented by various researchers through elucidation of different features and applications of mesophilic and thermophilic enzymes. However, there is little information available about psychrophilic enzymes and their involvement in industrial processes. Therefore, understanding the features and functions of psychrophilic enzymes could suggest some of their novel applications in various industries such as food, agriculture, chemicals, pharmaceuticals, and waste management etc. Currently, different industries are looking for such novel psychrophilic enzymes to develop efficient biochemical processes that will help to reduce the reaction time, lower the energy inputs and as well as be eco-friendly. These bioprocesses will help to increase the profit margin by reducing the overall cost of the final products. This review article will provide new insights in technical and scientific analysis of psychrophilic microbes, their enzymes and low energy biochemical processes that are useful in various industries for the production of valuable products. It will also further strengthen the understanding of academia and industry about these ubiquitous biocatalysts.</t>
  </si>
  <si>
    <t>[Bhatia, Ravi Kant; Bhatt, Arvind Kumar] Himachal Pradesh Univ, Dept Biotechnol, Summer Hill, Shimla 171005, HP, India; [Ullah, Saleem] Univ Jyvaskyla, Dept Chem, FI-40014 Jyvaskyla, Finland; [Hoque, Mubasher Zahir; Ahmad, Irshad] King Fahd Univ Petr &amp; Minerals KFUPM, Dept Life Sci, Dhahran 31261, Saudi Arabia; [Yang, Yung-Hun; Bhatia, Shashi Kant] Konkuk Univ, Coll Engn, Dept Biol Engn, Seoul 05029, South Korea; [Yang, Yung-Hun; Bhatia, Shashi Kant] Konkuk Univ, Inst Ubiquitous Informat Technol &amp; Applicat, Seoul 05029, South Korea</t>
  </si>
  <si>
    <t>Himachal Pradesh University; University of Jyvaskyla; King Fahd University of Petroleum &amp; Minerals; Konkuk University; Konkuk University</t>
  </si>
  <si>
    <t>Bhatia, SK (corresponding author), Konkuk Univ, Coll Engn, Dept Biol Engn, Seoul 05029, South Korea.</t>
  </si>
  <si>
    <t>shashikonkukuni@konkuk.ac.kr</t>
  </si>
  <si>
    <t>Bhatia, Shashi/N-4550-2018; Ahmad, Irshad/B-6496-2015</t>
  </si>
  <si>
    <t>Bhatia, Shashi/0000-0002-7688-6069; Ahmad, Irshad/0000-0001-8914-282X</t>
  </si>
  <si>
    <t>UGC New Delhi Govt. of India</t>
  </si>
  <si>
    <t>UGC New Delhi Govt. of India(University Grants Commission, India)</t>
  </si>
  <si>
    <t>The authors would like to acknowledge the financial assistance provided by UGC New Delhi Govt. of Indiato Dr. Ravi Kant Bhatia in terms of Post Doc Fellow. The authors also like to acknowledge the KU Research Professor Program of Konkuk University, Seoul, South Korea. All the facilities provided by the Department of Biotechnology HP University Shimla are duly acknowledged.</t>
  </si>
  <si>
    <t>ELSEVIER SCI LTD</t>
  </si>
  <si>
    <t>OXFORD</t>
  </si>
  <si>
    <t>THE BOULEVARD, LANGFORD LANE, KIDLINGTON, OXFORD OX5 1GB, OXON, ENGLAND</t>
  </si>
  <si>
    <t>2213-2929</t>
  </si>
  <si>
    <t>2213-3437</t>
  </si>
  <si>
    <t>J ENVIRON CHEM ENG</t>
  </si>
  <si>
    <t>J. Environ. Chem. Eng.</t>
  </si>
  <si>
    <t>FEB</t>
  </si>
  <si>
    <t>10.1016/j.jece.2020.104607</t>
  </si>
  <si>
    <t>Engineering, Environmental; Engineering, Chemical</t>
  </si>
  <si>
    <t>Engineering</t>
  </si>
  <si>
    <t>QC8FG</t>
  </si>
  <si>
    <t>Green Accepted</t>
  </si>
  <si>
    <t>WOS:000615066600004</t>
  </si>
  <si>
    <t>Gambichler, V; Zuccarello, GC; Karsten, U</t>
  </si>
  <si>
    <t>Gambichler, Vanessa; Zuccarello, Giuseppe C.; Karsten, Ulf</t>
  </si>
  <si>
    <t>Seasonal changes in stress metabolites of native and introduced red algae in New Zealand</t>
  </si>
  <si>
    <t>JOURNAL OF APPLIED PHYCOLOGY</t>
  </si>
  <si>
    <t>Rhodophyta; Floridoside; Introduced algae; Mycosporine-like amino acids (MAAs); Organic osmolytes; Seasonality; Sorbitol</t>
  </si>
  <si>
    <t>MOLECULAR-WEIGHT CARBOHYDRATE; AMINO-ACIDS; ULTRAVIOLET-RADIATION; ANTARCTIC MACROALGAE; SUNSCREEN COMPOUNDS; MARINE ORGANISMS; UV-RADIATION; 1ST RECORD; RHODOPHYTA; SALINITY</t>
  </si>
  <si>
    <t>Intertidal algae have to cope with diurnally and seasonally fluctuating environmental factors such as salinity, temperature, dehydration, and light. In New Zealand, solar radiation, including the ultraviolet wavelengths, is also an important stress factor for such algae. Therefore, two native (Bostrychia arbuscula W.H.Harvey [Ceramiales], Champia novae-zelandiae (J.D.Hooker &amp; Harvey) Harvey [Rhodymeniales]) and one introduced red algal taxon (Schizymenia spp. J. Agardh [Nemastomatales]) were investigated over 12 months in terms of stress metabolites which contribute to ultraviolet radiation (UVR) and salinity tolerance. Mycosporine-like amino acids (MAAs), which act as sunscreens, and organic osmolytes were qualitatively and quantitatively analyzed. Porphyra-334, shinorine, and palythine were the most dominant MAAs yet distributed differently among the species. B. arbuscula showed a correlation between photosynthetically active radiation (PAR)/UVR and slightly higher MAA concentrations in summer. In contrast, C. novae-zelandiae displayed the lowest level of MAAs in summer, and no correlation was found between MAA values and solar radiation. In Schizymenia spp., the highest MAA amounts were found in summer, and for most months, a correlation with PAR/UV radiation was visible. While digeneaside and sorbitol were the dominant organic osmolytes in B. arbuscula, floridoside occurred in C. novae-zelandiae and Schizymenia spp. Only B. arbuscula exhibited higher organic osmolyte concentrations in summer. In contrast, floridoside contents in C. novae-zelandiae and Schizymenia spp. were low and highly variable over the course of the seasons. Our data indicate that both native red algal species are well acclimated to the intertidal zone. For the introduced Schizymenia spp., a more narrow salinity tolerance can be assumed, while the high MAA values may explain its establishment in New Zealand.</t>
  </si>
  <si>
    <t>[Gambichler, Vanessa; Karsten, Ulf] Univ Rostock, Inst Biol Sci Appl Ecol &amp; Phycol, Albert Einstein Str 3, D-18059 Rostock, Germany; [Zuccarello, Giuseppe C.] Victoria Univ Wellington, Sch Biol Sci, Wellington 6140, New Zealand</t>
  </si>
  <si>
    <t>University of Rostock; Victoria University Wellington</t>
  </si>
  <si>
    <t>Karsten, U (corresponding author), Univ Rostock, Inst Biol Sci Appl Ecol &amp; Phycol, Albert Einstein Str 3, D-18059 Rostock, Germany.</t>
  </si>
  <si>
    <t>ulf.karsten@uni-rostock.de</t>
  </si>
  <si>
    <t>Zuccarello, Giuseppe C./D-8323-2015</t>
  </si>
  <si>
    <t>Zuccarello, Giuseppe C./0000-0003-0028-7227</t>
  </si>
  <si>
    <t>Projekt DEAL; DAAD</t>
  </si>
  <si>
    <t>Projekt DEAL; DAAD(Deutscher Akademischer Austausch Dienst (DAAD))</t>
  </si>
  <si>
    <t>Open Access funding enabled and organized by Projekt DEAL. Vanessa Gambichler thanks the DAAD for a PROMOS Scholarship supporting her research stay in New Zealand. We thank Maren Preuss for her help collecting samples for this study, and all her intellectual input, as well as John van der Sman and Neville Higgison for their technical support in the lab. We also thank Julianne Muller for her support with the HPLC and Rhena Schuhmann for helping with HPLCQuality Management.</t>
  </si>
  <si>
    <t>SPRINGER</t>
  </si>
  <si>
    <t>DORDRECHT</t>
  </si>
  <si>
    <t>VAN GODEWIJCKSTRAAT 30, 3311 GZ DORDRECHT, NETHERLANDS</t>
  </si>
  <si>
    <t>0921-8971</t>
  </si>
  <si>
    <t>1573-5176</t>
  </si>
  <si>
    <t>J APPL PHYCOL</t>
  </si>
  <si>
    <t>J. Appl. Phycol.</t>
  </si>
  <si>
    <t>APR</t>
  </si>
  <si>
    <t>10.1007/s10811-020-02365-0</t>
  </si>
  <si>
    <t>Biotechnology &amp; Applied Microbiology; Marine &amp; Freshwater Biology</t>
  </si>
  <si>
    <t>RB5EY</t>
  </si>
  <si>
    <t>hybrid</t>
  </si>
  <si>
    <t>WOS:000611012900001</t>
  </si>
  <si>
    <t>Coupe, J; Stevenson, S; Lovenduski, NS; Rohr, T; Harrison, CS; Robock, A; Olivarez, H; Bardeen, CG; Toon, OB</t>
  </si>
  <si>
    <t>Coupe, Joshua; Stevenson, Samantha; Lovenduski, Nicole S.; Rohr, Tyler; Harrison, Cheryl S.; Robock, Alan; Olivarez, Holly; Bardeen, Charles G.; Toon, Owen B.</t>
  </si>
  <si>
    <t>Nuclear Nino response observed in simulations of nuclear war scenarios</t>
  </si>
  <si>
    <t>COMMUNICATIONS EARTH &amp; ENVIRONMENT</t>
  </si>
  <si>
    <t>MARINE PRIMARY PRODUCTION; EL-NINO; VOLCANIC-ERUPTIONS; CLIMATE VARIABILITY; TROPICAL PACIFIC; OCEAN; CONSEQUENCES; IMPACTS; MODEL; PROXY</t>
  </si>
  <si>
    <t>The climate impacts of smoke from fires ignited by nuclear war would include global cooling and crop failure. Facing increased reliance on ocean-based food sources, it is critical to understand the physical and biological state of the post-war oceans. Here we use an Earth system model to simulate six nuclear war scenarios. We show that global cooling can generate a large, sustained response in the equatorial Pacific, resembling an El Nino but persisting for up to seven years. The El Nino following nuclear war, or Nuclear Nino, would be characterized by westerly trade wind anomalies and a shutdown of equatorial Pacific upwelling, caused primarily by cooling of the Maritime Continent and tropical Africa. Reduced incident sunlight and ocean circulation changes would cause a 40% reduction in equatorial Pacific phytoplankton productivity. These results indicate nuclear war could trigger extreme climate change and compromise food security beyond the impacts of crop failure. A nuclear conflict could lead to global cooling followed by a large and sustained El Nino-like response in the tropical Pacific region, according to an evaluation of six scenarios for nuclear conflict with an Earth system model.</t>
  </si>
  <si>
    <t>[Coupe, Joshua; Robock, Alan] Rutgers State Univ, Dept Environm Sci, New Brunswick, NJ 08901 USA; [Stevenson, Samantha] Univ Calif Santa Barbara, Bren Sch Environm Sci &amp; Management, Santa Barbara, CA 93106 USA; [Lovenduski, Nicole S.; Harrison, Cheryl S.; Bardeen, Charles G.; Toon, Owen B.] Univ Colorado, Dept Atmospher &amp; Ocean Sci, Boulder, CO 80309 USA; [Rohr, Tyler] Australian Antarctic Partnership Program, Hobart, Tas, Australia; [Harrison, Cheryl S.] Univ Texas Rio Grande Valley, Sch Earth Environm &amp; Marine Sci, Port Isabel, TX USA; [Olivarez, Holly] Univ Colorado, Environm Studies Program, Boulder, CO 80309 USA; [Olivarez, Holly] Univ Colorado, Inst Arctic &amp; Alpine Res, Boulder, CO 80309 USA; [Bardeen, Charles G.] Natl Ctr Atmospher Res, Atmospher Chem Observat &amp; Modeling Lab, POB 3000, Boulder, CO 80307 USA; [Toon, Owen B.] Univ Colorado, Lab Atmospher &amp; Space Phys, Boulder, CO 80309 USA</t>
  </si>
  <si>
    <t>Rutgers University System; Rutgers University New Brunswick; University of California System; University of California Santa Barbara; University of Colorado System; University of Colorado Boulder; University of Texas System; University of Texas Rio Grande Valley; University of Colorado System; University of Colorado Boulder; University of Colorado System; University of Colorado Boulder; National Center Atmospheric Research (NCAR) - USA; University of Colorado System; University of Colorado Boulder</t>
  </si>
  <si>
    <t>Coupe, J (corresponding author), Rutgers State Univ, Dept Environm Sci, New Brunswick, NJ 08901 USA.</t>
  </si>
  <si>
    <t>josh.coupe@rutgers.edu</t>
  </si>
  <si>
    <t>Lovenduski, Nicole/V-4014-2019; Robock, Alan/B-6385-2016; Harrison, Cheryl Shannon/IWV-0053-2023; Coupe, Joshua/HIK-2507-2022</t>
  </si>
  <si>
    <t>Lovenduski, Nicole/0000-0001-5893-1009; Harrison, Cheryl Shannon/0000-0003-4544-947X; Coupe, Joshua/0000-0002-8652-9970; Robock, Alan/0000-0002-6319-5656; Stevenson, Samantha/0000-0002-1223-8521; Rohr, Tyler/0000-0001-6599-8068; Olivarez, Holly/0000-0002-8994-7967</t>
  </si>
  <si>
    <t>National Science Foundation [ACI-1532235, ACI-1532236]; University of Colorado Boulder; Colorado State University; Open Philanthropy Project</t>
  </si>
  <si>
    <t>National Science Foundation(National Science Foundation (NSF)); University of Colorado Boulder; Colorado State University; Open Philanthropy Project</t>
  </si>
  <si>
    <t>This work utilized the RMACC Summit supercomputer, which is supported by the National Science Foundation (awards ACI-1532235 and ACI-1532236), the University of Colorado Boulder, and Colorado State University. The Summit supercomputer is a joint effort of the University of Colorado Boulder and Colorado State University. This work was funded by the Open Philanthropy Project.</t>
  </si>
  <si>
    <t>SPRINGERNATURE</t>
  </si>
  <si>
    <t>LONDON</t>
  </si>
  <si>
    <t>CAMPUS, 4 CRINAN ST, LONDON, N1 9XW, ENGLAND</t>
  </si>
  <si>
    <t>2662-4435</t>
  </si>
  <si>
    <t>COMMUN EARTH ENVIRON</t>
  </si>
  <si>
    <t>Commun. Earth Environ.</t>
  </si>
  <si>
    <t>JAN 22</t>
  </si>
  <si>
    <t>10.1038/s43247-020-00088-1</t>
  </si>
  <si>
    <t>Environmental Sciences; Geosciences, Multidisciplinary; Meteorology &amp; Atmospheric Sciences</t>
  </si>
  <si>
    <t>Environmental Sciences &amp; Ecology; Geology; Meteorology &amp; Atmospheric Sciences</t>
  </si>
  <si>
    <t>SY2PQ</t>
  </si>
  <si>
    <t>Green Published, gold</t>
  </si>
  <si>
    <t>WOS:000665734300003</t>
  </si>
  <si>
    <t>Milner-Gulland, EJ; Addison, P; Arlidge, WNS; Baker, J; Booth, H; Brooks, T; Bull, JW; Burgass, MJ; Ekstrom, J; zu Ermgassen, SOSE; Fleming, LV; Grub, HMJ; von Hase, A; Hoffmann, M; Hutton, J; Juffe-Bignoli, D; ten Kate, K; Kiesecker, J; Kümpel, NF; Maron, M; Newing, HS; Ole-Moiyoi, K; Sinclair, C; Sinclair, S; Starkey, M; Stuart, SN; Tayleur, C; Watson, JEM</t>
  </si>
  <si>
    <t>Milner-Gulland, E. J.; Addison, Prue; Arlidge, William N. S.; Baker, Julia; Booth, Hollie; Brooks, Thomas; Bull, Joseph W.; Burgass, Michael J.; Ekstrom, Jon; zu Ermgassen, Sophus O. S. E.; Fleming, L. Vincent; Grub, Henry M. J.; von Hase, Amrei; Hoffmann, Michael; Hutton, Jonathan; Juffe-Bignoli, Diego; ten Kate, Kerry; Kiesecker, Joseph; Kumpel, Noelle F.; Maron, Martine; Newing, Helen S.; Ole-Moiyoi, Katrina; Sinclair, Cheli; Sinclair, Sam; Starkey, Malcolm; Stuart, Simon N.; Tayleur, Cath; Watson, James E. M.</t>
  </si>
  <si>
    <t>Four steps for the Earth: mainstreaming the post-2020 global biodiversity framework</t>
  </si>
  <si>
    <t>ONE EARTH</t>
  </si>
  <si>
    <t>NO NET LOSS; ENVIRONMENTAL IMPACTS; OFFSETS; CONSERVATION; COMMITMENTS; CHALLENGES; TRADE</t>
  </si>
  <si>
    <t>The upcoming Convention on Biological Diversity (CBD) meeting, and adoption of the new Global Biodiversity Framework, represent an opportunity to transform humanity's relationship with nature. Restoring nature while meeting human needs requires a bold vision, including mainstreaming biodiversity conservation in society. We present a framework that could support this: the Mitigation and Conservation Hierarchy. This places the Mitigation Hierarchy for mitigating and compensating the biodiversity impacts of developments (1, avoid; 2, minimize; 3, restore; and 4, offset, toward a target such as no net loss of biodiversity) within a broader framing encompassing all conservation actions. We illustrate its application by national governments, sub-national levels (specifically the city of London, a fishery, and Indigenous groups), companies, and individuals. The Mitigation and Conservation Hierarchy supports the choice of actions to conserve and restore nature, and evaluation of the effectiveness of those actions, across sectors and scales. It can guide actions toward a sustainable future for people and nature, supporting the CBD's vision.Y</t>
  </si>
  <si>
    <t>[Milner-Gulland, E. J.; Addison, Prue; Arlidge, William N. S.; Booth, Hollie; Grub, Henry M. J.; Newing, Helen S.] Univ Oxford, Interdisciplinary Ctr Conservat Sci, Dept Zool, Oxford OX1 3SZ, England; [Addison, Prue] Buckinghamshire &amp; Oxfordshire Wildlife Trust, Oxford, Berks, England; [Baker, Julia] Balfour Beatty Ltd, 5 Churchill Pl, London E14 5HU, England; [Brooks, Thomas] IUCN World Conservat Union, Gland, Switzerland; [Brooks, Thomas] Univ Philippines Los Banos, World Agroforestry Ctr ICRAF, Laguna 4031, Philippines; [Brooks, Thomas] Univ Tasmania, Inst Marine &amp; Antarctic Studies, Hobart, Tas 7001, Australia; [Bull, Joseph W.; zu Ermgassen, Sophus O. S. E.; Juffe-Bignoli, Diego] Univ Kent, Sch Anthropol &amp; Conservat, Durrell Inst Conservat &amp; Ecol, Canterbury CT2 7NR, Kent, England; [Burgass, Michael J.; Sinclair, Sam] Biodiversify Ltd, Newark On Trent, Notts, England; [Ekstrom, Jon; Starkey, Malcolm] Biodivers Consultancy, Cambridge, England; [Fleming, L. Vincent] Joint Nat Conservat Comm, Monkstone House, Peterborough PE1 1JY, England; [von Hase, Amrei] Forest Trends Assoc, Cape Town, South Africa; [Hoffmann, Michael] Zool Soc London, London NW1 4RY, England; [Hutton, Jonathan] Luc Hoffmann Inst, Rue Mauverney 28, CH-1196 Gland, Switzerland; [Juffe-Bignoli, Diego] UN Environm Programme World Conservat Monitoring, Cambridge, England; [Kiesecker, Joseph] Nature Conservancy, Ft Collins, CO 80524 USA; [Kumpel, Noelle F.] BirdLife Int, Cambridge, England; [Maron, Martine; Watson, James E. M.] Univ Queensland, Sch Earth &amp; Environm Sci, Brisbane, Qld, Australia; [Maron, Martine; Watson, James E. M.] Univ Queensland, Ctr Biodivers &amp; Conservat Sci, Brisbane, Qld, Australia; [Ole-Moiyoi, Katrina] Kering Ltd, Paris, France; [Sinclair, Cheli; Stuart, Simon N.] Synchronic Earth, 2729 Cursitor St, London EC4A 1LT, England; [Stuart, Simon N.] Rocha Int, London W1J 9HF, England; [Tayleur, Cath] Cambridge Inst Sustainabil Leadership, Cambridge, England; [Watson, James E. M.] Wildlife Conservat Soc, Bronx Zoo, New York, NY USA</t>
  </si>
  <si>
    <t>University of Oxford; CGIAR; World Agroforestry (ICRAF); University of the Philippines System; University of the Philippines Los Banos; University of Tasmania; University of Kent; Zoological Society of London; Nature Conservancy; BirdLife International; University of Queensland; University of Queensland; Wildlife Conservation Society</t>
  </si>
  <si>
    <t>Milner-Gulland, EJ (corresponding author), Univ Oxford, Interdisciplinary Ctr Conservat Sci, Dept Zool, Oxford OX1 3SZ, England.</t>
  </si>
  <si>
    <t>ej.milner-gulland@zoo.ox.ac.uk</t>
  </si>
  <si>
    <t>Watson, James Edward Maxwell/D-8779-2013; Maron, Martine/D-9699-2011; zu Ermgassen, Sophus/AAC-8964-2019; Hoffmann, Michael/E-6419-2010; Tayleur, Catherine/B-3452-2010</t>
  </si>
  <si>
    <t>Watson, James Edward Maxwell/0000-0003-4942-1984; zu Ermgassen, Sophus/0000-0001-6044-3389; Grub, Henry Michael James/0009-0001-6316-0998; Milner-Gulland, E.J./0000-0003-0324-2710; Maron, Martine/0000-0002-5563-5789; Hoffmann, Michael/0000-0003-4785-2254; Juffe Bignoli, Diego/0000-0002-1498-4317; Brooks, Thomas/0000-0001-8159-3116; Tayleur, Catherine/0000-0002-7981-0086; Booth, Hollie/0000-0003-4339-820X</t>
  </si>
  <si>
    <t>Pew Marine Fellowship; Leventis Foundation; Wildlife Conservation Society; Synchronicity Earth; UK Research and Innovation's Global Challenges Research Fund (UKRI GCRF) through the Development Corridors Partnership project [ES/P011500/1]; UKRI GCRF through the Trade, Development, and the Environment Hub project [ES/S008160/1]; NERC's EnvEast Doctoral Training Partnership [NE/L002582/1]; Balfour Beatty; Australian Research Council Future Fellowship [FT14001516]; Australian National Environmental Science Program through the Threatened Species Recovery Hub; Commonwealth Scholarship Commission in the United Kingdom [NZCR-2015-174]; University of Oxford [NZCR-2015-174]; GCRF [ES/P011500/1, ES/S008160/1] Funding Source: UKRI</t>
  </si>
  <si>
    <t>Pew Marine Fellowship; Leventis Foundation; Wildlife Conservation Society; Synchronicity Earth; UK Research and Innovation's Global Challenges Research Fund (UKRI GCRF) through the Development Corridors Partnership project(UK Research &amp; Innovation (UKRI)); UKRI GCRF through the Trade, Development, and the Environment Hub project; NERC's EnvEast Doctoral Training Partnership(UK Research &amp; Innovation (UKRI)Natural Environment Research Council (NERC)); Balfour Beatty; Australian Research Council Future Fellowship(Australian Research Council); Australian National Environmental Science Program through the Threatened Species Recovery Hub; Commonwealth Scholarship Commission in the United Kingdom; University of Oxford; GCRF</t>
  </si>
  <si>
    <t>E.J.M.-G. acknowledges funding support from a Pew Marine Fellowship, the Leventis Foundation, the Wildlife Conservation Society, and Synchronicity Earth. D.J.-B. acknowledges funding from the UK Research and Innovation's Global Challenges Research Fund (UKRI GCRF) through the Development Corridors Partnership project (project no. ES/P011500/1). C.T. and E.J.M.G. acknowledge funding from the UKRI GCRF through the Trade, Development, and the Environment Hub project (project no. ES/S008160/1). J.H. acknowledges the MAVA Foundation and the NOMIS Foundation. S.O.S.E.z.E is supported through NERC's EnvEast Doctoral Training Partnership (grant NE/L002582/1), in partnership with Balfour Beatty. M.M. acknowledges funding from Australian Research Council Future Fellowship FT14001516 and the Australian National Environmental Science Program through the Threatened Species Recovery Hub. W.N.S.A. thanks the Commonwealth Scholarship Commission in the United Kingdom and the University of Oxford (Ph.D. scholarship NZCR-2015-174).</t>
  </si>
  <si>
    <t>CELL PRESS</t>
  </si>
  <si>
    <t>CAMBRIDGE</t>
  </si>
  <si>
    <t>50 HAMPSHIRE ST, FLOOR 5, CAMBRIDGE, MA 02139 USA</t>
  </si>
  <si>
    <t>2590-3330</t>
  </si>
  <si>
    <t>2590-3322</t>
  </si>
  <si>
    <t>One Earth</t>
  </si>
  <si>
    <t>10.1016/j.oneear.2020.12.011</t>
  </si>
  <si>
    <t>Green &amp; Sustainable Science &amp; Technology; Environmental Sciences; Environmental Studies</t>
  </si>
  <si>
    <t>Science Citation Index Expanded (SCI-EXPANDED); Social Science Citation Index (SSCI)</t>
  </si>
  <si>
    <t>Science &amp; Technology - Other Topics; Environmental Sciences &amp; Ecology</t>
  </si>
  <si>
    <t>RW3TZ</t>
  </si>
  <si>
    <t>Green Accepted, Green Submitted, hybrid, Green Published</t>
  </si>
  <si>
    <t>WOS:000646449800012</t>
  </si>
  <si>
    <t>Prebble, JG; Kennedy, EM; Reichgelt, T; Clowes, C; Womack, T; Mildenhall, DC; Raine, JI; Crouch, EM</t>
  </si>
  <si>
    <t>Prebble, Joseph G.; Kennedy, Elizabeth M.; Reichgelt, Tammo; Clowes, Christopher; Womack, Tom; Mildenhall, Dallas C.; Raine, J. Ian; Crouch, Erica M.</t>
  </si>
  <si>
    <t>A 100 million year composite pollen record from New Zealand shows maximum angiosperm abundance delayed until Eocene</t>
  </si>
  <si>
    <t>PALAEOGEOGRAPHY PALAEOCLIMATOLOGY PALAEOECOLOGY</t>
  </si>
  <si>
    <t>Angiosperm evolution; Austral vegetation; Zealandia; FRED database</t>
  </si>
  <si>
    <t>Although significant angiosperm diversification occurred during the Cretaceous, the timing of subsequent expansion of flowering plants across austral landscapes is poorly understood due to a lack of continuous records. Our new 100 million year composite pollen record from New Zealand shows a striking temporal separation between diversification and ecological dominance in this group. While Cretaceous diversification was closely followed by an increase in angiosperm frequency, maximum frequency did not occur for another 40 million years, during the Eocene. The two most consistent intervals of floral change over the 100 Myr record occur within the middle Eocene and the middle Miocene. Notable floral changes also occur around the Cretaceous-Paleogene, Paleocene-Eocene, and Pliocene-Pleistocene transitions. These major changes occur in the context of the northward drift of Zealandia across the Antarctic circle, global warming in the early Paleogene, and middle Miocene, and onset of Southern Ocean circumpolar circulation and cooling in the late Paleogene.</t>
  </si>
  <si>
    <t>[Prebble, Joseph G.; Kennedy, Elizabeth M.; Clowes, Christopher; Mildenhall, Dallas C.; Raine, J. Ian; Crouch, Erica M.] GNS Sci, Dept Surface Geosci, 1 Fairway Dr, Lower Hutt, New Zealand; [Reichgelt, Tammo] Univ Connecticut, Dept Geosci, Beach Hall 239,354 Mansfield Rd, Storrs, CT 06269 USA; [Womack, Tom] Victoria Univ Wellington, Wellington, New Zealand</t>
  </si>
  <si>
    <t>GNS Science - New Zealand; University of Connecticut; Victoria University Wellington</t>
  </si>
  <si>
    <t>Prebble, JG (corresponding author), GNS Sci, Dept Surface Geosci, 1 Fairway Dr, Lower Hutt, New Zealand.</t>
  </si>
  <si>
    <t>j.prebble@gns.cri.nz; E.Kennedy@gns.cri.nz; tammo.reichgelt@uconn.edu; c.clowes@gns.cri.nz; tom.womack@vuw.ac.nz; d.mildenhall@gns.cri.nz; i.raine@gns.cri.nz; e.crouch@gns.cri.nz</t>
  </si>
  <si>
    <t>Womack, Tom/AAK-1751-2021; Crouch, Erica M/C-2820-2013</t>
  </si>
  <si>
    <t>Womack, Tom/0000-0002-8237-8730</t>
  </si>
  <si>
    <t>New Zealand Government's Strategic Science Investment Fund through GNS Science Te Riu-a-Maui/Understanding Zealandia Programme</t>
  </si>
  <si>
    <t>This project was supported by New Zealand Government's Strategic Science Investment Fund through the GNS Science Te Riu-a-Maui/Understanding Zealandia Programme. We acknowledge use of information contained in the New Zealand Fossil Record File. We thank James Crampton and Chris Hollis for discussion prior to submission. Comments from the editor and two anonymous reviewers have significantly improved this manuscript.</t>
  </si>
  <si>
    <t>0031-0182</t>
  </si>
  <si>
    <t>1872-616X</t>
  </si>
  <si>
    <t>PALAEOGEOGR PALAEOCL</t>
  </si>
  <si>
    <t>Paleogeogr. Paleoclimatol. Paleoecol.</t>
  </si>
  <si>
    <t>MAR 15</t>
  </si>
  <si>
    <t>10.1016/j.palaeo.2020.110207</t>
  </si>
  <si>
    <t>Geography, Physical; Geosciences, Multidisciplinary; Paleontology</t>
  </si>
  <si>
    <t>Physical Geography; Geology; Paleontology</t>
  </si>
  <si>
    <t>RI2SY</t>
  </si>
  <si>
    <t>WOS:000636760500003</t>
  </si>
  <si>
    <t>Li, Y; Shi, HL; Lu, Y; Zhang, ZZ; Xi, H</t>
  </si>
  <si>
    <t>Li, Yan; Shi, Hongling; Lu, Yang; Zhang, Zizhan; Xi, Hui</t>
  </si>
  <si>
    <t>Subglacial discharge weakens the stability of the Ross Ice Shelf around the grounding line</t>
  </si>
  <si>
    <t>POLAR RESEARCH</t>
  </si>
  <si>
    <t>Antarctic subglacial lakes; water storage change; satellite altimetry; remote sensing; hydraulic potential method</t>
  </si>
  <si>
    <t>WEST ANTARCTICA; WATER LEVELS; LAKES; MELTWATER; SURFACE; RADAR; BENEATH; PERFORMANCE; INVENTORY; GREENLAND</t>
  </si>
  <si>
    <t>In this paper, we examine potential impact of discharge in Subglacial Lake Engelhardt, West Antarctica, on the stability of the Ross Ice Shelf around the grounding line by combining satellite altimetry and remote sensing images. According to satellite altimetry data from the Ice, Cloud and Land Elevation Satellite (ICESat; 2003-06), Subglacial Lake Engelhardt (SLE) discharged ca. 1.91 +/- 0.04 km(3) of water into the downstream region. The ice-surface record derived from ICESat (2006-09) and CryoSat-2 (2011-17) data shows that the lake gained ca. 2.09 +/- 0.05 km(3) of water during the refilling event following the drainage event, taking three times as much time to reach the previous water level before the discharge; the calculation demonstrates that water input from an upstream lake is unable to sustain water increase in SLE, indicating that the subglacial, hydrologic system and groundwater flow could have contributed to water increase in SLE via hydrologic networks. Satellite images captured surface depressions and crevasses at the drainage outlet point of hydrologic networks around the grounding line; satellite altimetry data show that the ice surface there is still depressing even though the subglacial discharge has finished, potentially reflecting the long-term impact of subglacial discharge on the stability of the immediate Ross Ice Shelf around the grounding line.</t>
  </si>
  <si>
    <t>[Li, Yan; Shi, Hongling; Lu, Yang; Zhang, Zizhan; Xi, Hui] Chinese Acad Sci, Innovat Acad Precis Measurement Sci &amp; Technol, State Key Lab Geodesy &amp; Earths Dynam, Wuhan 430077, Peoples R China; [Li, Yan; Shi, Hongling; Lu, Yang; Zhang, Zizhan; Xi, Hui] Univ Chinese Acad Sci, Coll Earth &amp; Planetary Sci, Beijing, Peoples R China</t>
  </si>
  <si>
    <t>Chinese Academy of Sciences; Innovation Academy for Precision Measurement Science &amp; Technology, CAS; Chinese Academy of Sciences; University of Chinese Academy of Sciences, CAS</t>
  </si>
  <si>
    <t>Shi, HL (corresponding author), Chinese Acad Sci, Innovat Acad Precis Measurement Sci &amp; Technol, State Key Lab Geodesy &amp; Earths Dynam, Wuhan 430077, Peoples R China.</t>
  </si>
  <si>
    <t>hlshi@asch.whigg.ac.cn</t>
  </si>
  <si>
    <t>Zhang, Zizhan/F-5705-2016</t>
  </si>
  <si>
    <t>National Natural Science Foundation of China [41674085, 41774022, 41604009]; Basic Frontier Science Research Program of the Chinese Academy of Sciences [ZDBS-LY-DQC028]</t>
  </si>
  <si>
    <t>National Natural Science Foundation of China(National Natural Science Foundation of China (NSFC)); Basic Frontier Science Research Program of the Chinese Academy of Sciences</t>
  </si>
  <si>
    <t>This work was jointly funded by the National Natural Science Foundation of China (grant nos. 41674085, 41774022 and 41604009) and the Basic Frontier Science Research Program of the Chinese Academy of Sciences (grant no. ZDBS-LY-DQC028).</t>
  </si>
  <si>
    <t>NORWEGIAN POLAR INST</t>
  </si>
  <si>
    <t>TROMSO</t>
  </si>
  <si>
    <t>POLAR ENVIRONMENTAL CENTRE, HJALMAR JOHANSENSGATE 14, TROMSO, FRAMSENTERET, NORWAY</t>
  </si>
  <si>
    <t>0800-0395</t>
  </si>
  <si>
    <t>1751-8369</t>
  </si>
  <si>
    <t>POLAR RES</t>
  </si>
  <si>
    <t>Polar Res.</t>
  </si>
  <si>
    <t>10.33265/polar.v40.3377</t>
  </si>
  <si>
    <t>Ecology; Geosciences, Multidisciplinary; Oceanography</t>
  </si>
  <si>
    <t>Environmental Sciences &amp; Ecology; Geology; Oceanography</t>
  </si>
  <si>
    <t>QB4RB</t>
  </si>
  <si>
    <t>gold</t>
  </si>
  <si>
    <t>WOS:000614126800001</t>
  </si>
  <si>
    <t>Stigter, EE; Steiner, JF; Koch, I; Saloranta, TM; Kirkham, JD; Immerzeel, WW</t>
  </si>
  <si>
    <t>Stigter, Emmy E.; Steiner, Jakob F.; Koch, Inka; Saloranta, Tuomo M.; Kirkham, James D.; Immerzeel, Walter W.</t>
  </si>
  <si>
    <t>Energy and mass balance dynamics of the seasonal snowpack at two high-altitude sites in the Himalaya</t>
  </si>
  <si>
    <t>COLD REGIONS SCIENCE AND TECHNOLOGY</t>
  </si>
  <si>
    <t>Refreezing; Snowpack cold content; Snowmelt; Snowpack energy balance; Himalaya</t>
  </si>
  <si>
    <t>Snow dynamics play a crucial role in the hydrology of alpine catchments in the Himalaya. However, studies based on in-situ observations that elucidate the energy and mass balance of the snowpack at high altitude in this region are scarce. In this study, we use meteorological and snow observations at two high-altitude sites in the Nepalese Himalaya to quantify the mass and energy balance of the seasonal snowpack. Using a data driven experimental set-up we aim to understand the main meteorological drivers of snowmelt, illustrate the importance of accounting for the cold content dynamics of the snowpack, and gain insight into the role that snow meltwater refreezing plays in the energy and mass balance of the snowpack. Our results show an intricate relation between the sensitivity of melt and refreezing on the albedo, the importance of meltwater refreezing, and the amount of positive net energy used to overcome the cold content of the snowpack. The net energy available at both sites is primarily driven by the net shortwave radiation, and is therefore extremely sensitive to snow albedo measurements. We conclude that, based on observed snowpack temperatures, 21% of the net positive energy is used to overcome the cold content build up during the night. We also show that at least 32-34% of the snow meltwater refreezes again for both sites. Even when the cold content and refreezing are accounted for, excess energy is available beyond what is needed to melt the snowpack. We hypothesize that this excess energy may be explained by uncertainties in the measurement of shortwave radiation, an underestimation of refreezing due to a basal ice layer, a cold content increase due to fresh snowfall and the ground heat flux. Our study shows that in order to accurately simulate the mass balance of seasonal snowpacks in Himalayan catchments, simple temperature index models do not suffice and refreezing and the cold content needs to be accounted for.</t>
  </si>
  <si>
    <t>[Stigter, Emmy E.; Steiner, Jakob F.; Immerzeel, Walter W.] Univ Utrecht, Dept Phys Geog, Princetonlaan 8a, NL-3584 CB Utrecht, Netherlands; [Koch, Inka; Kirkham, James D.] Int Ctr Integrated Mt Dev, GPO Box 3326, Kathmandu, Nepal; [Koch, Inka] Univ Tubingen, Dept Geosci, Schnarrenbergstr 94-96, D-72076 Tubingen, Germany; [Saloranta, Tuomo M.] Norwegian Water Resources &amp; Energy Directorate, Hydrol Dept, Postboks 5091, N-0301 Oslo, Norway; [Kirkham, James D.] Univ Cambridge, Scott Polar Res Inst, Lensfield Rd, Cambridge CB2 1ER, England; [Kirkham, James D.] NERC, British Antarctic Survey, Madingley Rd, Cambridge CB3 0ET, England</t>
  </si>
  <si>
    <t>Utrecht University; Eberhard Karls University of Tubingen; Norwegian Water Resources &amp; Energy Directorate; University of Cambridge; UK Research &amp; Innovation (UKRI); Natural Environment Research Council (NERC); NERC British Antarctic Survey</t>
  </si>
  <si>
    <t>Stigter, EE (corresponding author), Univ Utrecht, Dept Phys Geog, Princetonlaan 8a, NL-3584 CB Utrecht, Netherlands.</t>
  </si>
  <si>
    <t>e.e.stigter@uu.nl</t>
  </si>
  <si>
    <t>Immerzeel, Walter W/E-2489-2012; Steiner, Jakob/IXN-3835-2023; Koch, Inka/AGW-1154-2022</t>
  </si>
  <si>
    <t>Steiner, Jakob/0000-0002-0063-0067; Koch, Inka/0000-0002-8801-7215; Stigter, Emmy/0000-0001-8569-0159; Saloranta, Tuomo/0000-0001-8436-0342</t>
  </si>
  <si>
    <t>Netherlands Organization for Scientific Research NWO; European Research Council; ICIMOD's Cryosphere Initiative; NERC [bas0100030] Funding Source: UKRI</t>
  </si>
  <si>
    <t>Netherlands Organization for Scientific Research NWO(Netherlands Organization for Scientific Research (NWO)); European Research Council(European Research Council (ERC)); ICIMOD's Cryosphere Initiative; NERC(UK Research &amp; Innovation (UKRI)Natural Environment Research Council (NERC))</t>
  </si>
  <si>
    <t>Netherlands Organization for Scientific Research NWO; European Research Council; ICIMOD's Cryosphere Initiative (which is funded by Norway and by core funds contributed by the Governments of Afghanistan, Australia, Austria, Bangladesh, Bhutan, China, India, Myanmar, Nepal, Norway, Pakistan, Sweden, and Switzerland).</t>
  </si>
  <si>
    <t>0165-232X</t>
  </si>
  <si>
    <t>1872-7441</t>
  </si>
  <si>
    <t>COLD REG SCI TECHNOL</t>
  </si>
  <si>
    <t>Cold Reg. Sci. Tech.</t>
  </si>
  <si>
    <t>MAR</t>
  </si>
  <si>
    <t>10.1016/j.coldregions.2021.103233</t>
  </si>
  <si>
    <t>Engineering, Environmental; Engineering, Civil; Geosciences, Multidisciplinary</t>
  </si>
  <si>
    <t>Engineering; Geology</t>
  </si>
  <si>
    <t>QG7SF</t>
  </si>
  <si>
    <t>Green Accepted, Green Published, hybrid</t>
  </si>
  <si>
    <t>WOS:000617782700007</t>
  </si>
  <si>
    <t>Zou, BQ; Thierry, NNB; Tang, H; Xu, LX; Zhou, C; Wang, XF; Dong, SC; Hu, FX</t>
  </si>
  <si>
    <t>Zou, Baiqiang; Thierry, Nyatchouba Nsangue Bruno; Tang, Hao; Xu, Liuxiong; Zhou, Cheng; Wang, Xuefang; Dong, Shuchuang; Hu, Fuxiang</t>
  </si>
  <si>
    <t>Flow field and drag characteristics of netting of cruciform structures with various sizes of knot structure using CFD models</t>
  </si>
  <si>
    <t>APPLIED OCEAN RESEARCH</t>
  </si>
  <si>
    <t>Cruciform; drag coefficient; knotless; knotted; vortex flow</t>
  </si>
  <si>
    <t>NUMERICAL-SIMULATION; CIRCULAR-CYLINDER; TURBULENT WAKE; AQUACULTURE; NETS</t>
  </si>
  <si>
    <t>The knowledge of drag characteristic and flow field around knotless and knotted cruciform patterns is very important for the design of successful netting structures. The effects of ratio between sphere (knot) and cylinder (twine) diameters (D/d) on the surrounding fluid flow and drag of cruciform structures with various attack angles was numerically investigated based on k-omega shear stress turbulent (SST) model in computational fluid dynamics (CFD) models. A finite volume method was used for solving Reynolds-averaged Navier-Stokes (RANS) equations. The results show that the effects of key parameters (attack angle, knot size) are significant on the flow pattern and drag coefficients. The drag coefficients of knotted cruciform are greater than those of knotless cruciform for one-cruciform and four-cruciform structures. The drag coefficients of one-cruciform and four-cruciform elements increased as attack angle increased. For the one-cruciform element, the knotless cruciform experienced a fewer substantial streamline detachment generating a lower drag, while knotted cruciform experienced a higher drag was because of the presence of a vortex and turbulence boundary layer flows that develops around the node causing large flow velocity reductions around it. For the four-cruciform structure, the knotted cruciform experienced a greater drag that can be attributed to a more significant development of dynamic vortex flow downstream each knot. The increase in attack angle increased the velocity reduction for four-cruciform structure, while that at downstream of one-cruciform decreased as the attack angle increased. In addition, the drag coefficient decreased as the D/d ratio increased for one-cruciform pattern, while for four-cruciform structure, it increased as the D/d ratio increased</t>
  </si>
  <si>
    <t>[Zou, Baiqiang; Thierry, Nyatchouba Nsangue Bruno; Tang, Hao; Xu, Liuxiong; Zhou, Cheng; Wang, Xuefang] Shanghai Ocean Univ, Coll Marine Sci, 999 Huchenghuan Rd, Shanghai 201306, Peoples R China; [Tang, Hao; Xu, Liuxiong; Zhou, Cheng; Wang, Xuefang] Natl Engn Res Ctr Ocean Fisheries, Shanghai 201306, Peoples R China; [Tang, Hao; Xu, Liuxiong; Zhou, Cheng; Wang, Xuefang] Minist Agr &amp; Rural Affairs, Key Lab Ocean Fisheries Explorat, Shanghai 201306, Peoples R China; [Tang, Hao; Xu, Liuxiong; Zhou, Cheng; Wang, Xuefang] Shanghai Ocean Univ, Key Lab Sustainable Exploitat Ocean Fisheries Res, Minist Educ, Shanghai 201306, Peoples R China; [Tang, Hao; Xu, Liuxiong; Zhou, Cheng; Wang, Xuefang] Minist Agr &amp; Rural Affairs, Sci Observing &amp; Expt Stn Ocean Fishery Resources, Shanghai 201306, Peoples R China; [Dong, Shuchuang] Univ Tokyo, Inst Ind Sci, 5-1-5 Kashiwanoha, Kashiwa, Chiba 2778574, Japan; [Hu, Fuxiang] Tokyo Univ Marine Sci &amp; Technol, Fac Marine Sci, Minato Ku, Tokyo 1088477, Japan</t>
  </si>
  <si>
    <t>Shanghai Ocean University; National Engineering Research Center for Oceanic Fisheries; Ministry of Agriculture &amp; Rural Affairs; Shanghai Ocean University; Ministry of Agriculture &amp; Rural Affairs; University of Tokyo; Tokyo University of Marine Science &amp; Technology</t>
  </si>
  <si>
    <t>Tang, H (corresponding author), Shanghai Ocean Univ, Coll Marine Sci, 999 Huchenghuan Rd, Shanghai 201306, Peoples R China.</t>
  </si>
  <si>
    <t>htang@shou.edu.cn</t>
  </si>
  <si>
    <t>zhou, cheng/AEL-4243-2022; Zhang, Han/JMR-0670-2023; Wang, Xuefang/JFJ-1454-2023; Bruno, Nyatchouba Nsangue Thierry/AAZ-5386-2021; Tang, Hao/GXH-6097-2022; CHEN, AN/KFT-3370-2024; xu, liu/KCL-1154-2024; Dong, Shuchuang/HSI-4481-2023</t>
  </si>
  <si>
    <t>Wang, Xuefang/0000-0001-7955-8776; Tang, Hao/0000-0002-3393-1683;</t>
  </si>
  <si>
    <t>National Natural Science Foundation of China [31902426, 41806110]; National key R&amp;D Program of China [2019YFD0901502]; Shanghai Sailing Program [19YF1419800]; Zhaorao Science and Innovation Fund [A1-2004-20-201302]; Special project for the exploitation and utilization of Antarctic biological resources of Ministry of Agriculture and Rural Affairs [D-8002-18-0097]</t>
  </si>
  <si>
    <t>National Natural Science Foundation of China(National Natural Science Foundation of China (NSFC)); National key R&amp;D Program of China; Shanghai Sailing Program; Zhaorao Science and Innovation Fund; Special project for the exploitation and utilization of Antarctic biological resources of Ministry of Agriculture and Rural Affairs</t>
  </si>
  <si>
    <t>This study was financially sponsored by the National Natural Science Foundation of China (Grand No. 31902426; 41806110), National key R&amp;D Program of China (Grant No: 2019YFD0901502), Shanghai Sailing Program (19YF1419800), Luo Zhaorao Science and Innovation Fund (A1-2004-20-201302) and Special project for the exploitation and utilization of Antarctic biological resources of Ministry of Agriculture and Rural Affairs (D-8002-18-0097).</t>
  </si>
  <si>
    <t>0141-1187</t>
  </si>
  <si>
    <t>1879-1549</t>
  </si>
  <si>
    <t>APPL OCEAN RES</t>
  </si>
  <si>
    <t>Appl. Ocean Res.</t>
  </si>
  <si>
    <t>JAN</t>
  </si>
  <si>
    <t>10.1016/j.apor.2020.102466</t>
  </si>
  <si>
    <t>Engineering, Ocean; Oceanography</t>
  </si>
  <si>
    <t>Engineering; Oceanography</t>
  </si>
  <si>
    <t>PY8RB</t>
  </si>
  <si>
    <t>WOS:000612307200003</t>
  </si>
  <si>
    <t>Bose, S; Ghosh, G; Kawaguchi, K; Das, K; Mondal, AK; Banerjee, A</t>
  </si>
  <si>
    <t>Bose, Sankar; Ghosh, Gautam; Kawaguchi, Kenta; Das, Kaushik; Mondal, Arnob Kumar; Banerjee, Aparupa</t>
  </si>
  <si>
    <t>Zircon and monazite geochronology from the Rengali-Eastern Ghats Province: Implications for the tectonic evolution of the eastern Indian terrane</t>
  </si>
  <si>
    <t>PRECAMBRIAN RESEARCH</t>
  </si>
  <si>
    <t>Singhbhum craton; Eastern Ghats Province; Rengali Province; Zircon; Monazite</t>
  </si>
  <si>
    <t>U-PB SHRIMP; CORDIERITE-ORTHOAMPHIBOLE ROCKS; TRACE-ELEMENT GEOCHEMISTRY; SINGHBHUM CRATON; PLATE-TECTONICS; BASTAR CRATON; GREENSTONE-BELT; GRANULITE BELT; ORTHO-PYROXENE; CRUST</t>
  </si>
  <si>
    <t>The tectonic evolution of the Rengali Province and its eventual juxtaposition to the Eastern Ghats Province has important bearings on the geological evolution of the Eastern Indian terrane. New zircon and monazite age data from the Rengali Province and the northern-northwestern part of the Eastern Ghats are presented in this study to trace this evolutionary history. Monazite U-Th-total Pb data from the paragneissic rocks of the eastern Rengali Province show a metamorphic age of 2775 +/- 18 Ma while an older age of 2943 +/- 35 Ma from the same rock probably suggests an older metamorphic/magmatic event. Zircon U-Pb (LA-ICPMS) data from the northern part of the Eastern Ghats show 1230 +/- 21 Ma and 1220 +/- 9 Ma ages that we interpret as a major phase of high-grade metamorphism of the basement. Paragneissic rocks from the northwestern margin of the Eastern Ghats yields monazite ages of 966 +/- 21 Ma and 555 +/- 12 Ma respectively from the core and rim parts of monazite grains. Similar ages of 966 +/- 25 Ma and 540 +/- 12 Ma are reported from paragneissic rock occurring at the contact of Rengali Province and the Eastern Ghats. This younger (similar to 555-540 Ma) age likely correlates to the amphibolite facies reworking of the granulitic lower crust which coincides with the emplacement of nepheline syenite at 556 +/- 28 Ma (zircon U-Pb data) and the contact metamorphism of the ultramafic granofels at 553 +/- 18 Ma (monazite data). Nepheline monzosyenite veins intruded the gneissic nepheline syenite at 506 +/- 9 Ma (zircon U-Pb data). Emplacement of the monzosyenite veins within the felsic gneiss country at the northwestern margin of the Eastern Ghats at 490 +/- 3 Ma (zircon U-Pb data) marks the last thermal imprint in response to large-scale shearinduced deformation at the northern/northwestern contacts of the Eastern Ghats. We infer that the Neoarchean (ca. 2943-2775 Ma) events possibly resulted from the ensuing convergent tectonics driven by lithospheric peeling (peel-back convergent tectonics). The Eastern Ghats and its Antarctic counterpart juxtaposed with the Rengali Province during ca. 1000-900 Ma and become a part of the Eastern Indian terrane. The Ediacaran-Cambrian (ca. 556-490 Ma) events imply the reactivation of the deep crustal Tonian-age shear systems in a transpressional tectonic setting.</t>
  </si>
  <si>
    <t>[Bose, Sankar; Ghosh, Gautam; Mondal, Arnob Kumar; Banerjee, Aparupa] Presidency Univ, Dept Geol, Kolkata 700073, India; [Kawaguchi, Kenta; Das, Kaushik] Hiroshima Univ, Dept Earth &amp; Planetary Syst Sci, Higashihiroshima 7398526, Japan; [Bose, Sankar; Ghosh, Gautam; Das, Kaushik] Hiroshima Univ, Hiroshima Inst Plate Convergence Reg Res HiPeR, Higashihiroshima 7398526, Japan; [Kawaguchi, Kenta] Jeonbuk Natl Univ, Dept Earth &amp; Environm Sci, Jeonju 54896, Jeollabuk Do, South Korea</t>
  </si>
  <si>
    <t>Presidency University, Kolkata; Hiroshima University; Hiroshima University; Jeonbuk National University; Jeonbuk National University Hospital</t>
  </si>
  <si>
    <t>Bose, S (corresponding author), Presidency Univ, Dept Geol, Kolkata 700073, India.</t>
  </si>
  <si>
    <t>sankar.geol@presiuniv.ac.in</t>
  </si>
  <si>
    <t>Banerjee, Aparupa/JTV-0230-2023; Das, Kaushik/G-9616-2016; Kawaguchi, Kenta/JNJ-8564-2023</t>
  </si>
  <si>
    <t>Banerjee, Aparupa/0000-0002-8415-4415; Das, Kaushik/0000-0002-2372-2095; Kawaguchi, Kenta/0000-0003-4495-7165; Bose, Sankar/0000-0002-6234-236X</t>
  </si>
  <si>
    <t>Ministry of Earth Science (MoES) Govt. of India [MoES/P.O.(Geo)/100(iii)/2017]; DST-JSPS Bilateral program [DST/INT/JSPS/P-298/2019]</t>
  </si>
  <si>
    <t>Ministry of Earth Science (MoES) Govt. of India; DST-JSPS Bilateral program</t>
  </si>
  <si>
    <t>Financial support from the Ministry of Earth Science (MoES) Govt. of India through a research grant (MoES/P.O.(Geo)/100(iii)/2017) to SB, GG, and AKM is thankfully acknowledged. SB, GG, and KD also acknowledge the analytical support through DST-JSPS Bilateral program (sanction no. DST/INT/JSPS/P-298/2019). KK and KD are thankful to Drs. Yasutaka Hayasaka and Tomoyuki Shibata for allowing them to use the LA-ICPMS facility at Hiroshima University. Dr. Hayasaka also helped us in EPMA U-Th-total Pb analysis at Hiroshima University. We appreciate the support of Supriya Chakraborty of the Geological Survey of India (GSI) for helping us during fieldwork and Dr. J.K. Nanda for providing background information. Comments from three anonymous journal reviewers helped us to revise the manuscript. Editorial comments from Sukanta Dey have proved to be helpful. Special thanks extended to Director General, GSI for providing the core samples.</t>
  </si>
  <si>
    <t>0301-9268</t>
  </si>
  <si>
    <t>1872-7433</t>
  </si>
  <si>
    <t>PRECAMBRIAN RES</t>
  </si>
  <si>
    <t>Precambrian Res.</t>
  </si>
  <si>
    <t>10.1016/j.precamres.2020.106080</t>
  </si>
  <si>
    <t>Geosciences, Multidisciplinary</t>
  </si>
  <si>
    <t>Geology</t>
  </si>
  <si>
    <t>SE4EL</t>
  </si>
  <si>
    <t>WOS:000652026000006</t>
  </si>
  <si>
    <t>Jacquet, E</t>
  </si>
  <si>
    <t>Jacquet, Emmanuel</t>
  </si>
  <si>
    <t>Collisions and compositional variability in chondrule-forming events</t>
  </si>
  <si>
    <t>GEOCHIMICA ET COSMOCHIMICA ACTA</t>
  </si>
  <si>
    <t>Chondrule; Compound chondrules; Chondrite; Trace elements</t>
  </si>
  <si>
    <t>Compound chondrules, i.e. chondrules fused together, make a powerful probe of the density and compositional diversity in chondrule-forming environments, but their abundance among the dominating porphyritic textures may have been drastically underestimated. I report herein microscopic observations and LA-ICP-MS analyses of lobate chondrules in the CO3 chondrites Miller Range 07193 and 07342. Lobes in a given chondrule show correlated volatile and moderately volatile element abundances but refractory element concentrations are essentially independent. This indicates that they formed by the collision of preexisting droplets whose refractory elements behaved in closed system, while their more volatile elements were buffered by the same gaseous medium. The presence of lobes would otherwise be difficult to explain, as surface tension should have rapidly imposed a spherical shape at the temperature peak. In fact, since most chondrules across chondrite groups are nonspherical, a majority are probably compounds variously relaxed toward sphericity. The lack of correlation of refractory elements between conjoined compound chondrule components is inconsistent with derivation of chondrules from the disruption of homogenized melt bodies as in impact scenarios and evokes rather the melting of independent mm-size nebular aggregates. Yet a ``nebular setting for chondrule formation would need to involve not only increased solid concentration, e.g. by settling to the midplane, but also a boost in relative velocities between droplets during chondrule-forming events to account for observed compound chondrule frequencies. (C) 2021 Elsevier Ltd. All rights reserved.</t>
  </si>
  <si>
    <t>[Jacquet, Emmanuel] Sorbonne Univ, Inst Mineral Phys Mat &amp; Cosmochim IMPMC, Museum Natl Hist Nat, CNRS, CP52,57 Rue Cuvier, F-75005 Paris, France</t>
  </si>
  <si>
    <t>Sorbonne Universite; Centre National de la Recherche Scientifique (CNRS); Museum National d'Histoire Naturelle (MNHN)</t>
  </si>
  <si>
    <t>Jacquet, E (corresponding author), Sorbonne Univ, Inst Mineral Phys Mat &amp; Cosmochim IMPMC, Museum Natl Hist Nat, CNRS, CP52,57 Rue Cuvier, F-75005 Paris, France.</t>
  </si>
  <si>
    <t>emmanuel.jacquet@mnhn.fr</t>
  </si>
  <si>
    <t>NSF; NASA; Programme National de Planetologie (project L'heritage nebulaire des chondres, 2016)</t>
  </si>
  <si>
    <t>NSF(National Science Foundation (NSF)); NASA(National Aeronautics &amp; Space Administration (NASA)); Programme National de Planetologie (project L'heritage nebulaire des chondres, 2016)</t>
  </si>
  <si>
    <t>I thank the three referees Dr Alan Rubin, Denton Ebel and Tomoki Nakamura, for allowing to clarify the motivation of the project and the logic of the discussion, as well as completing the bibliographical references. I thank Roger Hewins for a read of a first draft. I am grateful to Bill Glass for his readiness to answer my questions on microtektites. I thank the Meteorite Working Group at the Johnson Space Center for the loan of the MIL 07342 and MIL 07193 samples.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This research was funded by the Programme National de Plane ' tologie (project ``L'he ' ritage ne ' bulaire des chondres, 2016). Last and not least, I am grateful to Christine and Pierre de Naurois, and Georges Illy and Miche`le Ridoux for hosting me during my numerous analyses in Montpellier. This paper is dedicated to the memory of my aunt Maryle`ne Joly.</t>
  </si>
  <si>
    <t>PERGAMON-ELSEVIER SCIENCE LTD</t>
  </si>
  <si>
    <t>THE BOULEVARD, LANGFORD LANE, KIDLINGTON, OXFORD OX5 1GB, ENGLAND</t>
  </si>
  <si>
    <t>0016-7037</t>
  </si>
  <si>
    <t>1872-9533</t>
  </si>
  <si>
    <t>GEOCHIM COSMOCHIM AC</t>
  </si>
  <si>
    <t>Geochim. Cosmochim. Acta</t>
  </si>
  <si>
    <t>MAR 1</t>
  </si>
  <si>
    <t>10.1016/j.gca.2020.12.025</t>
  </si>
  <si>
    <t>Geochemistry &amp; Geophysics</t>
  </si>
  <si>
    <t>QP6AA</t>
  </si>
  <si>
    <t>Green Submitted, hybrid</t>
  </si>
  <si>
    <t>WOS:000623916400002</t>
  </si>
  <si>
    <t>van Tonder, A; Lübcker, N; Guerreiro, M; Xavier, JC; Cherel, Y; de Bruyn, PJN</t>
  </si>
  <si>
    <t>van Tonder, Andre; Lubcker, Nico; Guerreiro, Miguel; Xavier, Jose C.; Cherel, Yves; de Bruyn, P. J. Nico</t>
  </si>
  <si>
    <t>Ecology of Moroteuthopsis longimana at the sub-Antarctic Prince Edward Islands, revealed through stable isotope analysis of squid beaks</t>
  </si>
  <si>
    <t>MARINE ECOLOGY PROGRESS SERIES</t>
  </si>
  <si>
    <t>Cephalopods; Moroteuthopsis longimana; Ontogeny; Southern Ocean; Stable isotope analysis; Prince Edward Islands; Thalassarche chrysostoma</t>
  </si>
  <si>
    <t>SOUTHERN ELEPHANT SEALS; PACIFIC SUBTROPICAL GYRE; TROPHIC ECOLOGY; DIOMEDEA-EXULANS; INCLUDING GIANT; MARION ISLAND; FORAGING ECOLOGY; INDIAN-OCEAN; POLAR FRONT; FUR-SEAL</t>
  </si>
  <si>
    <t>Understanding the underlying ecological factors that affect the distribution patterns of organisms is vital for their conservation. Cephalopods such as giant warty squids Moroteuthopsis longimana are important in the diets of marine predators, including grey-headed albatrosses Thalassarche chrysostoma, yet our understanding of their habitat and trophic ecology remains limited. We investigated the habitat and trophic niche utilised by M. longimana through the delta C-13 and delta N-15 profiles captured in their beaks. M. longimana beaks were collected around grey-headed albatross nests at the Prince Edward Islands during 2004 and 2013 (n = 40 beaks). The results showed distinctly Antarctic distributions (delta C-13 = -24.0 +/- 1.0 parts per thousand, mean +/- SD) for M. longimana, consistent with albatrosses foraging at the Southwest Indian Ridge, as opposed to broader foraging zones utilised by albatrosses from Iles Crozet and Iles Kerguelen. Slightly lower delta N-15 values (5.4 +/- 0.7 parts per thousand) were found compared to other islands in the Indian Sector of the Southern Ocean, which may indicate more crustaceans in the squid diets. Sequential sampling along the lateral walls of individual beaks (n = 4) revealed ontogenetic shifts in delta C-13 and delta N-15 values, but individual variation in these shifts requires further investigation.</t>
  </si>
  <si>
    <t>[van Tonder, Andre; Lubcker, Nico; de Bruyn, P. J. Nico] Univ Pretoria, Mammal Res Inst, Dept Zool &amp; Entomol, Private Bag X20, ZA-0028 Hatfield, South Africa; [Guerreiro, Miguel; Xavier, Jose C.] Univ Lisbon, Fac Ciencias, Lab Maritimo Guia, MARE Marine &amp; Environm Sci Ctr, Av Nossa Senhora Cabo 939, P-2750374 Cascais, Portugal; [Guerreiro, Miguel] GEOMAR Helmholtz Ctr Ocean Res, Dusternbrooker Weg 20, D-24105 Kiel, Germany; [Xavier, Jose C.] British Antarctic Survey, Nat Environm Res Council, Madingley Rd, Cambridge CB3 0ET, England; [Cherel, Yves] La Rochelle Univ, Ctr Etud Biol Chize, CNRS, UMR 7372, F-79360 Villiers En Bois, France</t>
  </si>
  <si>
    <t>University of Pretoria; Universidade de Lisboa; Helmholtz Association; GEOMAR Helmholtz Center for Ocean Research Kiel; UK Research &amp; Innovation (UKRI); Natural Environment Research Council (NERC); NERC British Antarctic Survey; Centre National de la Recherche Scientifique (CNRS); CNRS - Institute of Ecology &amp; Environment (INEE)</t>
  </si>
  <si>
    <t>van Tonder, A (corresponding author), Univ Pretoria, Mammal Res Inst, Dept Zool &amp; Entomol, Private Bag X20, ZA-0028 Hatfield, South Africa.</t>
  </si>
  <si>
    <t>avantonder01@gmail.com</t>
  </si>
  <si>
    <t>Xavier, José/KFB-6739-2024; Lubcker, Nico/I-7622-2019; de Bruyn, P. J. Nico/E-4176-2010</t>
  </si>
  <si>
    <t>Lubcker, Nico/0000-0001-7141-6669; de Bruyn, P. J. Nico/0000-0002-9114-9569; /0000-0002-9621-6660</t>
  </si>
  <si>
    <t>National Research Foundation (RSA); PROPOLAR research projects; strategic programme of the Marine and Environmental Sciences Centre (MARE); Foundation for Science and Technology [FST] [UIDB/04292/2020]; CEPH; NERC [bas010011] Funding Source: UKRI</t>
  </si>
  <si>
    <t>National Research Foundation (RSA); PROPOLAR research projects; strategic programme of the Marine and Environmental Sciences Centre (MARE); Foundation for Science and Technology [FST]; CEPH; NERC(UK Research &amp; Innovation (UKRI)Natural Environment Research Council (NERC))</t>
  </si>
  <si>
    <t>Various contributors at the Mammal Research Institute, University of Pretoria, and elsewhere provided invaluable input to this project, both logistically and conceptually. The National Research Foundation (RSA) provided funding, and the Department of Environmental Forestry and Fisheries (DEFF), through the South African National Antarctic Program (SANAP), provided logistical support for the work on the PEIs samples. Analyses for the Iles Crozet and Iles Kerguelen samples were supported by CEPH, PROPOLAR research projects, and benefited from the strategic programme of the Marine and Environmental Sciences Centre (MARE), financed by Foundation for Science and Technology [FST (UIDB/04292/2020)].</t>
  </si>
  <si>
    <t>INTER-RESEARCH</t>
  </si>
  <si>
    <t>OLDENDORF LUHE</t>
  </si>
  <si>
    <t>NORDBUNTE 23, D-21385 OLDENDORF LUHE, GERMANY</t>
  </si>
  <si>
    <t>0171-8630</t>
  </si>
  <si>
    <t>1616-1599</t>
  </si>
  <si>
    <t>MAR ECOL PROG SER</t>
  </si>
  <si>
    <t>Mar. Ecol.-Prog. Ser.</t>
  </si>
  <si>
    <t>JAN 21</t>
  </si>
  <si>
    <t>10.3354/meps13556</t>
  </si>
  <si>
    <t>Ecology; Marine &amp; Freshwater Biology; Oceanography</t>
  </si>
  <si>
    <t>Environmental Sciences &amp; Ecology; Marine &amp; Freshwater Biology; Oceanography</t>
  </si>
  <si>
    <t>QL8RU</t>
  </si>
  <si>
    <t>WOS:000621349000007</t>
  </si>
  <si>
    <t>Alekseev, I; Abakumov, E</t>
  </si>
  <si>
    <t>Alekseev, Ivan; Abakumov, Evgeny</t>
  </si>
  <si>
    <t>Content of Trace Elements in Soils of Eastern Antarctica: Variability Across Landscapes</t>
  </si>
  <si>
    <t>ARCHIVES OF ENVIRONMENTAL CONTAMINATION AND TOXICOLOGY</t>
  </si>
  <si>
    <t>Although Antarctica is considered one of the most pristine areas on Earth, an accelerating human presence in this remote continent, such as scientific operations and functioning of numerous scientific stations, logistics, and tourism activities, has increased the risks of environmental impacts in recent decades. During the 63rd Russian Antarctic expedition, 42 samples from topsoil horizons were collected from Larsemann Hills, Mirny station, and Fulmar Island, Eastern Antarctica. The purpose of this work was to analyze the accumulation levels 8 trace elements and to assess possible environmental risks associated with contamination of Antarctic soils. Various human activities have been found to be responsible for increase of metal levels in studied Antarctic environments. Our study also revealed a specific role of ornithogenic factor and moss cover in distribution of contaminants in severe conditions of Eastern Antarctica soils. Ornithogenic soils were characterized by higher rates of accumulation of some trace metals and metalloids (especially zinc and copper) compared with other investigated pristine sites without significantly visible traces of guano inputs. In general term, obtained geoaccumulation index for trace elements in all samples were under or slightly above the 0 level, indicating low to moderate pollution of the studied soils. Results of principal component analysis revealed the necessity for further detailed research on interactions of trace metals with soil organic matter for better understanding of their biogeochemistry in the Antarctic environment. Although most of contaminated sites were found in anthropogenically affected areas, accumulation of some elements in guano-derived and moss materials were associated with higher values for soil pollution indices in natural soils, as well.</t>
  </si>
  <si>
    <t>[Alekseev, Ivan; Abakumov, Evgeny] St Petersburg State Univ, Dept Appl Ecol, St Petersburg, Russia; [Alekseev, Ivan] Arctic &amp; Antarctic Res Inst, St Petersburg, Russia</t>
  </si>
  <si>
    <t>Saint Petersburg State University; Arctic &amp; Antarctic Research Institute</t>
  </si>
  <si>
    <t>Alekseev, I (corresponding author), St Petersburg State Univ, Dept Appl Ecol, St Petersburg, Russia.;Alekseev, I (corresponding author), Arctic &amp; Antarctic Res Inst, St Petersburg, Russia.</t>
  </si>
  <si>
    <t>alekseevivan95@gmail.com</t>
  </si>
  <si>
    <t>Abakumov, e_abakumov@mail.ru/ADJ-1297-2022; Abakumov, Evgeny/AAO-8580-2020; Alekseev, Ivan/H-5338-2016</t>
  </si>
  <si>
    <t>Abakumov, e_abakumov@mail.ru/0000-0002-5248-9018; Abakumov, Evgeny/0000-0002-5248-9018; Alekseev, Ivan/0000-0002-0512-3849</t>
  </si>
  <si>
    <t>Russian Scientific Foundation for Basic Research [19-54-18003, 19-05-50107, 18-04-00900]</t>
  </si>
  <si>
    <t>Russian Scientific Foundation for Basic Research(Russian Science Foundation (RSF))</t>
  </si>
  <si>
    <t>This study was supported by Russian Scientific Foundation for Basic Research, Grants No. 19-54-18003 Assessment of regional contribution of soils of Antarctic Islands into global carbon balance including degree of stabilization and humification of organic matter; 19-05-50107 The role of organic matter microparticles in degradation of glacier cover of polar regions and formation of soil-like bodies; 18-04-00900 Ornithogenic soils of Antarctica: formation, geography and biogeochemistry and Russian Antarctic Expedition (Arctic and Antarctic Research Institute, Saint Petersburg, Russia).</t>
  </si>
  <si>
    <t>NEW YORK</t>
  </si>
  <si>
    <t>ONE NEW YORK PLAZA, SUITE 4600, NEW YORK, NY, UNITED STATES</t>
  </si>
  <si>
    <t>0090-4341</t>
  </si>
  <si>
    <t>1432-0703</t>
  </si>
  <si>
    <t>ARCH ENVIRON CON TOX</t>
  </si>
  <si>
    <t>Arch. Environ. Contam. Toxicol.</t>
  </si>
  <si>
    <t>10.1007/s00244-021-00808-4</t>
  </si>
  <si>
    <t>Environmental Sciences; Toxicology</t>
  </si>
  <si>
    <t>Environmental Sciences &amp; Ecology; Toxicology</t>
  </si>
  <si>
    <t>QK1HG</t>
  </si>
  <si>
    <t>WOS:000609406700001</t>
  </si>
  <si>
    <t>Ison, S; Ison, T; Marti-Puig, P; Needham, K; Tanner, MK; Roberts, JM</t>
  </si>
  <si>
    <t>Ison, Sierra; Ison, Theo; Marti-Puig, Patricia; Needham, Katherine; Tanner, Michael K.; Roberts, J. Murray</t>
  </si>
  <si>
    <t>Tourist Preferences for Seamount Conservation in the Galapagos Marine Reserve</t>
  </si>
  <si>
    <t>FRONTIERS IN MARINE SCIENCE</t>
  </si>
  <si>
    <t>seamounts; deep-sea; marine conservation; contingent valuation; ecosystem services; Galapagos Marine Reserve; MPAs</t>
  </si>
  <si>
    <t>WILLINGNESS-TO-PAY; CONTINGENT VALUATION; PAYMENT CARD; ECONOMIC VALUATION; ECOSYSTEM SERVICES; PROTECTED AREAS; BIODIVERSITY; MANAGEMENT; CORAL; KNOWLEDGE</t>
  </si>
  <si>
    <t>Seamounts provide oases of hard substrate in the deep sea that are frequently associated with locally enhanced biological productivity and diversity. There is now increasing recognition of their ecological and socio-economic importance. However, management strategies for these habitats are constrained not only by limited ecological understanding but by the general public's understanding of the pressures facing these ecosystems. This study adds to the growing literature on willingness to pay for conservation of deep-sea ecosystems and species by undertaking a stated preference survey to assess tourist's awareness of seamounts and their preferences for protection within the Galapagos Marine Reserve. Visitors' perceptions of seamount biodiversity must be studied because tourists are key drivers of the Galapagos economy and account for 41% of the Marine Reserve budget. Our survey captured the attitudes, perceptions and willingness to pay of tourists for an increase in the entrance fee to the Galapagos Marine Reserve. Results showed tourists were willing to pay on average US$48.93 in addition to existing entrance fees. The results of this study support the willingness to develop a multiuse management plan for the Galapagos Marine Reserve, balancing conservation, local communities livelihoods and sustainable tourism. Our results evidence a willingness to support and fund conservation, which is of critical importance to both the Galapagos National Park and local non-governmental organizations heavily reliant for their work on entrance fees and donations respectively. Overall, the conclusion from this study is that, despite limited knowledge, visitors of the Galapagos Islands attach positive and significant values to the conservation of seamount biodiversity.</t>
  </si>
  <si>
    <t>[Ison, Sierra] Inst Marine &amp; Antarctic Studies, Hobart, Tas, Australia; [Ison, Sierra] Univ Tasmania, Ctr Marine Socioecol, Hobart, Tas, Australia; [Ison, Theo; Needham, Katherine; Roberts, J. Murray] Univ Edinburgh, Sch Geosci, Edinburgh, Midlothian, Scotland; [Ison, Theo; Marti-Puig, Patricia] Charles Darwin Fdn, Puerto Ayora, Ecuador; [Tanner, Michael K.] Charles Darwin Fdn, Charles Darwin Res Stn, Puerto Ayora, Ecuador; [Marti-Puig, Patricia] Oceanogami, Barcelona, Spain; [Needham, Katherine] Univ Glasgow, Inst Biodivers Anim Hlth &amp; Comparat Med, Glasgow, Lanark, Scotland</t>
  </si>
  <si>
    <t>University of Tasmania; University of Tasmania; University of Edinburgh; University of Glasgow</t>
  </si>
  <si>
    <t>Needham, K (corresponding author), Univ Edinburgh, Sch Geosci, Edinburgh, Midlothian, Scotland.;Needham, K (corresponding author), Univ Glasgow, Inst Biodivers Anim Hlth &amp; Comparat Med, Glasgow, Lanark, Scotland.</t>
  </si>
  <si>
    <t>katherine.needham@glasgow.ac.uk</t>
  </si>
  <si>
    <t>Roberts, Murray/D-8299-2013</t>
  </si>
  <si>
    <t>Simpson (Needham), Katherine/0000-0003-2487-2033; Tanner, Michael K./0000-0003-4094-9272</t>
  </si>
  <si>
    <t>iAtlantic project; European Union [678760, 818123]</t>
  </si>
  <si>
    <t>iAtlantic project; European Union(European Union (EU))</t>
  </si>
  <si>
    <t>This project adopted methodologies used in the ATLAS project with additional support from the iAtlantic project, both funded from the European Union's Horizon 2020 Research and Innovation Programme under grant agreements 678760 and 818123. The surveys in Galapagos took place through a Marine Systems &amp; Policies Master of Science project at the University of Edinburgh (undertaken by Theo Ison in 2017). This research was conducted under Galapagos National Park Directorate research permit PC-51-17, PC-81-18, PC-56-19, and PC-17-20 granted to the Charles Darwin Research Station, and is contribution number 2357 from the Charles Darwin Foundation for the Galapagos Islands.</t>
  </si>
  <si>
    <t>FRONTIERS MEDIA SA</t>
  </si>
  <si>
    <t>LAUSANNE</t>
  </si>
  <si>
    <t>AVENUE DU TRIBUNAL FEDERAL 34, LAUSANNE, CH-1015, SWITZERLAND</t>
  </si>
  <si>
    <t>2296-7745</t>
  </si>
  <si>
    <t>FRONT MAR SCI</t>
  </si>
  <si>
    <t>Front. Mar. Sci.</t>
  </si>
  <si>
    <t>10.3389/fmars.2020.602767</t>
  </si>
  <si>
    <t>Environmental Sciences; Marine &amp; Freshwater Biology</t>
  </si>
  <si>
    <t>Environmental Sciences &amp; Ecology; Marine &amp; Freshwater Biology</t>
  </si>
  <si>
    <t>QA3JU</t>
  </si>
  <si>
    <t>Green Accepted, Green Published, gold</t>
  </si>
  <si>
    <t>WOS:000613344400001</t>
  </si>
  <si>
    <t>Auger, M; Morrow, R; Kestenare, E; Sallée, JB; Cowley, R</t>
  </si>
  <si>
    <t>Auger, Matthis; Morrow, Rosemary; Kestenare, Elodie; Sallee, Jean-Baptiste; Cowley, Rebecca</t>
  </si>
  <si>
    <t>Southern Ocean in-situ temperature trends over 25 years emerge from interannual variability</t>
  </si>
  <si>
    <t>NATURE COMMUNICATIONS</t>
  </si>
  <si>
    <t>ANTARCTIC MODE WATER; SEASONAL ICE-ZONE; SURFACE SALINITY; MIXED-LAYER; DRIVEN; FRONTS; LAND</t>
  </si>
  <si>
    <t>Despite playing a major role in global ocean heat storage, the Southern Ocean remains the most sparsely measured region of the global ocean. Here, a unique 25-year temperature time-series of the upper 800m, repeated several times a year across the Southern Ocean, allows us to document the long-term change within water-masses and how it compares to the interannual variability. Three regions stand out as having strong trends that dominate over interannual variability: warming of the subantarctic waters (0.290.09 degrees C per decade); cooling of the near-surface subpolar waters (-0.07 +/- 0.04 degrees C per decade); and warming of the subsurface subpolar deep waters (0.04 +/- 0.01 degrees C per decade). Although this subsurface warming of subpolar deep waters is small, it is the most robust long-term trend of our section, being in a region with weak interannual variability. This robust warming is associated with a large shoaling of the maximum temperature core in the subpolar deep water (39 +/- 09m per decade), which has been significantly underestimated by a factor of 3 to 10 in past studies. We find temperature changes of comparable magnitude to those reported in Amundsen-Bellingshausen Seas, which calls for a reconsideration of current ocean changes with important consequences for our understanding of future Antarctic ice-sheet mass loss. The Southern Ocean takes up the most heat and carbon, yet because of its remote and harsh location, it remains relatively sparsely measured. Here the authors use a 25 year temperature series which shows a clear, long term trend in subsurface warming that emerges from interannual variability.</t>
  </si>
  <si>
    <t>[Auger, Matthis; Sallee, Jean-Baptiste] Sorbonne Univ, CNRS, LOCEAN, Paris, France; [Auger, Matthis] CNES, Toulouse, France; [Morrow, Rosemary; Kestenare, Elodie] Univ Toulouse III, LEGOS, CNRS, IRD,CNES, Toulouse, France; [Cowley, Rebecca] CSIRO Marine &amp; Atmospher Res, Hobart, Tas, Australia</t>
  </si>
  <si>
    <t>Centre National de la Recherche Scientifique (CNRS); Sorbonne Universite; Museum National d'Histoire Naturelle (MNHN); Universite de Toulouse; Universite Toulouse III - Paul Sabatier; Centre National de la Recherche Scientifique (CNRS); Institut de Recherche pour le Developpement (IRD); Laboratoire d'Etudes en Geophysique et oceanographie spatiales; Commonwealth Scientific &amp; Industrial Research Organisation (CSIRO)</t>
  </si>
  <si>
    <t>Auger, M (corresponding author), Sorbonne Univ, CNRS, LOCEAN, Paris, France.;Auger, M (corresponding author), CNES, Toulouse, France.</t>
  </si>
  <si>
    <t>matthis.auger@locean-ipsl.upmc.fr</t>
  </si>
  <si>
    <t>Cowley, Rebecca/ABB-7811-2021; SALLEE, Jean baptiste/HDO-5355-2022</t>
  </si>
  <si>
    <t>Cowley, Rebecca/0000-0001-8541-3573;</t>
  </si>
  <si>
    <t>French Institut Polaire Emile Victor (IPEV); LEGOS; IMOS (Australia's Integrate Marine Observing System); CSIRO Marine and Atmospheric Research; Earth Systems and Climate Change Hub of the Australian Government's National Environmental Science Program; French TOSCA program; European Union [821001]; CNES/CLS scholarship; H2020 Societal Challenges Programme [821001] Funding Source: H2020 Societal Challenges Programme</t>
  </si>
  <si>
    <t>French Institut Polaire Emile Victor (IPEV); LEGOS; IMOS (Australia's Integrate Marine Observing System); CSIRO Marine and Atmospheric Research(Commonwealth Scientific &amp; Industrial Research Organisation (CSIRO)); Earth Systems and Climate Change Hub of the Australian Government's National Environmental Science Program; French TOSCA program; European Union(European Union (EU)); CNES/CLS scholarship; H2020 Societal Challenges Programme(Horizon 2020European Union (EU)H2020 Societal Challenges Programme)</t>
  </si>
  <si>
    <t>XBT temperature data were obtained with the support of the French Institut Polaire Emile Victor (IPEV), the LEGOS, IMOS (Australia's Integrate Marine Observing System) and the CSIRO Marine and Atmospheric Research. We wish to thank the crew of the Astrolabe and the many volunteers who helped with these observations over 25 years. XBT data processing was performed by Rebecca Cowley of CSIRO, and the XBT technical assistance by Matt Sherlock and Craig Hanstein, CSIRO. This project is supported through funding from the Earth Systems and Climate Change Hub of the Australian Government's National Environmental Science Program. This analysis was financed by the French TOSCA program. M.A. and J.B.S. have received funding from the European Union's Horizon 2020 research and innovation program under grant agreement No 821001. M.A. was funded through a CNES/CLS scholarship. Data were sourced from Australia's Integrated Marine Observing System (IMOS)-IMOS is enabled by the National Collaborative Research Infrastructure strategy (NCRIS). It is operated by a consortium of institutions as an unincorporated joint venture, with the University of Tasmania as Lead Agent.</t>
  </si>
  <si>
    <t>NATURE PORTFOLIO</t>
  </si>
  <si>
    <t>BERLIN</t>
  </si>
  <si>
    <t>HEIDELBERGER PLATZ 3, BERLIN, 14197, GERMANY</t>
  </si>
  <si>
    <t>2041-1723</t>
  </si>
  <si>
    <t>NAT COMMUN</t>
  </si>
  <si>
    <t>Nat. Commun.</t>
  </si>
  <si>
    <t>10.1038/s41467-020-20781-1</t>
  </si>
  <si>
    <t>Multidisciplinary Sciences</t>
  </si>
  <si>
    <t>Science &amp; Technology - Other Topics</t>
  </si>
  <si>
    <t>PZ9BV</t>
  </si>
  <si>
    <t>gold, Green Submitted, Green Published</t>
  </si>
  <si>
    <t>WOS:000613043600008</t>
  </si>
  <si>
    <t>Craven, KF; McCarron, S; Monteys, X; Dove, D</t>
  </si>
  <si>
    <t>Craven, Kieran F.; McCarron, Stephen; Monteys, Xavier; Dove, Dayton</t>
  </si>
  <si>
    <t>Interaction of multiple ice streams on the Malin Shelf during deglaciation of the last British-Irish Ice Sheet</t>
  </si>
  <si>
    <t>JOURNAL OF QUATERNARY SCIENCE</t>
  </si>
  <si>
    <t>The Malin Shelf, off north-west Ireland, was an important zone of confluence for marine-based ice streams of the former British-Irish Ice Sheet (BIIS). Legacy geophysical datasets are used to construct models of the seismic character, relative age and distribution of shelf sediments and landforms. Buried and surface landform assemblages provide evidence that during deglaciation of the Late Devensian BIIS, the region was occupied not by a single Hebrides Ice Stream as previously proposed, but by four discrete ice streams, here referred to as the Sea of the Hebrides (SHIS), Inner Hebrides, North Channel and Tory Island ice streams. Our observations of stratigraphic relationships between the deposits of these ice streams indicate physical interactions between them during shelf deglaciation. We interpret an initial dominant cross-shelf flow along the SHIS impeding cross-shelf ice flow from other ice sheet sectors. Following withdrawal of the SHIS grounding line from the shelf edge to mid-shelf bathymetric highs during deglaciation, a reconfiguration of ice sheet flow paths allowed the expansion of smaller cross-shelf ice streams draining central Scotland and north-western Ireland. This internal dynamic behaviour provides a possible physical analogue for time-transgressive flow patterns reported for outlets draining the West Antarctic Ice Sheet.</t>
  </si>
  <si>
    <t>[Craven, Kieran F.; McCarron, Stephen] Maynooth Univ, Dept Geog, Maynooth W23 HW31, Kildare, Ireland; [Craven, Kieran F.; Monteys, Xavier] Geol Survey Ireland, Dublin D04 K7X4, Ireland; [Dove, Dayton] British Geol Survey, Lyell Ctr, Res Ave South, Edinburgh EH14 4AP, Midlothian, Scotland</t>
  </si>
  <si>
    <t>Maynooth University; UK Research &amp; Innovation (UKRI); Natural Environment Research Council (NERC); NERC British Geological Survey</t>
  </si>
  <si>
    <t>Craven, KF (corresponding author), Maynooth Univ, Dept Geog, Maynooth W23 HW31, Kildare, Ireland.;Craven, KF (corresponding author), Geol Survey Ireland, Dublin D04 K7X4, Ireland.</t>
  </si>
  <si>
    <t>cravenk@tcd.ie</t>
  </si>
  <si>
    <t>monteys, xavier/0000-0003-4733-3681; Mc Carron, Stephen/0000-0001-5521-5226; Craven, Kieran/0000-0002-0957-361X</t>
  </si>
  <si>
    <t>Irish Research Council Enterprise Partnership Scheme postdoctoral award [EPSD/2015/19]; NERC [bgs06003] Funding Source: UKRI</t>
  </si>
  <si>
    <t>Irish Research Council Enterprise Partnership Scheme postdoctoral award(Irish Research Council for Science, Engineering and Technology); NERC(UK Research &amp; Innovation (UKRI)Natural Environment Research Council (NERC))</t>
  </si>
  <si>
    <t>Funding for this work was provided through an Irish Research Council Enterprise Partnership Scheme postdoctoral award EPSD/2015/19. The authors wish to thank the Department of the Environment, Climate and Communications for free dissemination of geophysical data from the INSS programme and the Petroleum Affairs Division. MESH sparker profiles are from British Geological Survey materials and obtained under licence ((c) NERC). We greatly appreciate the thoughtful and constructive feedback of two anonymous reviewers that greatly improved the focus and clarity of the manuscript. Final thanks are given to Marine Institute staff, Masters and crews of the Celtic Voyager for their invaluable assistance and persistence over the duration of the research project and the wider INSS/INFOMAR programmes.</t>
  </si>
  <si>
    <t>WILEY</t>
  </si>
  <si>
    <t>HOBOKEN</t>
  </si>
  <si>
    <t>111 RIVER ST, HOBOKEN 07030-5774, NJ USA</t>
  </si>
  <si>
    <t>0267-8179</t>
  </si>
  <si>
    <t>1099-1417</t>
  </si>
  <si>
    <t>J QUATERNARY SCI</t>
  </si>
  <si>
    <t>J. Quat. Sci.</t>
  </si>
  <si>
    <t>10.1002/jqs.3266</t>
  </si>
  <si>
    <t>QN4GM</t>
  </si>
  <si>
    <t>Green Published</t>
  </si>
  <si>
    <t>WOS:000609281800001</t>
  </si>
  <si>
    <t>Novaglio, C; Bax, N; Boschetti, F; Emad, GR; Frusher, S; Fullbrook, L; Hemer, M; Jennings, S; van Putten, I; Robinson, LM; Spain, E; Vince, J; Voyer, M; Wood, G; Fulton, EA</t>
  </si>
  <si>
    <t>Novaglio, Camilla; Bax, Narissa; Boschetti, Fabio; Emad, Gholam Reza; Frusher, Stewart; Fullbrook, Liam; Hemer, Mark; Jennings, Sarah; van Putten, Ingrid; Robinson, Lucy M.; Spain, Erica; Vince, Joanna; Voyer, Michelle; Wood, Graham; Fulton, Elizabeth A.</t>
  </si>
  <si>
    <t>Deep aspirations: towards a sustainable offshore Blue Economy</t>
  </si>
  <si>
    <t>REVIEWS IN FISH BIOLOGY AND FISHERIES</t>
  </si>
  <si>
    <t>Equity; Future Seas; Industry; Interdisciplinary research; Ocean; Sustainable Development Goals</t>
  </si>
  <si>
    <t>WILLINGNESS-TO-PAY; RENEWABLE ENERGY; ENVIRONMENTAL IMPACTS; MARINE; OCEAN; PERSPECTIVES; ENGAGEMENT; RELEVANT; DEBRIS; FUTURE</t>
  </si>
  <si>
    <t>The ocean economy is experiencing rapid growth that will provide benefits but will also pose environmental and social risks. With limited space and degraded resources in coastal areas, offshore waters will be a particular focus of Blue Economy expansion over the next decade. When emerging and established economic sectors expand in offshore waters (within national Exclusive Economic Zones), different potential Blue Economy opportunities and challenges will arise. Following a series of interdisciplinary workshops, we imagine two technically possible futures for the offshore Blue Economy and we identify the actions required to achieve the more sustainable outcome. Under a business as usual scenario the focus will remain on economic growth, the commodification of nature, the dominance of private over public and cultural interests, and prioritisation of the interests of current over future generations. A more sustainable scenario would meet multiple UN Sustainable Development Goals and ensure inclusive economic developments, environmental sustainability, and fair and equitable access to resources and technologies across users, nations, and generations. Challenges to this more sustainable future are a lack of infrastructure and technology to support emerging offshore sectors, limited understanding of environmental impacts, inequitable outcomes, and a lack of planning and governmental oversight. Addressing these challenges will require a shift in societal values, a more balanced allocation of funding to offshore activities, transparency in information sharing between industries and across nations, and adjustment of international legal and institutional mechanisms. The sustainable and equitable offshore Blue Economy we envisage is achievable and provides a unique opportunity to build global capacity and partnership. Graphic abstract</t>
  </si>
  <si>
    <t>[Novaglio, Camilla; Hemer, Mark; van Putten, Ingrid; Fulton, Elizabeth A.] CSIRO, Oceans &amp; Atmosphere, Hobart, Tas, Australia; [Novaglio, Camilla; Bax, Narissa; Frusher, Stewart; Fullbrook, Liam; Jennings, Sarah; van Putten, Ingrid; Vince, Joanna; Wood, Graham; Fulton, Elizabeth A.] Ctr Marine Socioecol, Hobart, Tas, Australia; [Novaglio, Camilla; Bax, Narissa; Frusher, Stewart; Spain, Erica] Univ Tasmania, Inst Marine &amp; Antarctic Studies, Hobart, Tas, Australia; [Boschetti, Fabio; Robinson, Lucy M.] CSIRO, Oceans &amp; Atmosphere, Perth, WA, Australia; [Emad, Gholam Reza] Univ Tasmania, Australian Maritime Coll, Launceston, Tas, Australia; [Fullbrook, Liam] Univ Tasmania, Sch Social Sci, Hobart, Tas, Australia; [Robinson, Lucy M.] Univ Western Australia, Oceans Grad Sch, Perth, WA, Australia; [Vince, Joanna] Univ Tasmania, Sch Social Sci, Launceston, Tas, Australia; [Voyer, Michelle] Univ Wollongong, Australian Natl Ctr Ocean Resources &amp; Secur ANCOR, Wollongong, NSW, Australia; [Wood, Graham] Univ Tasmania, Sch Humanities, Launceston, Tas, Australia</t>
  </si>
  <si>
    <t>Commonwealth Scientific &amp; Industrial Research Organisation (CSIRO); University of Tasmania; Commonwealth Scientific &amp; Industrial Research Organisation (CSIRO); University of Tasmania; Australian Maritime College; University of Tasmania; University of Western Australia; University of Tasmania; University of Wollongong; University of Tasmania</t>
  </si>
  <si>
    <t>Novaglio, C (corresponding author), CSIRO, Oceans &amp; Atmosphere, Hobart, Tas, Australia.</t>
  </si>
  <si>
    <t>camilla.novaglio@gmail.com</t>
  </si>
  <si>
    <t>van putten, ingrid/AAV-1301-2021; Frusher, Stewart D/G-5117-2014; Jennings, Sarah M/J-7888-2014; Emad, Gholam Reza/HKM-5586-2023; Vince, Joanna Zofia/J-7465-2014; Fulton, Beth/A-2871-2008; Boschetti, Fabio/A-1607-2015; Hemer, Mark/M-1905-2013</t>
  </si>
  <si>
    <t>van putten, ingrid/0000-0001-8397-9768; Emad, Gholam Reza/0000-0001-9784-5103; Vince, Joanna Zofia/0000-0002-4469-7634; Spain, Erica/0000-0002-4689-018X; Boschetti, Fabio/0000-0001-8999-6913; Voyer, Michelle/0000-0001-6170-9994; Robinson, Lucy/0000-0001-9324-401X; Novaglio, Camilla/0000-0003-3681-1377; Hemer, Mark/0000-0002-7725-3474</t>
  </si>
  <si>
    <t>Centre for Marine Socioecology at UTAS; IMAS at UTAS; MENZIES at UTAS; College of Arts, Law and Education at UTAS; College of Science and Engineering at UTAS; Snowchange from Finland; Research Enhancement Program grant from the DVCR Office at UTAS</t>
  </si>
  <si>
    <t>This paper is part of the 'Future Seas' initiative. Funding for Future Seas was provided by the Centre for Marine Socioecology, IMAS, MENZIES and the College of Arts, Law and Education, the College of Science and Engineering at UTAS, and Snowchange from Finland. We acknowledge support from a Research Enhancement Program grant from the DVCR Office at UTAS.</t>
  </si>
  <si>
    <t>0960-3166</t>
  </si>
  <si>
    <t>1573-5184</t>
  </si>
  <si>
    <t>REV FISH BIOL FISHER</t>
  </si>
  <si>
    <t>Rev. Fish. Biol. Fish.</t>
  </si>
  <si>
    <t>SI</t>
  </si>
  <si>
    <t>10.1007/s11160-020-09628-6</t>
  </si>
  <si>
    <t>Fisheries; Marine &amp; Freshwater Biology</t>
  </si>
  <si>
    <t>ZU7BD</t>
  </si>
  <si>
    <t>Bronze, Green Published, Green Submitted</t>
  </si>
  <si>
    <t>WOS:000609365300001</t>
  </si>
  <si>
    <t>Biederman, AM; O'Brien, KM; Crockett, EL</t>
  </si>
  <si>
    <t>Biederman, Amanda M.; O'Brien, Kristin M.; Crockett, Elizabeth L.</t>
  </si>
  <si>
    <t>Homeoviscous adaptation occurs with thermal acclimation in biological membranes from heart and gill, but not the brain, in the Antarctic fish Notothenia coriiceps</t>
  </si>
  <si>
    <t>JOURNAL OF COMPARATIVE PHYSIOLOGY B-BIOCHEMICAL SYSTEMS AND ENVIRONMENTAL PHYSIOLOGY</t>
  </si>
  <si>
    <t>Antarctic notothenioid; Thermal acclimation; Membranes; Phospholipids; Cholesterol</t>
  </si>
  <si>
    <t>As temperatures continue to rise, adjustments to biological membranes will be key for maintenance of function. It is largely unknown to what extent Antarctic notothenioids possess the capacity to remodel their biological membranes in response to thermal change. In this study, physical and biochemical properties were examined in membranes prepared from gill epithelia (plasma membranes), cardiac ventricles (microsomes, mitochondria), and brains (synaptic membranes, myelin, mitochondria) from Notothenia coriiceps following acclimation to 5 degrees C (or held at ambient temperature, 0 degrees C) for a minimum of 6 weeks. Fluidity was measured between 0 and 30 degrees C in all membranes, and polar lipid compositions and cholesterol contents were analyzed in a subset of biological membranes from all tissues. Osmotic permeability was measured in gills at 0 and 4 degrees C. Gill plasma membranes, cardiac mitochondria, and cardiac microsomes displayed reduced fluidity following acclimation to 5 degrees C, indicating compensation for elevated temperature. In contrast, no fluidity changes with acclimation were observed in any of the membranes prepared from brain. In all membranes, adjustments to the relative abundances of major phospholipid classes, and to the extent of fatty acid unsaturation, were undetectable following thermal acclimation. However, alterations in cholesterol contents and acyl chain length, consistent with the changes in fluidity, were observed in membranes from gill and cardiac tissue. Water permeability was reduced with 5 degrees C acclimation in gills, indicating near-perfect homeostatic efficacy. Taken together, these results demonstrate a homeoviscous response in gill and cardiac membranes, and limited plasticity in membranes from the nervous system, in an Antarctic notothenioid.</t>
  </si>
  <si>
    <t>[Biederman, Amanda M.; Crockett, Elizabeth L.] Ohio Univ, Dept Biol Sci, Athens, OH 45701 USA; [O'Brien, Kristin M.] Univ Alaska, Inst Arctic Biol, Fairbanks, AK 99775 USA</t>
  </si>
  <si>
    <t>University System of Ohio; Ohio University; University of Alaska System; University of Alaska Fairbanks</t>
  </si>
  <si>
    <t>Biederman, AM (corresponding author), Ohio Univ, Dept Biol Sci, Athens, OH 45701 USA.</t>
  </si>
  <si>
    <t>ab971013@ohio.edu</t>
  </si>
  <si>
    <t>O'Brien, Kristin/0000-0002-3311-0690; Biederman, Amanda/0000-0003-3555-1104</t>
  </si>
  <si>
    <t>US National Science Foundation [PLR 1341602]; Ohio University Student Enhancement Award Program</t>
  </si>
  <si>
    <t>US National Science Foundation(National Science Foundation (NSF)); Ohio University Student Enhancement Award Program</t>
  </si>
  <si>
    <t>Financial support for this research was provided by the US National Science Foundation [Grant no. PLR 1341602] and the Ohio University Student Enhancement Award Program.</t>
  </si>
  <si>
    <t>SPRINGER HEIDELBERG</t>
  </si>
  <si>
    <t>HEIDELBERG</t>
  </si>
  <si>
    <t>TIERGARTENSTRASSE 17, D-69121 HEIDELBERG, GERMANY</t>
  </si>
  <si>
    <t>0174-1578</t>
  </si>
  <si>
    <t>1432-136X</t>
  </si>
  <si>
    <t>J COMP PHYSIOL B</t>
  </si>
  <si>
    <t>J. Comp. Physiol. B-Biochem. Syst. Environ. Physiol.</t>
  </si>
  <si>
    <t>10.1007/s00360-020-01339-5</t>
  </si>
  <si>
    <t>Physiology; Zoology</t>
  </si>
  <si>
    <t>QJ6VT</t>
  </si>
  <si>
    <t>WOS:000609333500001</t>
  </si>
  <si>
    <t>Zhou, GL; Sun, CX; Hou, XW; Che, Q; Zhang, GJ; Gu, QQ; Liu, CG; Zhu, TJ; Li, DH</t>
  </si>
  <si>
    <t>Zhou, Guoliang; Sun, Chunxiao; Hou, Xuewen; Che, Qian; Zhang, Guojian; Gu, Qianqun; Liu, Chenguang; Zhu, Tianjiao; Li, Dehai</t>
  </si>
  <si>
    <t>Ascandinines A-D, Indole Diterpenoids, from the Sponge-Derived Fungus Aspergillus candidus HDN15-152</t>
  </si>
  <si>
    <t>JOURNAL OF ORGANIC CHEMISTRY</t>
  </si>
  <si>
    <t>STRUCTURE ELUCIDATION; ALKALOIDS; FLAVUS</t>
  </si>
  <si>
    <t>Four new indole diterpenoids, ascandinines A-D (1-4), were isolated from an Antarctic sponge-derived fungus Aspergillus candidus HDN15-152. Their structures, including absolute configurations, were established based on NMR data, computational calculations, and biosynthetic considerations. Ascandinine A (1) possesses an unprecedented 2-oxabicyclo[2.2.2]octan-3-ol motif embedded in a pentacyclic ring system, while compounds 2-4 represent a rare type of indole diterpenoid featuring the 6/5/5/6/6/6/6-fused ring system. Compound 3 displayed anti-influenza virus A (H1N1) activity with an IC50 value of 26 mu M, while compound 4 showed cytotoxicity against HL-60 cells with an IC50 value of 7.8 mu M.</t>
  </si>
  <si>
    <t>[Zhou, Guoliang; Sun, Chunxiao; Hou, Xuewen; Che, Qian; Zhang, Guojian; Gu, Qianqun; Zhu, Tianjiao; Li, Dehai] Ocean Univ China, Sch Med &amp; Pharm, Key Lab Marine Drugs, Chinese Minist Educ, Qingdao 266003, Peoples R China; [Zhang, Guojian; Li, Dehai] Pilot Natl Lab Marine Sci &amp; Technol, Lab Marine Drugs &amp; Bioprod, Qingdao 266237, Peoples R China; [Liu, Chenguang] Ocean Univ China, Coll Marine Life Sci, Qingdao 266003, Peoples R China; [Li, Dehai] Pilot Natl Lab Marine Sci &amp; Technol, Open Studio Druggabil Res Marine Nat Prod, Qingdao 266237, Peoples R China</t>
  </si>
  <si>
    <t>Ocean University of China; Laoshan Laboratory; Ocean University of China; Laoshan Laboratory</t>
  </si>
  <si>
    <t>Zhu, TJ; Li, DH (corresponding author), Ocean Univ China, Sch Med &amp; Pharm, Key Lab Marine Drugs, Chinese Minist Educ, Qingdao 266003, Peoples R China.;Li, DH (corresponding author), Pilot Natl Lab Marine Sci &amp; Technol, Lab Marine Drugs &amp; Bioprod, Qingdao 266237, Peoples R China.;Li, DH (corresponding author), Pilot Natl Lab Marine Sci &amp; Technol, Open Studio Druggabil Res Marine Nat Prod, Qingdao 266237, Peoples R China.</t>
  </si>
  <si>
    <t>zhutj@ouc.edu.cn; dehaili@ouc.edu.cn</t>
  </si>
  <si>
    <t>Hou, Xuewen/HMU-9346-2023; Li, Dehai/G-7656-2012</t>
  </si>
  <si>
    <t>Li, Dehai/0000-0002-7191-2002</t>
  </si>
  <si>
    <t>National Key R&amp;D Program of China [2018YFC1406705]; National Natural Science Foundation of China [41876216, 81973234, 81991522]; National Science and Technology Major Project for Significant New Drugs Development [2018ZX09735004]; Marine S&amp;T Fund of Shandong Province for Pilot National Laboratory for Marine Science and Technology (Qingdao) [2018SDKJ0401-2]; China Postdoctoral Science Foundation [2017M622286]; Taishan Scholar Youth Expert Program in Shandong Province [tsqn201812021]</t>
  </si>
  <si>
    <t>National Key R&amp;D Program of China; National Natural Science Foundation of China(National Natural Science Foundation of China (NSFC)); National Science and Technology Major Project for Significant New Drugs Development; Marine S&amp;T Fund of Shandong Province for Pilot National Laboratory for Marine Science and Technology (Qingdao); China Postdoctoral Science Foundation(China Postdoctoral Science Foundation); Taishan Scholar Youth Expert Program in Shandong Province</t>
  </si>
  <si>
    <t>This work was financially supported by the National Key R&amp;D Program of China (grant 2018YFC1406705), the National Natural Science Foundation of China (41876216, 81973234, and 81991522), the National Science and Technology Major Project for Significant New Drugs Development (2018ZX09735004), the Marine S&amp;T Fund of Shandong Province for Pilot National Laboratory for Marine Science and Technology (Qingdao) (2018SDKJ0401-2), the Project funded by China Postdoctoral Science Foundation (2017M622286), and the Taishan Scholar Youth Expert Program in Shandong Province (tsqn201812021). The authors also thank Dr. R.A. Keyzers for help with preparation of the manuscript.</t>
  </si>
  <si>
    <t>AMER CHEMICAL SOC</t>
  </si>
  <si>
    <t>WASHINGTON</t>
  </si>
  <si>
    <t>1155 16TH ST, NW, WASHINGTON, DC 20036 USA</t>
  </si>
  <si>
    <t>0022-3263</t>
  </si>
  <si>
    <t>1520-6904</t>
  </si>
  <si>
    <t>J ORG CHEM</t>
  </si>
  <si>
    <t>J. Org. Chem.</t>
  </si>
  <si>
    <t>FEB 5</t>
  </si>
  <si>
    <t>10.1021/acs.joc.0c02575</t>
  </si>
  <si>
    <t>Chemistry, Organic</t>
  </si>
  <si>
    <t>Science Citation Index Expanded (SCI-EXPANDED); Index Chemicus (IC)</t>
  </si>
  <si>
    <t>Chemistry</t>
  </si>
  <si>
    <t>QH8RV</t>
  </si>
  <si>
    <t>WOS:000618540600030</t>
  </si>
  <si>
    <t>Handley, J; Rouyer, MM; Pearmain, EJ; Warwick-Evans, V; Teschke, K; Hinke, JT; Lynch, H; Emmerson, L; Southwell, C; Griffith, G; Cárdenas, CA; Franco, AMA; Trathan, P; Dias, MP</t>
  </si>
  <si>
    <t>Handley, Jonathan; Rouyer, Marie-Morgane; Pearmain, Elizabeth J.; Warwick-Evans, Victoria; Teschke, Katharina; Hinke, Jefferson T.; Lynch, Heather; Emmerson, Louise; Southwell, Colin; Griffith, Gary; Cardenas, Cesar A.; Franco, Aldina M. A.; Trathan, Phil; Dias, Maria P.</t>
  </si>
  <si>
    <t>Marine Important Bird and Biodiversity Areas for Penguins in Antarctica, Targets for Conservation Action</t>
  </si>
  <si>
    <t>marine protected area; fisheries; Spheniscidae; Pygoscelis; Aptenodytes; CCAMLR; marine IBA</t>
  </si>
  <si>
    <t>SOUTH SHETLAND ISLANDS; EMPEROR PENGUIN; CHINSTRAP PENGUINS; TRACKING DATA; POPULATIONS; SEABIRDS; VARIABILITY; MANAGEMENT; PHENOLOGY; DYNAMICS</t>
  </si>
  <si>
    <t>Global targets for area-based conservation and management must move beyond threshold-based targets alone and must account for the quality of such areas. In the Southern Ocean around Antarctica, a region where key biodiversity faces unprecedented risks from climate change and where there is a growing demand to extract resources, a number of marine areas have been afforded enhanced conservation or management measures through two adopted marine protected areas (MPAs). However, evidence suggests that additional high quality areas could benefit from a proposed network of MPAs. Penguins offer a particular opportunity to identify high quality areas because these birds, as highly visible central-place foragers, are considered indicator species whose populations reflect the state of the surrounding marine environment. We compiled a comprehensive dataset of the location of penguin colonies and their associated abundance estimates in Antarctica. We then estimated the at-sea distribution of birds based on information derived from tracking data and through the application of a modified foraging radius approach with a density decay function to identify some of the most important marine areas for chick-rearing adult penguins throughout waters surrounding Antarctica following the Important Bird and Biodiversity Area (IBA) framework. Additionally, we assessed how marine IBAs overlapped with the currently adopted and proposed network of key management areas (primarily MPAs), and how the krill fishery likely overlapped with marine IBAs over the past five decades. We identified 63 marine IBAs throughout Antarctic waters and found that were the proposed MPAs to be adopted, the permanent conservation of high quality areas for penguin species would increase by between 49 and 100% depending on the species. Furthermore, our data show that, despite a generally contracting range of operation by the krill fishery in Antarctica over the past five decades, a consistently disproportionate amount of krill is being harvested within marine IBAs compared to the total area in which the fishery operates. Our results support the designation of the proposed MPA network and offer additional guidance as to where decision-makers should act before further perturbation occurs in the Antarctic marine ecosystem.</t>
  </si>
  <si>
    <t>[Handley, Jonathan; Pearmain, Elizabeth J.; Dias, Maria P.] BirdLife Int, Cambridge, England; [Rouyer, Marie-Morgane; Franco, Aldina M. A.] Univ East Anglia, Sch Environm Sci, Norwich, Norfolk, England; [Warwick-Evans, Victoria; Trathan, Phil] British Antarctic Survey, Cambridge, England; [Teschke, Katharina] Helmholtz Ctr Polar &amp; Marine Res, Alfred Wegener Inst, Bremerhaven, Germany; [Teschke, Katharina] Univ Oldenburg HIFMB, Helmholtz Inst Funct Marine Biodivers, Oldenburg, Germany; [Hinke, Jefferson T.] NOAA, Antarctic Ecosyst Res Div, Southwest Fisheries Sci Ctr, Natl Marine Fisheries Serv, La Jolla, CA USA; [Lynch, Heather] SUNY Stony Brook, Dept Ecol &amp; Evolut, Stony Brook, NY 11794 USA; [Lynch, Heather] SUNY Stony Brook, Inst Adv Computat Sci, Stony Brook, NY 11794 USA; [Emmerson, Louise; Southwell, Colin] Dept Agr Water &amp; Environm, Australian Antarctic Div, Kingston, Tas, Australia; [Griffith, Gary] Norwegian Polar Res Inst, Norsk Polarinst, Tromso, Norway; [Cardenas, Cesar A.] Inst Antartico Chileno, Dept Cient, Punta Arenas, Chile; [Dias, Maria P.] ISPA Inst Univ, MARE Marine &amp; Environm Sci Ctr, Lisbon, Portugal</t>
  </si>
  <si>
    <t>BirdLife International; University of East Anglia; UK Research &amp; Innovation (UKRI); Natural Environment Research Council (NERC); NERC British Antarctic Survey; Helmholtz Association; Alfred Wegener Institute, Helmholtz Centre for Polar &amp; Marine Research; National Oceanic Atmospheric Admin (NOAA) - USA; State University of New York (SUNY) System; State University of New York (SUNY) Stony Brook; State University of New York (SUNY) System; State University of New York (SUNY) Stony Brook; Australian Antarctic Division; Norwegian Polar Institute; Instituto Superior Psicologia Aplicada (ISPA)</t>
  </si>
  <si>
    <t>Handley, J; Dias, MP (corresponding author), BirdLife Int, Cambridge, England.;Dias, MP (corresponding author), ISPA Inst Univ, MARE Marine &amp; Environm Sci Ctr, Lisbon, Portugal.</t>
  </si>
  <si>
    <t>jonathan.m.handley@gmail.com; maria.dias@birdlife.org</t>
  </si>
  <si>
    <t>, Jefferson/AAG-1702-2021; Dias, Maria P./D-1331-2012; Cardenas, Cesar/ABF-1664-2020; Franco, Aldina/G-2144-2010</t>
  </si>
  <si>
    <t>, Jefferson/0000-0002-3600-1414; Dias, Maria P./0000-0002-7281-4391; Cardenas, Cesar/0000-0001-6662-6899; Franco, Aldina/0000-0001-6055-7378; Rouyer, Marie-Morgane/0000-0003-4915-7191; Handley, Jonathan/0000-0001-6468-338X; Teschke, Katharina/0000-0001-9595-7443</t>
  </si>
  <si>
    <t>Pew Charitable Trusts; European Commission through the program Erasmus Mundus Master Course -International Master in Applied Ecology (EEMC IMAE) [FPA 2023-0224/532524-1-FR-2012-1-ERA MUNDUSEMMC]; NERC [bas0100035] Funding Source: UKRI</t>
  </si>
  <si>
    <t>Pew Charitable Trusts; European Commission through the program Erasmus Mundus Master Course -International Master in Applied Ecology (EEMC IMAE); NERC(UK Research &amp; Innovation (UKRI)Natural Environment Research Council (NERC))</t>
  </si>
  <si>
    <t>Support for this project was provided by The Pew Charitable Trusts. M-MR was financially supported by the European Commission through the program Erasmus Mundus Master Course -International Master in Applied Ecology (EEMC IMAE) (FPA 2023-0224/532524-1-FR-2012-1-ERA MUNDUSEMMC) -Coordination F.-J. Richard, Universite de Poitiers, France.</t>
  </si>
  <si>
    <t>JAN 20</t>
  </si>
  <si>
    <t>10.3389/fmars.2020.602972</t>
  </si>
  <si>
    <t>PY9IR</t>
  </si>
  <si>
    <t>Green Published, Green Accepted, gold</t>
  </si>
  <si>
    <t>WOS:000612354800001</t>
  </si>
  <si>
    <t>Sung, HM; Kim, J; Shim, S; Seo, JB; Kwon, SH; Sun, MA; Moon, H; Lee, JH; Lim, YJ; Boo, KO; Kim, Y; Lee, J; Lee, J; Kim, JS; Marzin, C; Byun, YH</t>
  </si>
  <si>
    <t>Sung, Hyun Min; Kim, Jisun; Shim, Sungbo; Seo, Jeong-byn; Kwon, Sang-Hoon; Sun, Min-Ah; Moon, Hyejin; Lee, Jae-Hee; Lim, Yoon-Jin; Boo, Kyung-On; Kim, Youngmi; Lee, Johan; Lee, Jiwoo; Kim, Jun-su; Marzin, Charline; Byun, Young-Hwa</t>
  </si>
  <si>
    <t>Climate Change Projection in the Twenty-First Century Simulated by NIMS-KMA CMIP6 Model Based on New GHGs Concentration Pathways</t>
  </si>
  <si>
    <t>ASIA-PACIFIC JOURNAL OF ATMOSPHERIC SCIENCES</t>
  </si>
  <si>
    <t>CMIP6; ScenarioMIP; SSP-RCP; Climate change; Future projection</t>
  </si>
  <si>
    <t>21ST-CENTURY; JULES</t>
  </si>
  <si>
    <t>The National Institute of Meteorological Sciences-Korea Meteorological Administration (NIMS-KMA) has participated in the Coupled Model Inter-comparison Project (CMIP) and provided long-term simulations using the coupled climate model. The NIMS-KMA produces new future projections using the ensemble mean of KMA Advanced Community Earth system model (K-ACE) and UK Earth System Model version1 (UKESM1) simulations to provide scientific information of future climate changes. In this study, we analyze four experiments those conducted following the new shared socioeconomic pathway (SSP) based scenarios to examine projected climate change in the twenty-first century. Present day (PD) simulations show high performance skill in both climate mean and variability, which provide a reliability of the climate models and reduces the uncertainty in response to future forcing. In future projections, global temperature increases from 1.92 degrees C to 5.20 degrees C relative to the PD level (1995-2014). Global mean precipitation increases from 5.1% to 10.1% and sea ice extent decreases from 19% to 62% in the Arctic and from 18% to 54% in the Antarctic. In addition, climate changes are accelerating toward the late twenty-first century. Our CMIP6 simulations are released to the public through the Earth System Grid Federation (ESGF) international data sharing portal and are used to support the establishment of the national adaptation plan for climate change in South Korea.</t>
  </si>
  <si>
    <t>[Sung, Hyun Min; Kim, Jisun; Shim, Sungbo; Seo, Jeong-byn; Kwon, Sang-Hoon; Sun, Min-Ah; Moon, Hyejin; Lee, Jae-Hee; Byun, Young-Hwa] Natl Inst Meteorol Sci, Innovat Meteorol Res Dept, Climate Res Div, Seogwipo, Jeju, South Korea; [Lim, Yoon-Jin; Kim, Jun-su] Numer Modelling Ctr, Numer Model Dev Div, Seoul, South Korea; [Boo, Kyung-On; Lee, Johan] Natl Inst Meteorol Sci, Operat Syst Dev Dept, Seogwipo, Jeju, South Korea; [Kim, Youngmi] Natl Inst Meteorol Sci, Planning &amp; Finance Div, Seogwipo, Jeju, South Korea; [Lee, Jiwoo] Lawrence Livermore Natl Lab, Program Climate Model Diag &amp; Intercomparison, Livermore, CA 94550 USA; [Marzin, Charline] Met Off Hadley Ctr, Exeter, Devon, England</t>
  </si>
  <si>
    <t>National Institute of Meteorological Sciences; National Institute of Meteorological Sciences; National Institute of Meteorological Sciences; United States Department of Energy (DOE); Lawrence Livermore National Laboratory; Met Office - UK; Hadley Centre</t>
  </si>
  <si>
    <t>Sung, HM (corresponding author), Natl Inst Meteorol Sci, Innovat Meteorol Res Dept, Climate Res Div, Seogwipo, Jeju, South Korea.</t>
  </si>
  <si>
    <t>sunghm122@korea.kr</t>
  </si>
  <si>
    <t>BYUN, Young-Hwa/JCO-1048-2023</t>
  </si>
  <si>
    <t>BYUN, Young-Hwa/0000-0002-6074-4461; Sung, Hyun Min/0000-0003-3120-7912</t>
  </si>
  <si>
    <t>Korea Meteorological Administration Research and Development Program Development and Assessment of IPCC AR6 Climate Change Scenarios [KMA2018-00321]; U.S. Department of Energy (BER, RGMA Program) by Lawrence Livermore National Laboratory [DE-AC52-07NA27344]</t>
  </si>
  <si>
    <t>Korea Meteorological Administration Research and Development Program Development and Assessment of IPCC AR6 Climate Change Scenarios; U.S. Department of Energy (BER, RGMA Program) by Lawrence Livermore National Laboratory(United States Department of Energy (DOE))</t>
  </si>
  <si>
    <t>This work was funded by the Korea Meteorological Administration Research and Development Program Development and Assessment of IPCC AR6 Climate Change Scenarios under Grant (KMA2018-00321). UKESM1 is in collaboration with U.K. Met Office. Work of Jiwoo Lee was performed under the auspices of the U.S. Department of Energy (BER, RGMA Program) by Lawrence Livermore National Laboratory under Contract DE-AC52-07NA27344.</t>
  </si>
  <si>
    <t>KOREAN METEOROLOGICAL SOC</t>
  </si>
  <si>
    <t>SEOUL</t>
  </si>
  <si>
    <t>1510 RENAISSANCE TOWER BLDG, 14, MALLIJAE-RO, MAPO-GU, SEOUL, SOUTH KOREA</t>
  </si>
  <si>
    <t>1976-7633</t>
  </si>
  <si>
    <t>1976-7951</t>
  </si>
  <si>
    <t>ASIA-PAC J ATMOS SCI</t>
  </si>
  <si>
    <t>Asia-Pac. J. Atmos. Sci.</t>
  </si>
  <si>
    <t>NOV</t>
  </si>
  <si>
    <t>10.1007/s13143-021-00225-6</t>
  </si>
  <si>
    <t>Meteorology &amp; Atmospheric Sciences</t>
  </si>
  <si>
    <t>UT9SV</t>
  </si>
  <si>
    <t>WOS:000609065100001</t>
  </si>
  <si>
    <t>Park, HJ; Lee, YM; Do, H; Lee, JH; Kim, E; Lee, H; Kim, D</t>
  </si>
  <si>
    <t>Park, Ha Ju; Lee, Yung Mi; Do, Hackwon; Lee, Jun Hyuck; Kim, Eungbin; Lee, Hyoungseok; Kim, Dockyu</t>
  </si>
  <si>
    <t>Involvement of laccase-like enzymes in humic substance degradation by diverse polar soil bacteria</t>
  </si>
  <si>
    <t>FOLIA MICROBIOLOGICA</t>
  </si>
  <si>
    <t>Humic substances (HS) in soil are widely distributed in cold environments and account for a significant fraction of soil's organic carbon. Bacterial strains (n = 281) were isolated at 15 degrees C using medium containing humic acids (HA), a principal component of HS, from a variety of polar soil samples: 217 from the Antarctic and 64 from the Arctic. We identified 73 potential HA-degrading bacteria based on 16S rRNA sequence similarity, and these sequences were affiliated with phyla Proteobacteria (73.9%), Actinobacteria (20.5%), and Bacteroidetes (5.5%). HA-degrading strains were further classified into the genera Pseudomonas (51 strains), Rhodococcus (10 strains), or others (12 strains). Most strains degraded HA between 10 and 25 degrees C, but not above 30 degrees C, indicating cold-adapted degradation. Thirty unique laccase-like multicopper oxidase (LMCO) gene fragments were PCR-amplified from 71% of the 73 HA-degrading bacterial strains, all of which included conserved copper-binding regions (CBR) I and II, both essential for laccase activity. Bacterial LMCO sequences differed from known fungal laccases; for example, a cysteine residue between CBR I and CBR II in fungal laccases was not detected in bacterial LMCOs. This suggests a bacterial biomarker role for LMCO to predict changes in HS-degradation rates in tundra regions as global climate changes. Computer-aided molecular modeling showed these LMCOs contain a highly-conserved copper-dependent active site formed by three histidine residues between CBR I and CBR II. Phylogenetic- and modeling-based methods confirmed the wide occurrence of LMCO genes in HA-degrading polar soil bacteria and linked their putative gene functions with initial HS-degradation processes.</t>
  </si>
  <si>
    <t>[Park, Ha Ju; Lee, Yung Mi; Lee, Hyoungseok; Kim, Dockyu] Korea Polar Res Inst, Div Life Sci, Incheon 21990, South Korea; [Do, Hackwon; Lee, Jun Hyuck] Korea Univ Sci &amp; Technol, Dept Polar Sci, Incheon 21990, South Korea; [Do, Hackwon; Lee, Jun Hyuck] Korea Polar Res Inst, Res Unit Cryogen Novel Mat, Incheon 21990, South Korea; [Kim, Eungbin] Yonsei Univ, Dept Syst Biol, Seoul 03722, South Korea</t>
  </si>
  <si>
    <t>Korea Polar Research Institute (KOPRI); Korea Polar Research Institute (KOPRI); Yonsei University</t>
  </si>
  <si>
    <t>Kim, D (corresponding author), Korea Polar Res Inst, Div Life Sci, Incheon 21990, South Korea.</t>
  </si>
  <si>
    <t>envimic@kopri.re.kr</t>
  </si>
  <si>
    <t>, Eungbin/0000-0002-4851-4743; Lee, Hyoungseok/0000-0002-5831-6345</t>
  </si>
  <si>
    <t>Korea Polar Research Institute [PE20170]</t>
  </si>
  <si>
    <t>Korea Polar Research Institute(Korea Polar Research Institute of Marine Research Placement (KOPRI))</t>
  </si>
  <si>
    <t>This work was supported by Korea Polar Research Institute (grant PE20170).</t>
  </si>
  <si>
    <t>0015-5632</t>
  </si>
  <si>
    <t>1874-9356</t>
  </si>
  <si>
    <t>FOLIA MICROBIOL</t>
  </si>
  <si>
    <t>Folia Microbiol.</t>
  </si>
  <si>
    <t>JUN</t>
  </si>
  <si>
    <t>10.1007/s12223-020-00847-9</t>
  </si>
  <si>
    <t>Biotechnology &amp; Applied Microbiology; Microbiology</t>
  </si>
  <si>
    <t>SF8YS</t>
  </si>
  <si>
    <t>WOS:000609060500003</t>
  </si>
  <si>
    <t>Rivaro, P; Ardini, F; Grotti, M; Vivado, D; Salis, A; Damonte, G</t>
  </si>
  <si>
    <t>Rivaro, P.; Ardini, F.; Grotti, M.; Vivado, D.; Salis, A.; Damonte, G.</t>
  </si>
  <si>
    <t>Detection of carbohydrates in sea ice extracellular polymeric substances via solid-phase extraction and HPLC-ESI-MS/MS</t>
  </si>
  <si>
    <t>MARINE CHEMISTRY</t>
  </si>
  <si>
    <t>Antarctica; Sea ice; Organic ligands; EPS; HPLS-ESI-MS/MS; Solid phase extraction</t>
  </si>
  <si>
    <t>PERFORMANCE LIQUID-CHROMATOGRAPHY; DISSOLVED ORGANIC-MATTER; ANTARCTIC PACK ICE; TERRA-NOVA BAY; HYDROXAMATE SIDEROPHORES; MASS-SPECTROMETRY; ROSS SEA; IRON; ELECTROSPRAY; COASTAL</t>
  </si>
  <si>
    <t>Dissolved organic matter in sea ice is rich in extracellular polymeric substances (EPS) secreted by sea ice algae and bacteria. Carbohydrates are the most abundant component of EPS and they may contribute to the Fe-binding organic ligand pool, increasing the residence time of bioavailable Fe in the euphotic zone when sea ice melts. A new method for the determination of EPS in sea ice samples is presented, using Solid Phase Extraction (SPE) column for the extraction and the pre-concentration steps and HPLC-ESI-MS/MS for the separation and identification of the analytes. The method has been built up and optimized using composite samples obtained from pack-ice aliquots collected during the winter 2012 in the framework of the activities of Australian-led Sea Ice Physics and Ecosystem eXperiment-2 (SIPEX-2) voyage. The SPE allowed samples as small as 50 mL, also reducing sample preparation time, as well as removing the salt of the matrix. Nine EPS with a mass lower than 1500 Da were identified by HPLC-ESI-MS/MS, characterized by a different number of glucose residue units making up the polymeric chain. The total estimated concentration was 46 ppb (mu g L-1), in agreement with spectrophotometric assay results.</t>
  </si>
  <si>
    <t>[Rivaro, P.; Ardini, F.; Grotti, M.; Vivado, D.] Univ Genoa, Dept Chem &amp; Ind Chem, Via Dodecaneso 31, I-16146 Genoa, Italy; [Salis, A.; Damonte, G.] Ctr Excellence Biomed Res, Viale Benedetto 15 9, I-16132 Genoa, Italy; [Damonte, G.] Univ Genoa, Dept Expt Med, Via Leon Battista Alberti 2, I-16132 Genoa, Italy</t>
  </si>
  <si>
    <t>University of Genoa; University of Genoa</t>
  </si>
  <si>
    <t>Rivaro, P (corresponding author), Univ Genoa, Dept Chem &amp; Ind Chem, Via Dodecaneso 31, I-16146 Genoa, Italy.</t>
  </si>
  <si>
    <t>paola.rivaro@unige.it</t>
  </si>
  <si>
    <t>Grotti, Marco/HGU-3949-2022</t>
  </si>
  <si>
    <t>Grotti, Marco/0000-0001-6956-5761</t>
  </si>
  <si>
    <t>Australian Research Council [LE0989539, DE120100030]; Australian Antarctic Science (AAS) project [4051]; Italian National Program for Research in Antarctica (CELEBeR project) [PNRA_16_00207]; Australian Research Council [DE120100030] Funding Source: Australian Research Council</t>
  </si>
  <si>
    <t>Australian Research Council(Australian Research Council); Australian Antarctic Science (AAS) project; Italian National Program for Research in Antarctica (CELEBeR project); Australian Research Council(Australian Research Council)</t>
  </si>
  <si>
    <t>The authors would like to thank Dr. Delphine Lannuzel (Institute for Marine and Antarctic Studies, Hobart, Tasmania, Australia) for providing us with the sea ice samples collected in the framework of SIPEX 2 project (Australian Research Council (LE0989539 and DE120100030), the Australian Government Cooperative Research Centers Programme through the Antarctic Climate &amp; Ecosystems (ACE CRC, ACE-Carbon 2.1) and the Australian Antarctic Science (AAS) project n. 4051).We are grateful to Dr. Silvia Ermini, Dr. Enrica Verardo and Dr. Daniela Verzola for the technical support provided us during the preparation and the analysis of the sea ice samples. We are grateful to anonymous referees for their suggestions. Thanks are due to Mrs. Diana Zerilli for English revision. This work was funded by the Italian National Program for Research in Antarctica (CELEBeR project PNRA_16_00207).</t>
  </si>
  <si>
    <t>0304-4203</t>
  </si>
  <si>
    <t>1872-7581</t>
  </si>
  <si>
    <t>MAR CHEM</t>
  </si>
  <si>
    <t>Mar. Chem.</t>
  </si>
  <si>
    <t>10.1016/j.marchem.2020.103911</t>
  </si>
  <si>
    <t>Chemistry, Multidisciplinary; Oceanography</t>
  </si>
  <si>
    <t>Chemistry; Oceanography</t>
  </si>
  <si>
    <t>PS7XI</t>
  </si>
  <si>
    <t>WOS:000608138600004</t>
  </si>
  <si>
    <t>Thébault, J; Bustamante, P; Massaro, M; Taylor, G; Quillfeldt, P</t>
  </si>
  <si>
    <t>Thebault, Justine; Bustamante, Paco; Massaro, Melanie; Taylor, Graeme; Quillfeldt, Petra</t>
  </si>
  <si>
    <t>Influence of Species-Specific Feeding Ecology on Mercury Concentrations in Seabirds Breeding on the Chatham Islands, New Zealand</t>
  </si>
  <si>
    <t>ENVIRONMENTAL TOXICOLOGY AND CHEMISTRY</t>
  </si>
  <si>
    <t>Heavy metal; Bioaccumulation; Food web; Bulk stable isotopes; Compound-specific isotopic analyses of amino acids; Pterodroma</t>
  </si>
  <si>
    <t>PERSISTENT ORGANIC POLLUTANTS; COMMON DIVING-PETRELS; NITROGEN ISOTOPIC COMPOSITION; MAXIMUM DIVE DEPTHS; STABLE-ISOTOPES; PELECANOIDES-URINATRIX; TROPHIC POSITION; FOOD-WEB; ENHANCED BIOACCUMULATION; METAL CONCENTRATIONS</t>
  </si>
  <si>
    <t>Mercury (Hg) is a toxic metal that accumulates in organisms and biomagnifies along food webs; hence, long-lived predators such as seabirds are at risk as a result of high Hg bioaccumulation. Seabirds have been widely used to monitor the contamination of marine ecosystems. In the present study, we investigated Hg concentrations in blood, muscle, and feathers of 7 procellariform seabirds breeding on the Chatham Islands, New Zealand. Using bulk and compound-specific stable isotope ratios of carbon and nitrogen as a proxy of trophic position and distribution, we also tested whether Hg contamination is related to the species-specific feeding ecology. Mercury exposure varied widely within the seabird community. The highest contaminated species, the Magenta petrel, had approximately 29 times more Hg in its blood than the broad-billed prion, and approximately 35 times more Hg in its feathers than the grey-backed storm petrel. Variations of Hg concentrations in blood and feathers were significantly and positively linked to feeding habitats and trophic position, highlighting the occurrence of efficient Hg biomagnification processes along the food web. Species and feeding habitats were the 2 main drivers of Hg exposure within the seabird community. The Pterodroma species had high blood and feather Hg concentrations, which can be caused by their specific physiology and/or because of their foraging behavior during the interbreeding period (i.e., from the Tasman Sea to the Humboldt Current system). These 2 threatened species are at risk of suffering detrimental effects from Hg contamination and further studies are required to investigate potential negative impacts, especially on their reproduction capability. Environ Toxicol Chem 2021;00:1-19. (c) 2020 The Authors. Environmental Toxicology and Chemistry published by Wiley Periodicals LLC on behalf of SETAC.</t>
  </si>
  <si>
    <t>[Thebault, Justine; Quillfeldt, Petra] Justus Liebig Univ Giessen, Dept Anim Ecol &amp; Systemat, Giessen, Germany; [Thebault, Justine; Bustamante, Paco] La Rochelle Univ, CNRS, UMR 7266, Littoral Environm &amp; Soc LIENSs, La Rochelle, France; [Bustamante, Paco] Inst Univ France IUF, Paris, France; [Massaro, Melanie] Charles Sturt Univ, Sch Environm Sci, Inst Land Water &amp; Soc, Albury, NSW, Australia; [Taylor, Graeme] Dept Conservat, Biodivers Grp, Wellington, New Zealand</t>
  </si>
  <si>
    <t>Justus Liebig University Giessen; Centre National de la Recherche Scientifique (CNRS); CNRS - Institute of Ecology &amp; Environment (INEE); Institut Universitaire de France; Charles Sturt University</t>
  </si>
  <si>
    <t>Thébault, J (corresponding author), Justus Liebig Univ Giessen, Dept Anim Ecol &amp; Systemat, Giessen, Germany.;Thébault, J (corresponding author), La Rochelle Univ, CNRS, UMR 7266, Littoral Environm &amp; Soc LIENSs, La Rochelle, France.</t>
  </si>
  <si>
    <t>justine.a.thebault@gmail.com</t>
  </si>
  <si>
    <t>Bustamante, Paco/G-5833-2011; Massaro, Melanie/P-4791-2017; Quillfeldt, Petra/A-9549-2009</t>
  </si>
  <si>
    <t>Bustamante, Paco/0000-0003-3877-9390; Thebault, Justine/0000-0002-9623-0825; Massaro, Melanie/0000-0001-9039-1268; Quillfeldt, Petra/0000-0002-4450-8688</t>
  </si>
  <si>
    <t>Deutsche Forschungsgemeinschaft [SPP 1158, QU 148/18-1, QU 148/16]; Contrat de Projet Etat-Region; Fonds Europeen de Developpement Regional; Projekt DEAL; Institut Universitaire de France</t>
  </si>
  <si>
    <t>Deutsche Forschungsgemeinschaft(German Research Foundation (DFG)); Contrat de Projet Etat-Region; Fonds Europeen de Developpement Regional; Projekt DEAL; Institut Universitaire de France</t>
  </si>
  <si>
    <t>The present study was supported by the Deutsche Forschungsgemeinschaft in the framework of the priority programme Antarctic Research with Comparative Investigations in Arctic Ice Areas (SPP 1158; QU 148/18-1 and QU 148/16). Sampling of Chatham Island seabirds was conducted with the approval of the Animal Ethics Committee at Charles Sturt University (15/092) and the Department of Conservation, Biodiversity Group. The Chatham Islands Area Office of the Department of Conservation provided valuable logistical help and we especially thank D. Houston. H. Mihailou and D. Paris for their assistance with data collection in the field. We are grateful to M. Brault-Favrou and C. Churlaud from the Plateforme Analyses Elementaires of the LIENSs laboratory for their help during mercury and bulk stable isotope analyses; G. Guillou from the Plateforme Analyses Isotopiques of the LIENSs laboratory for running the bulk stable isotope analyses; and C. Yarnes for conducting the compound-specific isotopic analyses of amino acids at the University of California-Davis. The Institut Universitaire de France is acknowledged for its support to P. Bustamante as a senior member. We are grateful to the Contrat de Projet Etat-Region and the Fonds Europeen de Developpement Regional for funding the Advanded Mercury Analyzer and the isotope-ratio mass spectrometers of LIENSs laboratory. Open access funding enabled and organized by Projekt DEAL.</t>
  </si>
  <si>
    <t>0730-7268</t>
  </si>
  <si>
    <t>1552-8618</t>
  </si>
  <si>
    <t>ENVIRON TOXICOL CHEM</t>
  </si>
  <si>
    <t>Environ. Toxicol. Chem.</t>
  </si>
  <si>
    <t>10.1002/etc.4933</t>
  </si>
  <si>
    <t>PX2JW</t>
  </si>
  <si>
    <t>Green Published, hybrid</t>
  </si>
  <si>
    <t>WOS:000608996000001</t>
  </si>
  <si>
    <t>Neale, RE; Barnes, PW; Robson, TM; Neale, PJ; Williamson, CE; Zepp, RG; Wilson, SR; Madronich, S; Andrady, AL; Heikkilä, AM; Bernhard, GH; Bais, AF; Aucamp, PJ; Banaszak, AT; Bornman, JF; Bruckman, LS; Byrne, SN; Foereid, B; Häder, DP; Hollestein, LM; Hou, WC; Hylander, S; Jansen, MAK; Klekociuk, AR; Liley, JB; Longstreth, J; Lucas, RM; Martinez-Abaigar, J; McNeill, K; Olsen, CM; Pandey, KK; Rhodes, LE; Robinson, SA; Rose, KC; Schikowski, T; Solomon, KR; Sulzberger, B; Ukpebor, JE; Wang, QW; Wängberg, SÅ; White, CC; Yazar, S; Young, AR; Young, PJ; Zhu, L; Zhu, M</t>
  </si>
  <si>
    <t>Neale, R. E.; Barnes, P. W.; Robson, T. M.; Neale, P. J.; Williamson, C. E.; Zepp, R. G.; Wilson, S. R.; Madronich, S.; Andrady, A. L.; Heikkila, A. M.; Bernhard, G. H.; Bais, A. F.; Aucamp, P. J.; Banaszak, A. T.; Bornman, J. F.; Bruckman, L. S.; Byrne, S. N.; Foereid, B.; Haeder, D. -P.; Hollestein, L. M.; Hou, W. -C.; Hylander, S.; Jansen, M. A. K.; Klekociuk, A. R.; Liley, J. B.; Longstreth, J.; Lucas, R. M.; Martinez-Abaigar, J.; McNeill, K.; Olsen, C. M.; Pandey, K. K.; Rhodes, L. E.; Robinson, S. A.; Rose, K. C.; Schikowski, T.; Solomon, K. R.; Sulzberger, B.; Ukpebor, J. E.; Wang, Q. -W.; Wangberg, S. A.; White, C. C.; Yazar, S.; Young, A. R.; Young, P. J.; Zhu, L.; Zhu, M.</t>
  </si>
  <si>
    <t>Environmental effects of stratospheric ozone depletion, UV radiation, and interactions with climate change: UNEP Environmental Effects Assessment Panel, Update 2020</t>
  </si>
  <si>
    <t>PHOTOCHEMICAL &amp; PHOTOBIOLOGICAL SCIENCES</t>
  </si>
  <si>
    <t>ACUTE RESPIRATORY SYNDROME; DISSOLVED ORGANIC-MATTER; ATMOSPHERIC METHANE; MONTREAL PROTOCOL; IMPACT; POLLUTION; INCREASE; HOLE; WOOD; CORONAVIRUS</t>
  </si>
  <si>
    <t>This assessment by the Environmental Effects Assessment Panel (EEAP) of the United Nations Environment Programme (UNEP) provides the latest scientific update since our most recent comprehensive assessment (Photochemical and Photobiological Sciences, 2019, 18, 595-828). The interactive effects between the stratospheric ozone layer, solar ultraviolet (UV) radiation, and climate change are presented within the framework of the Montreal Protocol and the United Nations Sustainable Development Goals. We address how these global environmental changes affect the atmosphere and air quality; human health; terrestrial and aquatic ecosystems; biogeochemical cycles; and materials used in outdoor construction, solar energy technologies, and fabrics. In many cases, there is a growing influence from changes in seasonality and extreme events due to climate change. Additionally, we assess the transmission and environmental effects of the severe acute respiratory syndrome coronavirus 2 (SARS-CoV-2), which is responsible for the COVID-19 pandemic, in the context of linkages with solar UV radiation and the Montreal Protocol.</t>
  </si>
  <si>
    <t>[Neale, R. E.] QIMR Berghofer Med Res Inst, Populat Hlth Dept, Brisbane, Qld, Australia; [Barnes, P. W.] Loyola Univ New Orleans, Biol Sci &amp; Environm Program, New Orleans, LA USA; [Robson, T. M.] Univ Helsinki, Viikki Plant Sci Ctr ViPS, Organismal &amp; Evolutionary Biol OEB, Helsinki, Finland; [Neale, P. J.] Smithsonian Environm Res Ctr, POB 28, Edgewater, MD 21037 USA; [Williamson, C. E.] Miami Univ, Dept Biol, Oxford, OH 45056 USA; [Zepp, R. G.] US EPA, ORD CEMM, Athens, GA USA; [Wilson, S. R.; Robinson, S. A.] Univ Wollongong, Sch Earth Atmospher &amp; Life Sci, Wollongong, NSW, Australia; [Madronich, S.] Natl Ctr Atmospher Res, Atmospher Chem Observat &amp; Modeling Lab, POB 3000, Boulder, CO 80307 USA; [Andrady, A. L.] North Carolina State Univ, Chem &amp; Biomol Engn, Raleigh, NC USA; [Heikkila, A. M.] Finnish Meteorol Inst, Helsinki, Finland; [Bernhard, G. H.] Biospher Inc, San Diego, CA USA; [Bais, A. F.] Aristotle Univ Thessaloniki, Lab Atmospher Phys, Dept Phys, Thessaloniki, Greece; [Aucamp, P. J.] Ptersa Environm Consultants, Pretoria, South Africa; [Banaszak, A. T.] Univ Nacl Autonoma Mexico, Unidad Acad Sistemas Arrecifales, Puerto Morelos, Mexico; [Bornman, J. F.] Murdoch Univ, Food Futures Inst, Perth, WA, Australia; [Bruckman, L. S.] Case Western Reserve Univ, Dept Mat Sci &amp; Engn, Cleveland, OH 44106 USA; [Byrne, S. N.] Univ Sydney, Sch Med Sci, Discipline Appl Med Sci, Sydney, NSW, Australia; [Foereid, B.] Norwegian Inst Bioecon Res, Environm &amp; Nat Resources, As, Norway; [Haeder, D. -P.] Friedrich Alexander Univ, Dept Biol, Mohrendorf, Germany; [Hollestein, L. M.] Erasmus MC Canc Inst, Dept Dermatol, Rotterdam, Netherlands; [Hou, W. -C.] Natl Cheng Kung Univ, Dept Environm Engn, Tainan, Taiwan; [Hylander, S.] Linnaeus Univ, Ctr Ecol &amp; Evolut Microbial Model Syst EEMiS, Kalmar, Sweden; [Jansen, M. A. K.] Univ Coll Cork, Environm Res Inst, Sch BEES, Cork, Ireland; [Klekociuk, A. R.] Australian Antarctic Div, Antarctic Climate Program, Kingston, Tas, Australia; [Liley, J. B.] Natl Inst Water &amp; Atmospher Res, Lauder, New Zealand; [Longstreth, J.] Inst Global Risk Res LLC, Bethesda, MD USA; [Lucas, R. M.] Australian Natl Univ, Natl Ctr Epidemiol &amp; Populat Hlth, Canberra, ACT, Australia; [Martinez-Abaigar, J.] Univ La Rioja, Fac Sci &amp; Technol, Logrono, Spain; [McNeill, K.] Swiss Fed Inst Technol, Zurich, Switzerland; [Olsen, C. M.] QIMR Berghofer Med Res Inst, Canc Control Grp, Brisbane, Qld, Australia; [Pandey, K. K.] Inst Wood Sci &amp; Technol, Dept Wood Properties &amp; Uses, Bangalore, Karnataka, India; [Rhodes, L. E.] Univ Manchester, Dermatol Res Ctr, Sch Biol Sci, Fac Biol Med &amp; Hlth,Photobiol Unit, Manchester, Lancs, England; [Robinson, S. A.] Univ Wollongong, Global Challenges Program, Securing Antarcticas Environm Future, Wollongong, NSW, Australia; [Rose, K. C.] Rensselaer Polytech Inst, Dept Biol Sci, Troy, NY USA; [Schikowski, T.] IUF Leibniz Inst Environm Med, Dusseldorf, Germany; [Solomon, K. R.] Univ Guelph, Sch Environm Sci, Ctr Toxicol, Guelph, ON, Canada; [Sulzberger, B.] Swiss Fed Inst Aquat Sci &amp; Technol, Acad Guest Eawag, Dubendorf, Switzerland; [Ukpebor, J. E.] Univ Benin, Fac Phys Sci, Dept Chem, Benin, Nigeria; [Wang, Q. -W.] Chinese Acad Sci, Inst Appl Ecol, Shenyang, Peoples R China; [Wangberg, S. A.] Univ Gothenburg, Dept Marine Sci, Gothenburg, Sweden; [White, C. C.] Bee Amer, 5409 Mohican Rd, Bethesda, MD USA; [Yazar, S.] Garvan Inst Med Res, Sydney, NSW, Australia; [Young, A. R.] Kings Coll London, St Johns Inst Dermatol, London, England; [Young, P. J.] Univ Lancaster, Lancaster Environm Ctr, Lancaster, England; [Zhu, L.] Donghua Univ, Ctr Adv Low Dimens Mat, Shanghai, Peoples R China; [Zhu, M.] Donghua Univ, State Key Lab Modificat Chem Fibers &amp; Polymer Mat, Shanghai, Peoples R China</t>
  </si>
  <si>
    <t>QIMR Berghofer Medical Research Institute; Loyola University New Orleans; University of Helsinki; Smithsonian Institution; Smithsonian Environmental Research Center; University System of Ohio; Miami University; United States Environmental Protection Agency; University of Wollongong; National Center Atmospheric Research (NCAR) - USA; North Carolina State University; Finnish Meteorological Institute; Aristotle University of Thessaloniki; Universidad Nacional Autonoma de Mexico; Murdoch University; University System of Ohio; Case Western Reserve University; University of Sydney; Norwegian Institute of Bioeconomy Research; University of Erlangen Nuremberg; Erasmus University Rotterdam; Erasmus MC; Erasmus MC Cancer Institute; National Cheng Kung University; Linnaeus University; University College Cork; Australian Antarctic Division; National Institute of Water &amp; Atmospheric Research (NIWA) - New Zealand; Australian National University; Universidad de La Rioja; Swiss Federal Institutes of Technology Domain; ETH Zurich; QIMR Berghofer Medical Research Institute; Indian Council of Forestry Research &amp; Education (ICFRE); Institute of Wood Science &amp; Technology (IWST); University of Manchester; University of Wollongong; Rensselaer Polytechnic Institute; Leibniz Institut fur Umweltmedizinische Forschung (IUF); University of Guelph; Swiss Federal Institutes of Technology Domain; Swiss Federal Institute of Aquatic Science &amp; Technology (EAWAG); University of Benin; Chinese Academy of Sciences; Shenyang Institute of Applied Ecology, CAS; University of Gothenburg; Garvan Institute of Medical Research; University of London; King's College London; Lancaster University; Donghua University; Donghua University</t>
  </si>
  <si>
    <t>Bornman, JF (corresponding author), Murdoch Univ, Food Futures Inst, Perth, WA, Australia.;Hylander, S (corresponding author), Linnaeus Univ, Ctr Ecol &amp; Evolut Microbial Model Syst EEMiS, Kalmar, Sweden.</t>
  </si>
  <si>
    <t>janet.bornman@murdoch.edu.au; samuel.hylander@lnu.se</t>
  </si>
  <si>
    <t>Neale, Rachel E./I-4427-2018; Bruckman, Laura/X-4067-2019; Robson, Thomas Matthew/J-3381-2012; Byrne, Scott/K-2622-2019; Hollestein, Loes/AFL-0006-2022; Olsen, Catherine/C-8785-2009; Banaszak, Anastazia Teresa/H-6362-2019; Heikkilä, Anu M/F-1261-2017; Wang, Qing-Wei/GRQ-7463-2022; Neale, Patrick/A-3683-2012; Bais, Alkiviadis F/D-2230-2009; Rhodes, Lesley E/H-5324-2015; Hou, Wen-Che/F-5736-2011; Madronich, Sasha/D-3284-2015; Yazar, Seyhan/U-4032-2018; Klekociuk, Andrew/A-4498-2015</t>
  </si>
  <si>
    <t>Neale, Rachel E./0000-0001-7162-0854; Bruckman, Laura/0000-0003-1271-1072; Robson, Thomas Matthew/0000-0002-8631-796X; Hollestein, Loes/0000-0001-8922-6791; Olsen, Catherine/0000-0003-4483-1888; Banaszak, Anastazia Teresa/0000-0002-6667-3983; Wang, Qing-Wei/0000-0002-5169-9881; Bais, Alkiviadis F/0000-0003-3899-2001; Rhodes, Lesley E/0000-0002-9107-6654; Neale, Patrick/0000-0002-4047-8098; Hou, Wen-Che/0000-0001-9884-2932; Madronich, Sasha/0000-0003-0983-1313; Andrady, Anthony/0000-0001-8683-9998; Pandey, Krishna/0000-0001-6563-6219; Barnes, Paul/0000-0002-5715-3679; Yazar, Seyhan/0000-0003-0994-6196; Klekociuk, Andrew/0000-0003-3335-0034</t>
  </si>
  <si>
    <t>Linnaeus University; EPSRC [EP/R01860X/1] Funding Source: UKRI</t>
  </si>
  <si>
    <t>Linnaeus University; EPSRC(UK Research &amp; Innovation (UKRI)Engineering &amp; Physical Sciences Research Council (EPSRC))</t>
  </si>
  <si>
    <t>Open access funding provided by Linnaeus University.</t>
  </si>
  <si>
    <t>1474-905X</t>
  </si>
  <si>
    <t>1474-9092</t>
  </si>
  <si>
    <t>PHOTOCH PHOTOBIO SCI</t>
  </si>
  <si>
    <t>Photochem. Photobiol. Sci.</t>
  </si>
  <si>
    <t>10.1007/s43630-020-00001-x</t>
  </si>
  <si>
    <t>Biochemistry &amp; Molecular Biology; Biophysics; Chemistry, Physical</t>
  </si>
  <si>
    <t>Biochemistry &amp; Molecular Biology; Biophysics; Chemistry</t>
  </si>
  <si>
    <t>QH6JT</t>
  </si>
  <si>
    <t>Green Published, hybrid, Green Accepted</t>
  </si>
  <si>
    <t>WOS:000615689200002</t>
  </si>
  <si>
    <t>Wallace, MA; Coffman, KA; Gilbert, C; Ravindran, S; Albery, GF; Abbott, J; Argyridou, E; Bellosta, P; Betancourt, AJ; Colinet, H; Eric, K; Glaser-Schmitt, A; Grath, S; Jelic, M; Kankare, M; Kozeretska, I; Loeschcke, V; Montchamp-Moreau, C; Ometto, L; Onder, BS; Orengo, DJ; Parsch, J; Pascual, M; Patenkovic, A; Puerma, E; Ritchie, MG; Rota-Stabelli, O; Schou, MF; Serga, SV; Stamenkovic-Radak, M; Tanaskovic, M; Veselinovic, MS; Vieira, J; Vieira, CP; Kapun, M; Flatt, T; Gonzalez, J; Staubach, F; Obbard, DJ</t>
  </si>
  <si>
    <t>Wallace, Megan A.; Coffman, Kelsey A.; Gilbert, Clement; Ravindran, Sanjana; Albery, Gregory F.; Abbott, Jessica; Argyridou, Eliza; Bellosta, Paola; Betancourt, Andrea J.; Colinet, Herve; Eric, Katarina; Glaser-Schmitt, Amanda; Grath, Sonja; Jelic, Mihailo; Kankare, Maaria; Kozeretska, Iryna; Loeschcke, Volker; Montchamp-Moreau, Catherine; Ometto, Lino; Onder, Banu Sebnem; Orengo, Dorcas J.; Parsch, John; Pascual, Marta; Patenkovic, Aleksandra; Puerma, Eva; Ritchie, Michael G.; Rota-Stabelli, Omar; Schou, Mads Fristrup; Serga, Svitlana, V; Stamenkovic-Radak, Marina; Tanaskovic, Marija; Veselinovic, Marija Savic; Vieira, Jorge; Vieira, Cristina P.; Kapun, Martin; Flatt, Thomas; Gonzalez, Josefa; Staubach, Fabian; Obbard, Darren J.</t>
  </si>
  <si>
    <t>The discovery, distribution, and diversity of DNA viruses associated with Drosophila melanogaster in Europe</t>
  </si>
  <si>
    <t>VIRUS EVOLUTION</t>
  </si>
  <si>
    <t>DNA virus; endogenous viral element; Drosophila; nudivirus; galbut virus; filamentous virus; adintovirus; densovirus; bidnavirus</t>
  </si>
  <si>
    <t>ANTIVIRAL IMMUNITY; GENOMIC ANALYSIS; REFERENCE PANEL; SEQUENCE; POPULATIONS; EVOLUTION; SELECTION; ALIGNMENT; REVEALS; PROTEIN</t>
  </si>
  <si>
    <t>Drosophila melanogaster is an important model for antiviral immunity in arthropods, but very few DNA viruses have been described from the family Drosophilidae. This deficiency limits our opportunity to use natural host-pathogen combinations in experimental studies, and may bias our understanding of the Drosophila virome. Here, we report fourteen DNA viruses detected in a metagenomic analysis of 6668 pool-sequenced Drosophila, sampled from forty-seven European locations between 2014 and 2016. These include three new nudiviruses, a new and divergent entomopoxvirus, a virus related to Leptopilina boulardi filamentous virus, and a virus related to Musca domestica salivary gland hypertrophy virus. We also find an endogenous genomic copy of galbut virus, a double-stranded RNA partitivirus, segregating at very low frequency. Remarkably, we find that Drosophila Vesanto virus, a small DNA virus previously described as a bidnavirus, may be composed of up to twelve segments and thus represent a new lineage of segmented DNA viruses. Two of the DNA viruses, Drosophila Kallithea nudivirus and Drosophila Vesanto virus are relatively common, found in 2 per cent or more of wild flies. The others are rare, with many likely to be represented by a single infected fly. We find that virus prevalence in Europe reflects the prevalence seen in publicly available datasets, with Drosophila Kallithea nudivirus and Drosophila Vesanto virus the only ones commonly detectable in public data from wild-caught flies and large population cages, and the other viruses being rare or absent. These analyses suggest that DNA viruses are at lower prevalence than RNA viruses in D.melanogaster, and may be less likely to persist in laboratory cultures. Our findings go some way to redressing an earlier bias toward RNA virus studies in Drosophila, and lay the foundation needed to harness the power of Drosophila as a model system for the study of DNA viruses.</t>
  </si>
  <si>
    <t>[Wallace, Megan A.; Gilbert, Clement; Abbott, Jessica; Argyridou, Eliza; Bellosta, Paola; Betancourt, Andrea J.; Colinet, Herve; Eric, Katarina; Glaser-Schmitt, Amanda; Grath, Sonja; Jelic, Mihailo; Kankare, Maaria; Kozeretska, Iryna; Loeschcke, Volker; Montchamp-Moreau, Catherine; Ometto, Lino; Onder, Banu Sebnem; Orengo, Dorcas J.; Parsch, John; Pascual, Marta; Patenkovic, Aleksandra; Puerma, Eva; Ritchie, Michael G.; Rota-Stabelli, Omar; Schou, Mads Fristrup; Serga, Svitlana, V; Stamenkovic-Radak, Marina; Tanaskovic, Marija; Veselinovic, Marija Savic; Vieira, Jorge; Vieira, Cristina P.; Kapun, Martin; Flatt, Thomas; Gonzalez, Josefa; Staubach, Fabian; Obbard, Darren J.] European Drosophila Populat Genom Consortium DrosE, Edinburgh, Scotland; [Wallace, Megan A.; Ravindran, Sanjana; Obbard, Darren J.] Univ Edinburgh, Inst Evolutionary Biol, Ashworth Labs, Charlotte Auerbach Rd, Edinburgh EH9 3FL, Scotland; [Coffman, Kelsey A.] Univ Georgia, Dept Entomol, Athens, GA USA; [Gilbert, Clement; Montchamp-Moreau, Catherine] Univ Paris Saclay, CNRS, IRD, UMR Evolut Genomes Comportement &amp; Ecol, F-91198 Gif Sur Yvette, France; [Albery, Gregory F.] Georgetown Univ, Dept Biol, Washington, DC USA; [Abbott, Jessica; Schou, Mads Fristrup] Lund Univ, Dept Biol, Sect Evolutionary Ecol, Solvegatan 37, S-22362 Lund, Sweden; [Argyridou, Eliza; Glaser-Schmitt, Amanda; Grath, Sonja; Parsch, John] Ludwig Maximilians Univ Munchen, Fac Biol, Div Evolutionary Biol, Planegg, Germany; [Bellosta, Paola] CIBIO Univ Trento, Dept Cellular Computat &amp; Integrat Biol, Via Sommar 9, I-38123 Trento, Italy; [Bellosta, Paola] NYU Langone Med Ctr, Dept Med &amp; Endocrinol, 550 First Ave, New York, NY 10016 USA; [Betancourt, Andrea J.] Univ Liverpool, Inst Integrat Biol, Liverpool L69 7ZB, England; [Colinet, Herve] Univ Rennes1, UMR CNRS ECOBIO 6553, Rennes, France; [Eric, Katarina] Univ Belgrade, Inst Biol Res Sinisa Stankov, Natl Inst Republ Serbia, Bulevar despota Stefana 142, Belgrade, Serbia; [Jelic, Mihailo] Univ Belgrade, Fac Biol, Studentski trg 16, Belgrade, Serbia; [Kankare, Maaria] Univ Jyvaskyla, Dept Biol &amp; Environm Sci, Jyvaskyla, Finland; [Kozeretska, Iryna] Natl Antarctic Sci Ctr Ukraine, 16 Shevchenko Ave, UA-01601 Kiev, Ukraine; [Loeschcke, Volker] Aarhus Univ, Dept Biol Genet Ecol &amp; Evolut, Ny Munkegade 116, DK-8000 Aarhus, Denmark; [Ometto, Lino] Univ Pavia, Dept Biol &amp; Biotechnol, I-27100 Pavia, Italy; [Onder, Banu Sebnem] Hacettepe Univ, Fac Sci, Dept Biol, Ankara, Turkey; [Orengo, Dorcas J.; Pascual, Marta; Puerma, Eva] Univ Barcelona, Dept Gent Microbiol &amp; Estadist, Barcelona, Spain; [Orengo, Dorcas J.; Pascual, Marta; Puerma, Eva] Univ Barcelona, Inst Recerca dela Biodiversitat IRBio, Barcelona, Spain; [Ritchie, Michael G.] St Andrews Univ, Ctr Biol Divers, St Andrews HY15 4SS, Scotland; Fdn E Mach, Res &amp; Innovat Ctr, I-38010 San Michele All Adige, Italy; [Rota-Stabelli, Omar] Univ Trento, Ctr Agr Food Environm, I-38010 San Michele All Adige, Italy; [Schou, Mads Fristrup] Aarhus Univ, Dept Biosci, Aarhus, Denmark; [Serga, Svitlana, V] Taras Shevchenko Natl Univ Kyiv, 64 Volodymyrska str, UA-01601 Kiev, Ukraine; [Vieira, Jorge; Vieira, Cristina P.] Univ Porto, Inst Biol Mol &amp; Celular IBMC, Porto, Portugal; [Vieira, Jorge; Vieira, Cristina P.] Univ Porto, Inst Invest &amp; Inovacao Saude, i3S, Porto, Portugal; [Kapun, Martin] Univ Zurich, Dept Evolutionary Biol &amp; Environm Studies, Zurich, Switzerland; [Kapun, Martin] Med Univ Vienna, Div Cell &amp; Dev Biol, Vienna, Austria; [Flatt, Thomas] Univ Fribourg, Dept Biol, CH-1700 Fribourg, Switzerland; [Gonzalez, Josefa] Inst Evolutionary Biol CS UPF, Barcelona, Spain</t>
  </si>
  <si>
    <t>University of Edinburgh; University System of Georgia; University of Georgia; Centre National de la Recherche Scientifique (CNRS); Universite Paris Saclay; Universite Paris Cite; Institut de Recherche pour le Developpement (IRD); Georgetown University; Lund University; University of Munich; NYU Langone Medical Center; University of Liverpool; Centre National de la Recherche Scientifique (CNRS); Universite de Rennes; University of Belgrade; University of Belgrade; University of Jyvaskyla; Ministry of Education &amp; Science of Ukraine; State Institution National Antarctic Scientific Center; Aarhus University; University of Pavia; Hacettepe University; University of Barcelona; University of Barcelona; University of St Andrews; Fondazione Edmund Mach; University of Trento; Aarhus University; Ministry of Education &amp; Science of Ukraine; Taras Shevchenko National University of Kyiv; Universidade do Porto; Universidade do Porto; i3S - Instituto de Investigacao e Inovacao em Saude, Universidade do Porto; University of Zurich; Medical University of Vienna; University of Fribourg</t>
  </si>
  <si>
    <t>Obbard, DJ (corresponding author), European Drosophila Populat Genom Consortium DrosE, Edinburgh, Scotland.;Obbard, DJ (corresponding author), Univ Edinburgh, Inst Evolutionary Biol, Ashworth Labs, Charlotte Auerbach Rd, Edinburgh EH9 3FL, Scotland.</t>
  </si>
  <si>
    <t>darren.obbard@ed.ac.uk</t>
  </si>
  <si>
    <t>Bellosta, Paola/AAA-3413-2020; Glaser-Schmitt, Amanda/AFP-4908-2022; Albery, Gregory/AAD-7601-2020; Wallace, Megan/AAU-3558-2021; Colinet, hervé/K-8768-2019; Obbard, Darren/A-9235-2008; Rota-Stabelli, Omar/G-8477-2011; Betancourt, Andrea J/E-9667-2012; Pascual, Marta/M-7626-2015; Schou, Mads Fristrup/J-2148-2014; Kapun, Martin/GLU-9265-2022; Pascual, Marta/ABG-3782-2020; Kozeretska, Iryna A/F-1383-2010; Vieira, Cristina/K-1775-2013; Patenkovic, Aleksandra/HCH-8127-2022; Onder, Banu Sebnem/A-3275-2013; Ritchie, Michael G/F-7055-2013; Abbott, Jessica/F-5848-2010; Gilbert, Clement/A-7538-2015</t>
  </si>
  <si>
    <t>Bellosta, Paola/0000-0003-1913-5661; Albery, Gregory/0000-0001-6260-2662; Wallace, Megan/0000-0001-5367-420X; Colinet, hervé/0000-0002-8806-3107; Obbard, Darren/0000-0001-5392-8142; Pascual, Marta/0000-0002-6189-0612; Schou, Mads Fristrup/0000-0001-5521-5269; Kapun, Martin/0000-0002-3810-0504; Pascual, Marta/0000-0002-6189-0612; Vieira, Cristina/0000-0002-7139-2107; Patenkovic, Aleksandra/0000-0001-5763-6294; Onder, Banu Sebnem/0000-0002-3003-248X; Ritchie, Michael G/0000-0001-7913-8675; Savic Veselinovic, Marija/0000-0001-8461-4373; Coffman, Kelsey/0000-0002-7609-6286; Argyridou, Eliza/0000-0002-6890-4642; Kankare, Maaria/0000-0003-1541-9050; Abbott, Jessica/0000-0002-8743-2089; Puerma, Eva/0000-0001-7261-187X; Orengo, Dorcas/0000-0001-7911-3224; Betancourt, Andrea/0000-0001-9351-1413; Ravindran, Sanjana/0000-0003-0996-0262; Flatt, Thomas/0000-0002-5990-1503; Stamenkovic-Radak, Marina/0000-0002-6937-7282; Tanaskovic, Marija/0000-0003-1440-2257; Gilbert, Clement/0000-0002-2131-7467</t>
  </si>
  <si>
    <t>UK Natural Environmental Research Council through the E3 doctoral training programme [NE/L002558/1]; Wellcome Trust PhD programme [108905/Z/15/Z]; BBSRC [BB/P00685X/1]; Swiss National Science Foundation [31003A-182262, PP00P3_165836, PP00P3_133641/1]; Agence Nationale de la Recherche [ANR-15-CE32-0011-01]; European Research Council (ERC) under the European Union [H2020-ERC-2014-CoG-647900]; Fundacion Espanola para la Ciencia y la Tecnologia-Ministerio de Economia y Competitividad [FCT-15-10187]; Deutsche Forschungsgemeinschaft [STA1154/4-1, 408908608, GR 4495/2, PA 903/8]; Academy of Finland [268214, 322980]; Austrian Science Fund (FWF) [P32275]; Danish Research council for natural Sciences (FNU) [4002-00113B]; Scientific and Technological Research Council of Turkey (TUBITAK) [214Z238]; Ministry of Education, Science and Technological Development of the Republic of Serbia [451-03-68/2020-14/200007, 451-03-68/2020-14/200178]; Special Topics Network (STN); Special Topics Network (STN) by European Society of Evolutionary Biology (ESEB); Academy of Finland (AKA) [322980] Funding Source: Academy of Finland (AKA); Agence Nationale de la Recherche (ANR) [ANR-15-CE32-0011] Funding Source: Agence Nationale de la Recherche (ANR); Austrian Science Fund (FWF) [P32275] Funding Source: Austrian Science Fund (FWF); Swiss National Science Foundation (SNF) [PP00P3_165836, 31003A_182262] Funding Source: Swiss National Science Foundation (SNF)</t>
  </si>
  <si>
    <t>UK Natural Environmental Research Council through the E3 doctoral training programme; Wellcome Trust PhD programme(Wellcome Trust); BBSRC(UK Research &amp; Innovation (UKRI)Biotechnology and Biological Sciences Research Council (BBSRC)); Swiss National Science Foundation(Swiss National Science Foundation (SNSF)); Agence Nationale de la Recherche(Agence Nationale de la Recherche (ANR)); European Research Council (ERC) under the European Union(European Research Council (ERC)); Fundacion Espanola para la Ciencia y la Tecnologia-Ministerio de Economia y Competitividad; Deutsche Forschungsgemeinschaft(German Research Foundation (DFG)); Academy of Finland(Research Council of Finland); Austrian Science Fund (FWF)(Austrian Science Fund (FWF)); Danish Research council for natural Sciences (FNU)(Danish Natural Science Research Council); Scientific and Technological Research Council of Turkey (TUBITAK)(Turkiye Bilimsel ve Teknolojik Arastirma Kurumu (TUBITAK)); Ministry of Education, Science and Technological Development of the Republic of Serbia(Ministry of Education, Science &amp; Technological Development, Serbia); Special Topics Network (STN); Special Topics Network (STN) by European Society of Evolutionary Biology (ESEB); Academy of Finland (AKA); Agence Nationale de la Recherche (ANR)(Agence Nationale de la Recherche (ANR)); Austrian Science Fund (FWF)(Austrian Science Fund (FWF)); Swiss National Science Foundation (SNF)(Swiss National Science Foundation (SNSF))</t>
  </si>
  <si>
    <t>M.W. was supported by the UK Natural Environmental Research Council through the E3 doctoral training programme (NE/L002558/1), and S.R. was supported by Wellcome Trust PhD programme (108905/Z/15/Z). A.B. received funding from BBSRC (grant number BB/P00685X/1). T.F. received funding from Swiss National Science Foundation (grant numbers 31003A-182262, PP00P3_165836, and PP00P3_133641/1). C.G. received funding from Agence Nationale de la Recherche (grant number ANR-15-CE32-0011-01). J.G. received funding from the European Research Council (ERC) under the European Union's Horizon 2020 research and innovation programme (H2020-ERC-2014-CoG-647900) and from the Fundacion Espanola para la Ciencia y la Tecnologia-Ministerio de Economia y Competitividad (FCT-15-10187). S.G. received funding from Deutsche Forschungsgemeinschaft (grant number GR 4495/2). M.K. received funding from Academy of Finland projects (268214 and 322980). M.K. received funding from Austrian Science Fund (FWF; grant number P32275). V.L. received funding from Danish Research council for natural Sciences (FNU; grant number 4002-00113B). B.S.O. received funding from the Scientific and Technological Research Council of Turkey (TUBITAK; grant number 214Z238). J.P. received funding from Deutsche Forschungsgemeinschaft (grant number PA 903/8). M.S.-R., M.S.V., and M.J. received funding from the Ministry of Education, Science and Technological Development of the Republic of Serbia (grant number 451-03-68/2020-14/200178). F.S. received funding from Deutsche Forschungsgemeinschaft (grant number STA1154/4-1; Projektnummer 408908608). M.T., A.P., and K.E. received funding from the Ministry of Education, Science and Technological Development of the Republic of Serbia (grant number 451-03-68/2020-14/200007). The DrosEU consortium has been funded by a Special Topics Network (STN) grant by the European Society of Evolutionary Biology (ESEB).</t>
  </si>
  <si>
    <t>OXFORD UNIV PRESS</t>
  </si>
  <si>
    <t>GREAT CLARENDON ST, OXFORD OX2 6DP, ENGLAND</t>
  </si>
  <si>
    <t>2057-1577</t>
  </si>
  <si>
    <t>VIRUS EVOL</t>
  </si>
  <si>
    <t>Virus Evol.</t>
  </si>
  <si>
    <t>10.1093/ve/veab031</t>
  </si>
  <si>
    <t>Virology</t>
  </si>
  <si>
    <t>VL8SD</t>
  </si>
  <si>
    <t>WOS:000920141200066</t>
  </si>
  <si>
    <t>Skov, C; Hyder, K; Gundelund, C; Ahvonen, A; Baudrier, J; Borch, T; DeCarvalho, S; Erzini, K; Ferter, K; Grati, F; van derHammen, T; Hinriksson, J; Houtman, R; Kagervall, A; Kapiris, K; Karlsson, M; Lejk, AM; Lyle, JM; Martinez-Escauriaza, R; Moilanen, P; Mugerza, E; Olesen, HJ; Papadopoulos, A; Pita, P; Pontes, J; Radford, Z; Radtke, K; Rangel, M; Sagué, O; Sande, HA; Strehlow, HV; Tutins, R; Veiga, P; Verleye, T; Volstad, JH; Watson, JW; Weltersbach, MS; Ustups, D; Venturelli, PA</t>
  </si>
  <si>
    <t>Skov, Christian; Hyder, Kieran; Gundelund, Casper; Ahvonen, Anssi; Baudrier, Jerome; Borch, Trude; DeCarvalho, Sara; Erzini, Karim; Ferter, Keno; Grati, Fabio; van derHammen, Tessa; Hinriksson, Jan; Houtman, Rob; Kagervall, Anders; Kapiris, Kostas; Karlsson, Martin; Lejk, Adam M.; Lyle, Jeremy M.; Martinez-Escauriaza, Roi; Moilanen, Pentti; Mugerza, Estanis; Olesen, Hans Jakob; Papadopoulos, Anastasios; Pita, Pablo; Pontes, Joao; Radford, Zachary; Radtke, Krzysztof; Rangel, Mafalda; Sague, Oscar; Sande, Hege A.; Strehlow, Harry, V; Tutins, Rudolfs; Veiga, Pedro; Verleye, Thomas; Volstad, Jon Helge; Watson, Joseph W.; Weltersbach, Marc Simon; Ustups, Didzis; Venturelli, Paul A.</t>
  </si>
  <si>
    <t>Expert opinion on using angler Smartphone apps to inform marine fisheries management: status, prospects, and needs</t>
  </si>
  <si>
    <t>ICES JOURNAL OF MARINE SCIENCE</t>
  </si>
  <si>
    <t>catch rates; citizen science; fishing effort; human dimensions; survey methods</t>
  </si>
  <si>
    <t>CATCH</t>
  </si>
  <si>
    <t>Smartphone applications (apps) that target recreational fishers are growing in abundance. These apps have the potential to provide data useful for management of recreational fisheries. We surveyed expert opinion in 20, mostly European, countries to assess the current and future status of app use in marine recreational fisheries. The survey revealed that a few countries already use app data to support existing data collection, and that this number is likely to increase within 5-10 years. The strongest barriers to use app data were a scarcity of useful apps and concern over data quality, especially biases due to the opt-in nature of app use. Experts generally agreed that apps were unlikely to be a stand-alone method, at least in the short term, but could be of immediate use as a novel approach to collect supporting data such as, fisheries-specific temporal and spatial distributions of fishing effort, and aspects of fisher behaviour. This survey highlighted the growing interest in app data among researchers and managers, but also the need for government agencies and other managers/researchers to coordinate their efforts with the support of survey statisticians to develop and assess apps in ways that will ensure standardisation, data quality, and utility.</t>
  </si>
  <si>
    <t>[Skov, Christian; Gundelund, Casper; Kapiris, Kostas] Tech Univ Denmark, Sect Freshwater Fisheries &amp; Ecol, DTU Aqua, Silkeborg, Denmark; [Hyder, Kieran; Radford, Zachary] Ctr Environm, Fisheries &amp; Aquaculture Sci Cefas, Pakefield Rd, Lowestoft NR33 0HT, Suffolk, England; [Hyder, Kieran] Univ East Anglia, Sch Environm Sci, Norwich Res Pk, Norwich NR4 7TJ, Norfolk, England; [Ahvonen, Anssi; Moilanen, Pentti] Nat Resources Inst Finland Luke, POB 2, Helsinki 00791, Finland; [Baudrier, Jerome] Inst Francais Rech Exploitat Mer Ifremer, 79 Route Pointe Ft, F-97231 Le Robert, France; [Borch, Trude] Akvaplan Niva AS, Fram Ctr, POB 6606, N-9296 Tromso, Norway; [DeCarvalho, Sara; Erzini, Karim; Pontes, Joao; Rangel, Mafalda; Veiga, Pedro] Univ Algarve, Ctr Marine Sci, Campus Gambelas,FCT Ed 7, P-8005139 Faro, Portugal; [Ferter, Keno; Hinriksson, Jan; Volstad, Jon Helge] Inst Marine Res, POB 1870, N-5817 Bergen, Norway; [Grati, Fabio] CNR, Inst Biol Resources &amp; Marine Biotechnol, I-60125 Ancona, Italy; [van derHammen, Tessa] Wageningen Univ &amp; Res, Wageningen Marine Res, POB 68, NL-1970 AB Ijmuiden, Netherlands; [Houtman, Rob] Pacific Biol Stn, Dept Fisheries &amp; Oceans, Nanaimo, BC V9T 6N7, Canada; [Kagervall, Anders] Swedish Univ Agr Sci, Inst Freshwater Res, Dept Aquat Resources SLU Aqua, S-17893 Drottningholm, Sweden; [Kapiris, Kostas] Hellen Ctr Marine Res, Inst Marine Biol Resources &amp; Inland Waters, Athens Sounio Av, Anavissos 19013, Greece; [Karlsson, Martin] Swedish Agcy Water &amp; Marine Management, Gullbergs Strandgata 15, S-41104 Gothenburg, Sweden; [Lejk, Adam M.; Radtke, Krzysztof] Natl Marine Fisheries Res Inst, Kolla Taja 1, PL-81332 Gdynia, Poland; [Lyle, Jeremy M.] Univ Tasmania, Inst Marine &amp; Antarctic Studies, Hobart, Tas 7001, Australia; [Martinez-Escauriaza, Roi] Agencia Reg Desenvolvimento Invest Tecnol &amp; Inova, Ocean Observ Madeira, Edificio Madeira Tecnopolo,Piso 0, P-9020105 Funchal, Madeira, Portugal; [Mugerza, Estanis] Basque Res &amp; Technol Alliance BRTA, AZTI Marine Res, Txatxarramendi Ugartea Z-G, Sukarrieta, Spain; [Olesen, Hans Jakob] Tech Univ Denmark, Natl Inst Aquat Resources, Sect Monitoring &amp; Data, Lyngby, Denmark; [Papadopoulos, Anastasios] Hellen Agr Org Demeter, Fisheries Res Inst, PS 64 007, Nea Peramos, Kavala, Greece; [Pita, Pablo] Univ Santiago de Compostela, Fac Econ &amp; Business Sci, Dept Appl Econ, Santiago De Compostela, Spain; [Radford, Zachary] Univ Exeter, Biosci, Exeter EX4 4QD, Devon, England; [Sague, Oscar] Int Forum Sustainable Underwater Act, Ap Correos 36003, Barcelona 08007, Spain; [Sande, Hege A.] Swedish Univ Agr Sci, Inst Marine Res, Dept Aquat Resources SLU Aqua, S-45330 Lysekil, Sweden; [Strehlow, Harry, V; Weltersbach, Marc Simon] Thunen Inst Baltic Sea Fisheries Thunen OF, Alter Hafen Sud 2, D-18069 Rostock, Germany; [Tutins, Rudolfs; Ustups, Didzis] Inst Food Safety Anim Hlth &amp; Environm BIOR, Lejupes 3, LV-1075 Riga, Latvia; [Verleye, Thomas] Flanders Marine Inst VLIZ, Wandelaarkaai 7, B-8400 Oostende, Belgium; [Watson, Joseph W.] Univ Reading, Sch Biol Sci, Reading RG6 6AB, Berks, England; [Venturelli, Paul A.] Ball State Univ, Dept Biol, Muncie, IN 47306 USA</t>
  </si>
  <si>
    <t>Technical University of Denmark; Centre for Environment Fisheries &amp; Aquaculture Science; University of East Anglia; Natural Resources Institute Finland (Luke); Ifremer; Akvaplan-niva; Universidade do Algarve; Institute of Marine Research - Norway; Consiglio Nazionale delle Ricerche (CNR); Istituto per le Risorse Biologiche Biotecnologie Marine (IRBIM-CNR); Wageningen University &amp; Research; Fisheries &amp; Oceans Canada; Swedish University of Agricultural Sciences; Hellenic Centre for Marine Research; National Marine Fisheries Research Institute; University of Tasmania; AZTI; Technical University of Denmark; Universidade de Santiago de Compostela; University of Exeter; Swedish University of Agricultural Sciences; Johann Heinrich von Thunen Institute; Institute of Food Safety, Animal Health &amp; Environment BIOR; University of Reading; Ball State University</t>
  </si>
  <si>
    <t>Skov, C (corresponding author), Tech Univ Denmark, Sect Freshwater Fisheries &amp; Ecol, DTU Aqua, Silkeborg, Denmark.</t>
  </si>
  <si>
    <t>ck@aqua.dtu.dk</t>
  </si>
  <si>
    <t>Gundelund, Casper/HNR-1781-2023; Lyle, Jeremy M/J-7170-2014; Pita, Pablo/AAA-5228-2019; Skov, Christian/X-6511-2019; Venturelli, Paul A/A-2337-2008; Grati, Fabio/AAT-4760-2020; Kagervall, Anders/P-7588-2017; Erzini, Karim/M-5216-2013; Volstad, Jon Helge/B-7451-2014; Rangel, Mafalda/L-5194-2014; Veiga, Pedro/D-5056-2009</t>
  </si>
  <si>
    <t>Gundelund, Casper/0000-0002-2555-403X; Pita, Pablo/0000-0001-9273-1481; Skov, Christian/0000-0002-8547-6520; Venturelli, Paul A/0000-0002-7329-7517; Kagervall, Anders/0000-0003-4790-2696; Sande, Hege/0000-0002-4568-6558; Strehlow, Harry/0000-0001-8765-3845; Watson, Joseph/0000-0002-7040-0494; Baudrier, Jerome/0000-0003-2001-0970; Erzini, Karim/0000-0002-1411-0126; Volstad, Jon Helge/0000-0001-8738-8543; Weltersbach, Marc Simon/0000-0001-9173-5157; Rangel, Mafalda/0000-0001-5903-5687; Olesen, Hans Jakob/0000-0002-3829-584X; Lejk, Adam/0000-0002-1648-4308; Veiga, Pedro/0000-0002-5256-6263; Mugerza, Estanis/0000-0003-4175-8750; Hyder, Kieran/0000-0003-1428-5679</t>
  </si>
  <si>
    <t>FCT-Foundation for Science and Technology [UIDB/04326/2020]; FCT [SFRH/BPD/116307/2016]; European Maritime and Fisheries Fund (EMFF); Ministry of Foreign Affairs of Denmark; European Commission; German Federal Ministry of Education and Research [01LC1826E]; Xunta de Galicia under the modality of Grupos de Referencia Competitiva [ED431C2019/11]; Fundacion Biodiversidad, Ministerio para la Transicion Ecologica, Gobierno de Espana, Pleamar program [ED481B2014/034-0, ED481B2018/017]; European Maritime and Fisheries Fund; Research Council of Norway [267808]; Fundação para a Ciência e a Tecnologia [SFRH/BPD/116307/2016] Funding Source: FCT</t>
  </si>
  <si>
    <t>FCT-Foundation for Science and Technology(Fundacao para a Ciencia e a Tecnologia (FCT)); FCT(Fundacao para a Ciencia e a Tecnologia (FCT)); European Maritime and Fisheries Fund (EMFF); Ministry of Foreign Affairs of Denmark; European Commission(European Union (EU)European Commission Joint Research Centre); German Federal Ministry of Education and Research(Federal Ministry of Education &amp; Research (BMBF)); Xunta de Galicia under the modality of Grupos de Referencia Competitiva; Fundacion Biodiversidad, Ministerio para la Transicion Ecologica, Gobierno de Espana, Pleamar program; European Maritime and Fisheries Fund; Research Council of Norway(Research Council of Norway); Fundação para a Ciência e a Tecnologia(Fundacao para a Ciencia e a Tecnologia (FCT))</t>
  </si>
  <si>
    <t>The CCMAR affiliated authors acknowledge Portuguese national funds from FCT-Foundation for Science and Technology through project UIDB/04326/2020. M.R. also acknowledges FCT funding through a post-doctoral grant (SFRH/BPD/116307/2016). CS and HJO have received funding from the European Maritime and Fisheries Fund (EMFF) and The Ministry of Foreign Affairs of Denmark via the project Affairs of Denmark Recreational fisheries-screening and historic data (REFISH). CS, HJO, KR, AML, HVS, and MSW have been co-funded by the European Commission's Data Collection Framework (DCF), and HVS received funding by the German Federal Ministry of Education and Research (Grant 01LC1826E). PP received funds from the Xunta de Galicia under the modality of Grupos de Referencia Competitiva (Grant ED431C2019/11), RECREGES I and II projects under Grants ED481B2014/034-0 and ED481B2018/017, and SICORE project, funded by the Fundacion Biodiversidad, Ministerio para la Transicion Ecologica, Gobierno de Espana, Pleamar program, which is cofounded by the European Maritime and Fisheries Fund. KF, JH, and JHV were funded by the tourist fishing project (Kartlegging av turistfiske), which is part of the Coastal Zone Ecosystem Program at the Institute of Marine Research, and the Research Council of Norway (project 267808, Marinforsk).</t>
  </si>
  <si>
    <t>1054-3139</t>
  </si>
  <si>
    <t>1095-9289</t>
  </si>
  <si>
    <t>ICES J MAR SCI</t>
  </si>
  <si>
    <t>ICES J. Mar. Sci.</t>
  </si>
  <si>
    <t>JUL</t>
  </si>
  <si>
    <t>10.1093/icesjms/fsaa243</t>
  </si>
  <si>
    <t>Fisheries; Marine &amp; Freshwater Biology; Oceanography</t>
  </si>
  <si>
    <t>XR0EI</t>
  </si>
  <si>
    <t>WOS:000731911900016</t>
  </si>
  <si>
    <t>Jiang, Q; Merle, RE; Jourdan, F; Olierook, HKH; Chiaradia, M; Evans, KA; Wang, XC; Conway, CE; Bostock, HC; Wysoczanski, RJ</t>
  </si>
  <si>
    <t>Jiang, Qiang; Merle, Renaud E.; Jourdan, Fred; Olierook, Hugo K. H.; Chiaradia, Massimo; Evans, Katy A.; Wang, Xuan-Ce; Conway, Chris E.; Bostock, Helen C.; Wysoczanski, Richard J.</t>
  </si>
  <si>
    <t>Origin of geochemically heterogeneous mid-ocean ridge basalts from the Macquarie Ridge Complex, SW Pacific</t>
  </si>
  <si>
    <t>LITHOS</t>
  </si>
  <si>
    <t>Balleny plume; HIMU; Macquarie Island; Mantle metasomatism; Pyroxenite; Zealandia</t>
  </si>
  <si>
    <t>MARIE-BYRD-LAND; INTRAPLATE VOLCANISM; NEW-ZEALAND; CONTINENTAL LITHOSPHERE; GARNET-PERIDOTITE; TERTIARY BASALTS; MANTLE DOMAIN; END-MEMBER; MORB MELTS; GEOCHEMISTRY</t>
  </si>
  <si>
    <t>The Macquarie Ridge Complex (MRC), located at the Australian-Pacific plate boundary south of New Zealand, is a rugged bathymetric ridge comprising a series of submarine seamounts and Macquarie Island, the only subaerial portion of the complex. Mid-ocean ridge basalts (MORBs) from Macquarie Island show various enrichments in incompatible elements with compositions ranging from typical normal MORB to enriched MORB. However, these basalts have isotopic compositions trending towards a high mu-like (mu = U-238/Pb-204; HIMU) mantle component, which is unusual for MORB-type rocks. The origin of this mantle signature is not understood, and it is unclear whether this isotopic signature is characteristic of the entire MRC or unique to Macquarie Island. Here we report new major and trace element abundances, and Sr, Nd, and Pb isotopes for samples from the MRC sea mounts and from new sampling sites on Macquarie Island. The geochemical and isotopic data show that the entire MRC comprises normal to enriched MORB. Mixing modelling indicates that the heterogeneous isotopic signatures of the MRC basalts are not derived from contamination of the nearby Balleny mantle plume but have affinities with that of the Cenozoic Zealandia intraplate HIMU-like basalts. We propose that the heterogeneous geochemical signatures of the MRC basalts are derived from amphibole-bearing garnet pyroxenite veins, which is supported by the rare earth element partial melting modelling and strong correlations between Nd and Pb isotopic ratios vs La/Sm. We posit that the pyroxenite veins were generated in the oceanic lithospheric mantle, which was metasomatised by hydrous and carbonatitic fluids/melts derived either from delaminated, metasomatised Zealandia subcontinental lithosphere mantle, or from subducted material in the asthenosphere. The subducted material could be derived from ancient and/or recent subduction along the former east Gondwana margin. (C) 2020 Elsevier B.V. All rights reserved.</t>
  </si>
  <si>
    <t>[Jiang, Qiang; Jourdan, Fred] Curtin Univ, Western Australian Argon Isotope Facil, Perth, WA 6845, Australia; [Jiang, Qiang; Jourdan, Fred; Olierook, Hugo K. H.] Curtin Univ, John de Laeter Ctr, Perth, WA 6845, Australia; [Jiang, Qiang; Jourdan, Fred; Olierook, Hugo K. H.; Evans, Katy A.] Curtin Univ, Sch Earth &amp; Planetary Sci, Perth, WA 6845, Australia; [Merle, Renaud E.] Swedish Museum Nat Hist, Dept Geosci, S-10405 Stockholm, Sweden; [Merle, Renaud E.] Uppsala Univ, Dept Earth Sci Nat Resources &amp; Sustainable Dev, Villavagen 16, S-75236 Uppsala, Sweden; [Olierook, Hugo K. H.] Curtin Univ, Ctr Explorat Targeting Curtin Node, Sch Earth &amp; Planetary Sci, Timescales Mineral Syst, Perth, WA 6845, Australia; [Chiaradia, Massimo] Univ Geneva, Dept Earth Sci, Rue Maraichers 13, CH-1205 Geneva, Switzerland; [Wang, Xuan-Ce] Yunnan Univ, Res Ctr Earth Syst Sci, Yunnan Key Lab Earth Syst Sci, Kunming 650500, Yunnan, Peoples R China; [Wang, Xuan-Ce] Changan Univ, Sch Earth Sci &amp; Resources, Xian 710054, Peoples R China; [Wang, Xuan-Ce; Bostock, Helen C.] Univ Queensland, Sch Earth &amp; Environm Sci, Brisbane, Qld 4072, Australia; [Conway, Chris E.] AIST, Inst Earthquake &amp; Volcano Geol, Geol Survey Japan, 1-1-1 Higashi, Tsukuba, Ibaraki 3058567, Japan; [Bostock, Helen C.; Wysoczanski, Richard J.] Natl Inst Water &amp; Atmospher Res, Private Bag 14-901, Wellington 6241, New Zealand</t>
  </si>
  <si>
    <t>Curtin University; Curtin University; Curtin University; Swedish Museum of Natural History; Uppsala University; Curtin University; University of Geneva; Yunnan University; Chang'an University; University of Queensland; National Institute of Advanced Industrial Science &amp; Technology (AIST); National Institute of Water &amp; Atmospheric Research (NIWA) - New Zealand</t>
  </si>
  <si>
    <t>Jiang, Q (corresponding author), Curtin Univ, Western Australian Argon Isotope Facil, Sch Earth &amp; Planetary Sci, Perth, WA 6845, Australia.</t>
  </si>
  <si>
    <t>qiang.jiang1@postgrad.curtin.edu.au</t>
  </si>
  <si>
    <t>Jiang, Qiang/HMD-5605-2023; merle, renaud e./ABG-7421-2020; Bostock, Helen/A-6834-2013; Evans, Katy A/G-5748-2011; Olierook, Hugo/AAQ-3657-2021; Conway, Chris E./AAC-8667-2020; Jiang, Qiang/GNO-9906-2022</t>
  </si>
  <si>
    <t>Jiang, Qiang/0000-0003-3381-9592; merle, renaud e./0000-0001-9018-6862; Bostock, Helen/0000-0002-8903-8958; Olierook, Hugo/0000-0001-5961-4304; Conway, Chris E./0000-0002-2790-0178; Evans, Katy/0000-0001-5144-4507; Jourdan, Fred/0000-0001-5626-4521</t>
  </si>
  <si>
    <t>Australian Antarctic Division Science Project [4444]; New Zealand Ministry of Business, Innovation and Employment (MBIE) [COPR1902]; CSC-CIPRS scholarship</t>
  </si>
  <si>
    <t>Australian Antarctic Division Science Project; New Zealand Ministry of Business, Innovation and Employment (MBIE)(New Zealand Ministry of Business, Innovation and Employment (MBIE)); CSC-CIPRS scholarship</t>
  </si>
  <si>
    <t>This work was supported by the Australian Antarctic Division Science Project (grant number 4444). We thank the AAD staff at the Kensington headquarters and on Macquarie Island for support in managing the project, organizing the field trip and logistics. We are particularly thankful for support in the field from safety officer M. Raymond, ranger A. Turbett and station leader K. Williams. We are grateful to the Polar Rock Repository for providing four dredge samples for this study. QJ thanks for the support of the CSC-CIPRS scholarship. HB and RW were supported by the New Zealand Ministry of Business, Innovation and Employment (MBIE) Strategic Science Investment Fund, Marine Geological Processes and Resources (COPR1902). Comments from A. McCoy-West and V. Kamenetsky helped to improve an earlier version of this manuscript. We thank reviewers J. Mata and J. Geldmacher, and editor X.-H. Li for their helpful comments.</t>
  </si>
  <si>
    <t>0024-4937</t>
  </si>
  <si>
    <t>1872-6143</t>
  </si>
  <si>
    <t>Lithos</t>
  </si>
  <si>
    <t>10.1016/j.lithos.2020.105893</t>
  </si>
  <si>
    <t>Geochemistry &amp; Geophysics; Mineralogy</t>
  </si>
  <si>
    <t>PY7ZJ</t>
  </si>
  <si>
    <t>WOS:000612261200002</t>
  </si>
  <si>
    <t>Pourkhorsandi, H; Debaille, V; Armytage, RMG; van Ginneken, M; Rochette, P; Gattacceca, J</t>
  </si>
  <si>
    <t>Pourkhorsandi, Hamed; Debaille, Vinciane; Armytage, Rosalind M. G.; van Ginneken, Matthias; Rochette, Pierre; Gattacceca, Jerome</t>
  </si>
  <si>
    <t>The effects of terrestrial weathering on samarium-neodymium isotopic composition of ordinary chondrites</t>
  </si>
  <si>
    <t>CHEMICAL GEOLOGY</t>
  </si>
  <si>
    <t>Sm-Nd; Samarium-Neodymium; Chondrite; Weathering; Hot desert; Contamination</t>
  </si>
  <si>
    <t>Following their fall to Earth, meteorites experience weathering. In this systematic study, we evaluate the trace element composition of ordinary chondrites from the Antarctic cold desert, and Atacama (Chile) and Lut (Iran) hot deserts, with an emphasis on rare earth elements (REE). Our data confirms that terrestrial weathering of meteorites in hot deserts changes their trace element (Sr, Ba, REE, Hf, Th, and U) concentrations. However, weathering effects in majority of Antarctic samples are limited to slight Ba, REE, Hf, and Th depletions and in some case to U enrichment. In comparison to the Antarctic meteorites, hot desert samples show greater disturbances and REE fractionation relative to the average fall values. We measured the Sm-Nd isotopic composition of the hot desert meteorites that have heavily affected REE compositions. Our Sm-Nd isotopic data show a significant effect of terrestrial weathering evidenced by non-CHUR Sm-147/Nd-144 and Nd-143/Nd-144 ratios. Measurements show a higher variation and lower values of Sm-147/Nd-144 for the Atacama samples than those from the Lut Desert. Deviations from CHUR Sm-147/Nd-144 value are in positive accordance with the degree of La/Lu fractionation caused by weathering. The epsilon Nd values of Atacama and Lut deserts meteorites range from -2.20 to +1.61, which is wider than the -1.07 to +0.64 range for falls. We suggest that disturbance of primary Sm/Nd ratios resulting from mixing with terrestrial components originating from soil during weathering is responsible for lower Sm-147/Nd-144 ratio in these meteorites. The majority of the Atacama meteorites regardless of their weathering degrees have their REE compositions and epsilon Nd affected by terrestrial contamination. Both Sm-147/Nd-144 ratio and epsilon Nd values show no straightforward relationship with weathering degree. However, in both cases the samples with the highest negative isotopic disturbances are H chondrites from the Atacama and Lut deserts. In addition, Ba concentration shows a negative correlation with Sm-147/Nd-144 ratio. Care must be taken into account while dealing with samples collected from hot deserts, even fresh-looking ones.</t>
  </si>
  <si>
    <t>[Pourkhorsandi, Hamed; Debaille, Vinciane; Armytage, Rosalind M. G.; van Ginneken, Matthias] Univ Libre Bruxelles, Lab G Time, CP 160-02,50 Av FD Roosevelt, B-1050 Brussels, Belgium; [Pourkhorsandi, Hamed; Rochette, Pierre; Gattacceca, Jerome] Aix Marseille Univ, CEREGE, INRAE, CNRS,IRD, Aix En Provence, France; [Armytage, Rosalind M. G.] NASA, Jacobs JETS, Johnson Space Ctr, 2101 NASA Pkwy,Mailcode XI3, Houston, TX 77058 USA; [van Ginneken, Matthias] Royal Belgium Inst Nat Sci, Rue Vautier 29, B-1000 Brussels, Belgium</t>
  </si>
  <si>
    <t>Universite Libre de Bruxelles; Aix-Marseille Universite; INRAE; Centre National de la Recherche Scientifique (CNRS); Institut de Recherche pour le Developpement (IRD); National Aeronautics &amp; Space Administration (NASA); NASA Johnson Space Center; Royal Belgian Institute of Natural Sciences</t>
  </si>
  <si>
    <t>Pourkhorsandi, H (corresponding author), Univ Libre Bruxelles, Lab G Time, CP 160-02,50 Av FD Roosevelt, B-1050 Brussels, Belgium.</t>
  </si>
  <si>
    <t>hamed.pourkhorsandi@ulb.ac.be</t>
  </si>
  <si>
    <t>Rochette, Pierre/O-4612-2019; Gattacceca, Jerome/AAG-5651-2019; Van Ginneken, Matthias/AFQ-5594-2022</t>
  </si>
  <si>
    <t>Rochette, Pierre/0000-0002-7362-0660; Gattacceca, Jerome/0000-0002-1639-7140; Van Ginneken, Matthias/0000-0002-2508-7021; Armytage, Rosalind/0000-0001-8118-4347; POURKHORSANDI, Hamed/0000-0002-5261-0180</t>
  </si>
  <si>
    <t>ERC StG ISoSyC; European Union's Horizon 2020 research and innovation programme under the Marie Sklodowska-Curie grant [801505]</t>
  </si>
  <si>
    <t>ERC StG ISoSyC(European Research Council (ERC)); European Union's Horizon 2020 research and innovation programme under the Marie Sklodowska-Curie grant(Marie Curie Actions)</t>
  </si>
  <si>
    <t>H. Pourkhorsandi, V. Debaille, P. Rochette, and J. Gattacceca thank the PHC Tournesol program. H. Pourkhorsandi, R. M. G. Armytage, and V. Debaille acknowledge funding from the ERC StG ISoSyC, and V. Debaille also thanks the FRS-FNRS for present support. We thank Dr. D. Porcelli, Dr. A. King, and an anonymous reviewer for their constructive comments and suggestions. Dr. G. Hublet and R. Maeda are thanked for insightful discussions. We thank W. Debouge and S. Cauchies for keeping the clean labs in perfect conditions. Dr. J. de Jong is thanked for maintaining the analytical instruments. We thank RBINS and CEREGE for providing meteorite samples from Antarctic and hot deserts, respectively. This project has received funding from the European Union's Horizon 2020 research and innovation programme under the Marie Sklodowska-Curie grant agreement No 801505.</t>
  </si>
  <si>
    <t>0009-2541</t>
  </si>
  <si>
    <t>1872-6836</t>
  </si>
  <si>
    <t>CHEM GEOL</t>
  </si>
  <si>
    <t>Chem. Geol.</t>
  </si>
  <si>
    <t>FEB 20</t>
  </si>
  <si>
    <t>10.1016/j.chemgeo.2020.120056</t>
  </si>
  <si>
    <t>QC9SU</t>
  </si>
  <si>
    <t>WOS:000615171000011</t>
  </si>
  <si>
    <t>Sotiropoulou, G; Vignon, É; Young, G; Morrison, H; O'Shea, SJ; Lachlan-Cope, T; Berne, A; Nenes, A</t>
  </si>
  <si>
    <t>Sotiropoulou, Georgia; Vignon, Etienne; Young, Gillian; Morrison, Hugh; O'Shea, Sebastian J.; Lachlan-Cope, Thomas; Berne, Alexis; Nenes, Athanasios</t>
  </si>
  <si>
    <t>Secondary ice production in summer clouds over the Antarctic coast: an underappreciated process in atmospheric models</t>
  </si>
  <si>
    <t>SUPERCOOLED LIQUID WATER; POLAR WEATHER RESEARCH; MIXED-PHASE; PART I; AIRCRAFT OBSERVATIONS; STRATIFORM CLOUDS; DATA ASSIMILATION; SOUTHERN-OCEAN; BREAK-UP; MICROPHYSICS</t>
  </si>
  <si>
    <t>The correct representation of Antarctic clouds in atmospheric models is crucial for accurate projections of the future Antarctic climate. This is particularly true for summer clouds which play a critical role in the surface melting of the ice shelves in the vicinity of the Weddell Sea. The pristine atmosphere over the Antarctic coast is characterized by low concentrations of ice nucleating particles (INPs) which often result in the formation of supercooled liquid clouds. However, when ice formation occurs, the ice crystal number concentrations (ICNCs) are substantially higher than those predicted by existing primary ice nucleation parameterizations. The rime-splintering mechanism, thought to be the dominant secondary ice production (SIP) mechanism at temperatures between -8 and -3 degrees C, is also weak in the Weather and Research Forecasting model. Including a parameterization for SIP due to breakup (BR) from collisions between ice particles improves the ICNC representation in the modeled mixed-phase clouds, suggesting that BR could account for the enhanced ICNCs often found in Antarctic clouds. The model results indicate that a minimum concentration of about similar to 0.1 L-1 of primary ice crystals is necessary and sufficient to initiate significant breakup to explain the observations, while our findings show little sensitivity to increasing INPs. The BR mechanism is currently not represented in most weather prediction and climate models; including this process can have a significant impact on the Antarctic radiation budget.</t>
  </si>
  <si>
    <t>[Sotiropoulou, Georgia; Nenes, Athanasios] Ecole Polytech Fed Lausanne EPFL, Lab Atmospher Proc &amp; Their Impacts LAPI, Lausanne, Switzerland; [Sotiropoulou, Georgia] Stockholm Univ, Dept Meteorol, Stockholm, Sweden; [Sotiropoulou, Georgia] Bolin Ctr Climate Res, Stockholm, Sweden; [Vignon, Etienne; Berne, Alexis] Ecole Polytech Fed Lausanne, Environm Remote Sensing Lab LTE, Lausanne, Switzerland; [Vignon, Etienne] Sorbonne Univ, Lab Meteorol Dynam LMD, CNRS, UMR 8539,IPSL, Paris, France; [Young, Gillian] Univ Leeds, Sch Earth &amp; Environm, Leeds, W Yorkshire, England; [Morrison, Hugh] Natl Ctr Atmospher Res, POB 3000, Boulder, CO 80307 USA; [Morrison, Hugh] Univ New South Wales, ARC Ctr Excellence Climate Syst Sci, Sydney, NSW, Australia; [O'Shea, Sebastian J.] Univ Manchester, Ctr Atmospher Sci, Manchester, Lancs, England; [Lachlan-Cope, Thomas] British Antarctic Survey, Cambridge, England; [Nenes, Athanasios] Fdn Res &amp; Technol Hellas FORTH, ICE HT, Patras, Greece</t>
  </si>
  <si>
    <t>Swiss Federal Institutes of Technology Domain; Ecole Polytechnique Federale de Lausanne; Stockholm University; Swiss Federal Institutes of Technology Domain; Ecole Polytechnique Federale de Lausanne; Sorbonne Universite; Universite Paris Cite; Ecole des Ponts ParisTech; Centre National de la Recherche Scientifique (CNRS); CNRS - National Institute for Earth Sciences &amp; Astronomy (INSU); University of Leeds; National Center Atmospheric Research (NCAR) - USA; University of New South Wales Sydney; ARC Centre of Excellence for Climate System Science; University of Manchester; UK Research &amp; Innovation (UKRI); Natural Environment Research Council (NERC); NERC British Antarctic Survey; Foundation for Research &amp; Technology - Hellas (FORTH); Institute of Chemical Engineering Sciences (ICE-HT)</t>
  </si>
  <si>
    <t>Sotiropoulou, G; Nenes, A (corresponding author), Ecole Polytech Fed Lausanne EPFL, Lab Atmospher Proc &amp; Their Impacts LAPI, Lausanne, Switzerland.;Sotiropoulou, G (corresponding author), Stockholm Univ, Dept Meteorol, Stockholm, Sweden.;Sotiropoulou, G (corresponding author), Bolin Ctr Climate Res, Stockholm, Sweden.;Nenes, A (corresponding author), Fdn Res &amp; Technol Hellas FORTH, ICE HT, Patras, Greece.</t>
  </si>
  <si>
    <t>georgia.sotiropoulou@epfl.ch; athanasios.nenes@epfl.ch</t>
  </si>
  <si>
    <t>Nenes, Athanasios/ABE-6478-2020</t>
  </si>
  <si>
    <t>Nenes, Athanasios/0000-0003-3873-9970; Lachlan-Cope, Tom/0000-0002-0657-3235; VIGNON, Etienne/0000-0003-3801-9367; McCusker, Gillian Young/0000-0002-8464-7332; O'Shea, Sebastian/0000-0002-0489-1723; Berne, Alexis/0000-0003-4977-1204</t>
  </si>
  <si>
    <t>Svenska Forskningsradet Formas (IC-IRIM) [2018-01760]; H2020 European Research Council (PyroTRACH) [726165]; European Commission Horizon 2020 (FORCeS) [821205]; NERC [NE/K01305X/1, bas0100032] Funding Source: UKRI</t>
  </si>
  <si>
    <t>Svenska Forskningsradet Formas (IC-IRIM); H2020 European Research Council (PyroTRACH); European Commission Horizon 2020 (FORCeS); NERC(UK Research &amp; Innovation (UKRI)Natural Environment Research Council (NERC))</t>
  </si>
  <si>
    <t>This research has been supported by the Svenska Forskningsradet Formas (IC-IRIM; project ID 2018-01760), the H2020 European Research Council (PyroTRACH; grant no. 726165) and the European Commission Horizon 2020 (FORCeS; grant no. 821205).</t>
  </si>
  <si>
    <t>JAN 19</t>
  </si>
  <si>
    <t>10.5194/acp-21-755-2021</t>
  </si>
  <si>
    <t>PX7WT</t>
  </si>
  <si>
    <t>Green Submitted, gold, Green Accepted</t>
  </si>
  <si>
    <t>WOS:000611565700004</t>
  </si>
  <si>
    <t>Haas, C; Langhorne, PJ; Rack, W; Leonard, GH; Brett, GM; Price, D; Beckers, JF; Gough, AJ</t>
  </si>
  <si>
    <t>Haas, Christian; Langhorne, Patricia J.; Rack, Wolfgang; Leonard, Greg H.; Brett, Gemma M.; Price, Daniel; Beckers, Justin F.; Gough, Alex J.</t>
  </si>
  <si>
    <t>Airborne mapping of the sub-ice platelet layer under fast ice in McMurdo Sound, Antarctica</t>
  </si>
  <si>
    <t>SHELF WATER PLUME; SEA-ICE; ROSS SEA; SOUTHERN MCMURDO; THICKNESS; WINTER; EVOLUTION; FREEBOARD; ICEBERG; VOLUME</t>
  </si>
  <si>
    <t>Basal melting of ice shelves can result in the outflow of supercooled ice shelf water, which can lead to the formation of a sub-ice platelet layer (SIPL) below adjacent sea ice. McMurdo Sound, located in the southern Ross Sea, Antarctica, is well known for the occurrence of a SIPL linked to ice shelf water outflow from under the McMurdo Ice Shelf. Airborne, single-frequency, frequency-domain electromagnetic induction (AEM) surveys were performed in November of 2009, 2011, 2013, 2016, and 2017 to map the thickness and spatial distribution of the landfast sea ice and underlying porous SIPL. We developed a simple method to retrieve the thickness of the consolidated ice and SIPL from the EM in-phase and quadrature components, supported by EM forward modelling and calibrated and validated by drill-hole measurements. Linear regression of EM in-phase measurements of apparent SIPL thickness and drill-hole measurements of true SIPL thickness yields a scaling factor of 0.3 to 0.4 and rms error of 0.47 m. EM forward modelling suggests that this corresponds to SIPL conductivities between 900 and 1800 mS m(-1), with associated SIPL solid fractions between 0.09 and 0.47. The AEM surveys showed the spatial distribution and thickness of the SIPL well, with SIPL thicknesses of up to 8 m near the ice shelf front. They indicate interannual SIPL thickness variability of up to 2 m. In addition, they reveal high-resolution spatial information about the small-scale SIPL thickness variability and indicate the presence of persistent peaks in SIPL thickness that may be linked to the geometry of the outflow from under the ice shelf.</t>
  </si>
  <si>
    <t>[Haas, Christian; Beckers, Justin F.] Univ Alberta, Dept Earth &amp; Atmospher Sci, Edmonton, AB, Canada; [Haas, Christian] York Univ, Dept Earth &amp; Space Sci &amp; Engn, Toronto, ON, Canada; [Haas, Christian] Alfred Wegener Inst Polar &amp; Marine Res, Bremerhaven, Germany; [Haas, Christian] Univ Bremen, Dept Environm Phys, Bremen, Germany; [Langhorne, Patricia J.; Gough, Alex J.] Univ Otago, Dept Phys, Dunedin, New Zealand; [Rack, Wolfgang; Brett, Gemma M.; Price, Daniel] Univ Canterbury, Gateway Antarctica, Christchurch, New Zealand; [Leonard, Greg H.] Univ Otago, Sch Surveying, Dunedin, New Zealand; [Beckers, Justin F.] Nat Resources Canada, Canadian Forest Serv, Edmonton, AB, Canada</t>
  </si>
  <si>
    <t>University of Alberta; York University - Canada; Helmholtz Association; Alfred Wegener Institute, Helmholtz Centre for Polar &amp; Marine Research; University of Bremen; University of Otago; University of Canterbury; University of Otago; Natural Resources Canada; Canadian Forest Service</t>
  </si>
  <si>
    <t>Haas, C (corresponding author), Univ Alberta, Dept Earth &amp; Atmospher Sci, Edmonton, AB, Canada.;Haas, C (corresponding author), York Univ, Dept Earth &amp; Space Sci &amp; Engn, Toronto, ON, Canada.;Haas, C (corresponding author), Alfred Wegener Inst Polar &amp; Marine Res, Bremerhaven, Germany.;Haas, C (corresponding author), Univ Bremen, Dept Environm Phys, Bremen, Germany.;Langhorne, PJ (corresponding author), Univ Otago, Dept Phys, Dunedin, New Zealand.</t>
  </si>
  <si>
    <t>chaas@awi.de; pat.langhorne@otago.ac.nz</t>
  </si>
  <si>
    <t>Haas, Christian/L-5279-2016; Leonard, Greg/F-7157-2010; Langhorne, Pat/C-3539-2018; Rack, Wolfgang/U-8898-2017; Beckers, Justin/I-2806-2014</t>
  </si>
  <si>
    <t>Haas, Christian/0000-0002-7674-3500; Brett, Gemma Marie/0000-0001-8249-2675; Leonard, Greg/0000-0001-7679-9486; Langhorne, Pat/0000-0003-0239-7657; Rack, Wolfgang/0000-0003-2447-377X; Beckers, Justin/0000-0003-0751-3995</t>
  </si>
  <si>
    <t>Targeted observations and process-informed modeling of Antarctic sea ice through the Deep South National Science Challenge C [K053, K063]; Alberta Ingenuity Scholarship grant [AITFschoptg_200700043_Haas]; Tier 1 Canada Research Chair grant [950-228139]; NSERC [356589]</t>
  </si>
  <si>
    <t>Targeted observations and process-informed modeling of Antarctic sea ice through the Deep South National Science Challenge C; Alberta Ingenuity Scholarship grant; Tier 1 Canada Research Chair grant; NSERC(Natural Sciences and Engineering Research Council of Canada (NSERC))</t>
  </si>
  <si>
    <t>We are most grateful for the logistics support and aircraft funds provided by Antarctica NZ and the welcoming staff at Scott Base. We particularly thank Johno Leitch and his team for excellent ground support for the Basler BT67 airplane campaigns in 2016 and 2017. The success of this project would not have been possible without the dedication of Helicopter NZ pilot Rob McPhail, Southern Lakes Helicopters pilot Hannibal Hayes, the Kenn Borek Air BT67 captains Gary Murtsell and Jamie Chisholm, and their respective air and ground crews. Field logistics and air time were funded by Targeted observations and process-informed modeling of Antarctic sea ice through the Deep South National Science Challenge C K053 K063 (2009, 2013, 2011). Christian Haas acknowledges infrastructure and operation funding by Alberta Ingenuity Scholarship grant AITFschoptg_200700043_Haas, Tier 1 Canada Research Chair grant no. 950-228139, and NSERC Discovery grant no. 356589. Finally we are grateful for reviewer comments by Blake R. Weissling and Andy Mahoney, as well as edi-tor comments from Ted Maksym, which considerably improved the manuscript.</t>
  </si>
  <si>
    <t>10.5194/tc-15-247-2021</t>
  </si>
  <si>
    <t>PX7MN</t>
  </si>
  <si>
    <t>gold, Green Submitted</t>
  </si>
  <si>
    <t>WOS:000611538100001</t>
  </si>
  <si>
    <t>Sun, Q; Little, CM; Barthel, AM; Padman, L</t>
  </si>
  <si>
    <t>Sun, Qiang; Little, Christopher M.; Barthel, Alice M.; Padman, Laurie</t>
  </si>
  <si>
    <t>A clustering-based approach to ocean model-data comparison around Antarctica</t>
  </si>
  <si>
    <t>OCEAN SCIENCE</t>
  </si>
  <si>
    <t>WEST ANTARCTICA; CMIP5 MODELS; BOTTOM WATER; ICE SHELVES; MASS-LOSS; SEA-ICE; CIRCULATION</t>
  </si>
  <si>
    <t>The Antarctic Continental Shelf seas (ACSS) are a critical, rapidly changing element of the Earth system. Analyses of global-scale general circulation model (GCM) simulations, including those available through the Coupled Model Intercomparison Project, Phase 6 (CMIP6), can help reveal the origins of observed changes and predict the future evolution of the ACSS. However, an evaluation of ACSS hydrography in GCMs is vital: previous CMIP ensembles exhibit substantial mean-state biases (reflecting, for example, misplaced water masses) with a wide inter-model spread. Because the ACSS are also a sparely sampled region, gridpoint-based model assessments are of limited value. Our goal is to demonstrate the utility of clustering tools for identifying hydrographic regimes that are common to different source fields (model or data), while allowing for biases in other metrics (e.g., water mass core properties) and shifts in region boundaries. We apply K -means clustering to hydrographic metrics based on the stratification from one GCM (Community Earth System Model version 2; CESM2) and one observation-based product (World Ocean Atlas 2018; WOA), focusing on the Amundsen, Bellingshausen and Ross seas. When applied to WOA temperature and salinity profiles, clustering identifies primary and mixed regimes that have physically interpretable bases. For example, meltwater-freshened coastal currents in the Amundsen Sea and a region of high-salinity shelf water formation in the southwestern Ross Sea emerge naturally from the algorithm. Both regions also exhibit clearly differentiated inner- and outer-shelf regimes. The same analysis applied to CESM2 demonstrates that, although mean-state model biases in water mass T-S characteristics can be substantial, using a clustering approach highlights that the relative differences between regimes and the locations where each regime dominates are well represented in the model. CESM2 is generally fresher and warmer than WOA and has a limited fresh-water-enriched coastal regimes. Given the sparsity of observations of the ACSS, this technique is a promising tool for the evaluation of a larger model ensemble (e.g., CMIP6) on a circum-Antarctic basis.</t>
  </si>
  <si>
    <t>[Sun, Qiang; Little, Christopher M.] Atmospher &amp; Environm Res Inc, Lexington, MA 02421 USA; [Barthel, Alice M.] Los Alamos Natl Lab, Los Alamos, NM 87545 USA; [Padman, Laurie] Earth &amp; Space Res, 3350 SW Cascade Ave, Corvallis, OR 97333 USA</t>
  </si>
  <si>
    <t>Atmospheric &amp; Environmental Research; United States Department of Energy (DOE); Los Alamos National Laboratory</t>
  </si>
  <si>
    <t>Sun, Q (corresponding author), Atmospher &amp; Environm Res Inc, Lexington, MA 02421 USA.</t>
  </si>
  <si>
    <t>qsun@aer.com</t>
  </si>
  <si>
    <t>Padman, Laurence/AAH-3808-2021; Barthel, Alice/AHE-2973-2022</t>
  </si>
  <si>
    <t>Barthel, Alice/0000-0002-2481-8646; Sun, Qiang/0000-0001-6753-2384</t>
  </si>
  <si>
    <t>NSF [1744789]; NASA [NNX17AG63G]; DOE (HiLAT-RASM project); Directorate For Geosciences; Office of Polar Programs (OPP) [1744789] Funding Source: National Science Foundation</t>
  </si>
  <si>
    <t>NSF(National Science Foundation (NSF)); NASA(National Aeronautics &amp; Space Administration (NASA)); DOE (HiLAT-RASM project)(United States Department of Energy (DOE)); Directorate For Geosciences; Office of Polar Programs (OPP)(National Science Foundation (NSF)NSF - Directorate for Geosciences (GEO))</t>
  </si>
  <si>
    <t>This research has been supported by the NSF(grant no. 1744789), NASA (grant no. NNX17AG63G), and the DOE (HiLAT-RASM project).</t>
  </si>
  <si>
    <t>1812-0784</t>
  </si>
  <si>
    <t>OCEAN SCI</t>
  </si>
  <si>
    <t>Ocean Sci.</t>
  </si>
  <si>
    <t>10.5194/os-17-131-2021</t>
  </si>
  <si>
    <t>Meteorology &amp; Atmospheric Sciences; Oceanography</t>
  </si>
  <si>
    <t>PX7MK</t>
  </si>
  <si>
    <t>WOS:000611537800001</t>
  </si>
  <si>
    <t>Baccolo, G; Delmonte, B; Niles, PB; Cibin, G; Di Stefano, E; Hampai, D; Keller, L; Maggi, V; Marcelli, A; Michalski, J; Snead, C; Frezzotti, M</t>
  </si>
  <si>
    <t>Baccolo, Giovanni; Delmonte, Barbara; Niles, P. B.; Cibin, Giannantonio; Di Stefano, Elena; Hampai, Dariush; Keller, Lindsay; Maggi, Valter; Marcelli, Augusto; Michalski, Joseph; Snead, Christopher; Frezzotti, Massimo</t>
  </si>
  <si>
    <t>Jarosite formation in deep Antarctic ice provides a window into acidic, water-limited weathering on Mars</t>
  </si>
  <si>
    <t>NORTHERN-VICTORIA-LAND; MERIDIANI-PLANUM; EAST ANTARCTICA; MINERAL DUST; AEOLIAN DUST; IRON-OXIDES; CHRONOLOGY AICC2012; BOTTOM ICE; DEPOSITS; CORES</t>
  </si>
  <si>
    <t>Many interpretations have been proposed to explain the presence of jarosite within Martian surficial sediments, including the possibility that it precipitated within paleo-ice deposits owing to englacial weathering of dust. However, until now a similar geochemical process was not observed on Earth nor in other planetary settings. We report a multi-analytical indication of jarosite formation within deep ice. Below 1000 m depth, jarosite crystals adhering on residual silica-rich particles have been identified in the Talos Dome ice core (East Antarctica) and interpreted as products of weathering involving aeolian dust and acidic atmospheric aerosols. The progressive increase of ice metamorphism and re-crystallization with depth, favours the relocation and concentration of dust and the formation of acidic brines in isolated environments, allowing chemical reactions and mineral neo-formation to occur. This is the first described englacial diagenetic mechanism occurring in deep Antarctic ice and supports the ice-weathering model for jarosite formation on Mars, highlighting the geologic importance of paleo ice-related processes on this planet. Additional implications concern the preservation of dust-related signals in deep ice cores with respect to paleoclimatic reconstructions and the englacial history of meteorites from Antarctic blue ice fields. The authors report in-situ formation of jarosite witin the Talos Dome ice core (East Antarctica) and show that this ferric-potassium sulfate mineral is present in ice deeper than 1000meters and progressively increases with depth. This has implications for the presence and formation mechanisms of jarosite observed on Mars.</t>
  </si>
  <si>
    <t>[Baccolo, Giovanni; Delmonte, Barbara; Di Stefano, Elena; Maggi, Valter] Univ Milano Bicocca, Dept Environm &amp; Earth Sci, I-20126 Milan, Italy; [Baccolo, Giovanni; Di Stefano, Elena; Maggi, Valter] Ist Nazl Fis Nucl, Sect Milano Bicocca, I-20126 Milan, Italy; [Niles, P. B.; Keller, Lindsay] NASA Johnson Space Ctr, Houston, TX 77058 USA; [Cibin, Giannantonio] Diamond Light Source, Harwell Sci &amp; Innovat Campus, Didcot OX11 0DE, Oxon, England; [Di Stefano, Elena] Univ Siena, Dept Phys Earth &amp; Environm Sci, I-53100 Siena, Italy; [Hampai, Dariush; Marcelli, Augusto] Ist Nazl Fis Nucl, Lab Nazl Frascati, I-00044 Frascati, Italy; [Marcelli, Augusto] Rome Int Ctr Mat Sci Superstripes, I-00185 Rome, Italy; [Michalski, Joseph] Univ Hong Kong, Dept Earth Sci, Hong Kong, Peoples R China; [Snead, Christopher] NASA Johnson Space Ctr, Jacobs, Houston, TX 77058 USA; [Frezzotti, Massimo] Univ Roma Tre, Dept Sci, Rome, Italy</t>
  </si>
  <si>
    <t>University of Milano-Bicocca; Istituto Nazionale di Fisica Nucleare (INFN); National Aeronautics &amp; Space Administration (NASA); NASA Johnson Space Center; Diamond Light Source; University of Siena; Istituto Nazionale di Fisica Nucleare (INFN); University of Hong Kong; National Aeronautics &amp; Space Administration (NASA); NASA Johnson Space Center; Roma Tre University; Italfarmaco</t>
  </si>
  <si>
    <t>Baccolo, G (corresponding author), Univ Milano Bicocca, Dept Environm &amp; Earth Sci, I-20126 Milan, Italy.;Baccolo, G (corresponding author), Ist Nazl Fis Nucl, Sect Milano Bicocca, I-20126 Milan, Italy.</t>
  </si>
  <si>
    <t>giovanni.baccolo@unimib.it</t>
  </si>
  <si>
    <t>FREZZOTTI, Massimo/AAK-7275-2020; Hampai, Dariush/AAW-2056-2021; Michalski, Joseph/AAU-5631-2020; Baccolo, Giovanni/J-9543-2019; Delmonte, Barbara/L-2555-2015; Cibin, Giannantonio/G-2809-2015</t>
  </si>
  <si>
    <t>FREZZOTTI, Massimo/0000-0002-2461-2883; Hampai, Dariush/0000-0002-8881-0520; Baccolo, Giovanni/0000-0002-1246-8968; Delmonte, Barbara/0000-0002-9074-2061; MAGGI, VALTER/0000-0001-6287-1213; Cibin, Giannantonio/0000-0001-5761-6760</t>
  </si>
  <si>
    <t>MIUR [PNRA18_00098]; European Union [815384]; NASA ISFM; H2020 Societal Challenges Programme [815384] Funding Source: H2020 Societal Challenges Programme</t>
  </si>
  <si>
    <t>MIUR(Ministry of Education, Universities and Research (MIUR)); European Union(European Union (EU)); NASA ISFM; H2020 Societal Challenges Programme(Horizon 2020European Union (EU)H2020 Societal Challenges Programme)</t>
  </si>
  <si>
    <t>This work is part of the TALDEEP project funded by MIUR (PNRA18_00098). The Talos Dome Ice core Project (TALDICE), a joint European programme, is funded by national contributions from Italy, France, Germany, Switzerland and the United Kingdom. Primary logistical support was provided by PNRA at Talos Dome. This is TALDICE publication no 57. This publication was generated in the frame of Beyond EPICA. The project has received funding from the European Union's Horizon 2020 research and innovation programme under grant agreement No. 815384 (Oldest Ice Core). It is supported by national partners and funding agencies in Belgium, Denmark, France, Germany, Italy, Norway, Sweden, Switzerland, The Netherlands and the United Kingdom. Logistic support is mainly provided by PNRA and IPEV through the Concordia Station system. The opinions expressed and arguments employed herein do not necessarily reflect the official views of the European Union funding agency or other national funding bodies. This is Beyond EPICA publication number 11. The authors acknowledge Diamond Light Source for provision of beamtime within proposals sp7314, sp8372 and sp9050. We thank Paolo Gentile and Tiziano Catelani for their assistance with SEM and for providing mineral specimens. Support from NASA ISFM grants to Johnson Space Center are also acknowledged.</t>
  </si>
  <si>
    <t>NATURE RESEARCH</t>
  </si>
  <si>
    <t>10.1038/s41467-020-20705-z</t>
  </si>
  <si>
    <t>QA5XL</t>
  </si>
  <si>
    <t>Green Published, Green Submitted, gold</t>
  </si>
  <si>
    <t>WOS:000613518600004</t>
  </si>
  <si>
    <t>Stolarski, J; Coronado, I; Murphy, JG; Kitahara, MV; Janiszewska, K; Mazur, M; Gothmann, AM; Bouvier, AS; Marin-Carbonne, J; Taylor, ML; Quattrini, AM; McFadden, CS; Higgins, JA; Robinson, LF; Meibom, A</t>
  </si>
  <si>
    <t>Stolarski, Jaroslaw; Coronado, Ismael; Murphy, Jack G.; Kitahara, Marcelo, V; Janiszewska, Katarzyna; Mazur, Maciej; Gothmann, Anne M.; Bouvier, Anne-Sophie; Marin-Carbonne, Johanna; Taylor, Michelle L.; Quattrini, Andrea M.; McFadden, Catherine S.; Higgins, John A.; Robinson, Laura F.; Meibom, Anders</t>
  </si>
  <si>
    <t>A modern scleractinian coral with a two-component calcite-aragonite skeleton</t>
  </si>
  <si>
    <t>PROCEEDINGS OF THE NATIONAL ACADEMY OF SCIENCES OF THE UNITED STATES OF AMERICA</t>
  </si>
  <si>
    <t>biomineralization; calcium carbonate; scleractinian corals; evolution; Southern Ocean</t>
  </si>
  <si>
    <t>BIOMINERALIZATION; CA; MINERALOGY; CHEMISTRY; ISOTOPES</t>
  </si>
  <si>
    <t>One of the most conserved traits in the evolution of biomineralizing organisms is the taxon-specific selection of skeletal minerals. All modern scleractinian corals are thought to produce skeletons exclusively of the calcium-carbonate polymorph aragonite. Despite strong fluctuations in ocean chemistry (notably the Mg/Ca ratio), this feature is believed to be conserved throughout the coral fossil record, spanning more than 240 million years. Only one example, the Cretaceous scleractinian coral Coelosmilia (ca. 70 to 65 Ma), is thought to have produced a calcitic skeleton. Here, we report that the modern asymbiotic scleractinian coral Paraconotrochus antarcticus living in the Southern Ocean forms a two-component carbonate skeleton, with an inner structure made of high-Mg calcite and an outer structure composed of aragonite. P. antarcticus and Cretaceous Coelosmilia skeletons share a unique microstructure indicating a close phylogenetic relationship, consistent with the early divergence of P. antarcticus within the Vacatina (i.e., Robusta) clade, estimated to have occurred in the Mesozoic (ca. 116 Mya). Scleractinian corals thus join the group of marine organisms capable of forming bimineralic structures, which requires a highly controlled biomineralization mechanism; this capability dates back at least 100 My. Due to its relatively prolonged isolation, the Southern Ocean stands out as a repository for extant marine organisms with ancient traits.</t>
  </si>
  <si>
    <t>[Stolarski, Jaroslaw; Janiszewska, Katarzyna] Polish Acad Sci, Inst Paleobiol, PL-00818 Warsaw, Poland; [Coronado, Ismael] Univ Leon, Fac Biol &amp; Environm Sci, Leon 24171, Spain; [Murphy, Jack G.; Higgins, John A.] Princeton Univ, Dept Geosci, Princeton, NJ 08544 USA; [Kitahara, Marcelo, V] Univ Fed Sao Paulo, Marine Sci Dept, BR-11070100 Santos, SP, Brazil; [Kitahara, Marcelo, V] Univ Sao Paulo, Ctr Marine Biol, BR-11612109 Sao Sebastiao, SP, Brazil; [Mazur, Maciej] Univ Warsaw, Dept Chem, PL-02093 Warsaw, Poland; [Gothmann, Anne M.] St Olaf Coll, Dept Environm Studies, Northfield, MN 55057 USA; [Gothmann, Anne M.] St Olaf Coll, Dept Phys, Northfield, MN 55057 USA; [Bouvier, Anne-Sophie; Marin-Carbonne, Johanna; Meibom, Anders] Univ Lausanne, Ctr Adv Surface Anal, Inst Earth Sci, CH-1015 Lausanne, Switzerland; [Taylor, Michelle L.] Univ Essex, Sch Life Sci, Wivenhoe Pk, Colchester CO4 3SQ, Essex, England; [Quattrini, Andrea M.] Smithsonian Inst, Dept Invertebrate Zool, Washington, DC 20560 USA; [Quattrini, Andrea M.; McFadden, Catherine S.] Harvey Mudd Coll, Dept Biol, Claremont, CA 91711 USA; [Robinson, Laura F.] Univ Bristol, Sch Earth Sci, Clifton BS8 1RJ, England; [Meibom, Anders] Ecole Polytech Fed Lausanne, Sch Architecture Civil &amp; Environm Engn, Lab Biol Geochem, CH-1015 Lausanne, Switzerland</t>
  </si>
  <si>
    <t>Polish Academy of Sciences; Institute of Paleobiology of the Polish Academy of Sciences; Universidad de Leon; Princeton University; Universidade Federal de Sao Paulo (UNIFESP); Universidade de Sao Paulo; University of Warsaw; Saint Olaf College; Saint Olaf College; University of Lausanne; University of Essex; Smithsonian Institution; Smithsonian National Museum of Natural History; Claremont Colleges; Harvey Mudd College; University of Bristol; Swiss Federal Institutes of Technology Domain; Ecole Polytechnique Federale de Lausanne</t>
  </si>
  <si>
    <t>Stolarski, J (corresponding author), Polish Acad Sci, Inst Paleobiol, PL-00818 Warsaw, Poland.</t>
  </si>
  <si>
    <t>stolacy@twarda.pan.pl</t>
  </si>
  <si>
    <t>Kitahara, Marcelo Visentini/D-5560-2011; Taylor, Michelle/AAY-3864-2021; Stolarski, Jaroslaw/V-9586-2017; Marin-Carbonne, Johanna/E-5068-2015; Taylor, Michelle/C-3918-2015; Murphy, Jack Geary/V-1746-2018</t>
  </si>
  <si>
    <t>Kitahara, Marcelo Visentini/0000-0003-4011-016X; Stolarski, Jaroslaw/0000-0003-0994-6823; Janiszewska, Katarzyna/0000-0002-7094-1821; Bouvier, Anne-Sophie/0000-0002-5202-603X; Quattrini, Andrea/0000-0002-4247-3055; Marin-Carbonne, Johanna/0000-0002-4265-1595; Mazur, Maciej/0000-0002-9197-5553; Taylor, Michelle/0000-0001-7271-4385; Murphy, Jack Geary/0000-0002-7579-6213</t>
  </si>
  <si>
    <t>National Science Centre (Poland) research grant [2017/25/B/ST10/02221]; European Research Council [788752]; Sao Paulo Research Foundation (Fundacao de Amparo a Pesquisa do Estado de Sao Paulo) [2014/01332-0, 2017/502295]; National Science Council (Conselho Nacional de Desenvolvimento Cientifico e Tecnologico) [301436/2018-5]; UK Natural Environment Research Council [NE/R005117/1]; NSF [1457817, 1457581]; European Union within the European Regional Development Fund, through the Innovative Economy Operational Program [POIG.02.02.00-00-025/09]; Division Of Environmental Biology; Direct For Biological Sciences [1457817, 1457581] Funding Source: National Science Foundation; European Research Council (ERC) [788752] Funding Source: European Research Council (ERC); NERC [NE/R005117/1] Funding Source: UKRI</t>
  </si>
  <si>
    <t>National Science Centre (Poland) research grant; European Research Council(European Research Council (ERC)); Sao Paulo Research Foundation (Fundacao de Amparo a Pesquisa do Estado de Sao Paulo); National Science Council (Conselho Nacional de Desenvolvimento Cientifico e Tecnologico); UK Natural Environment Research Council(UK Research &amp; Innovation (UKRI)Natural Environment Research Council (NERC)); NSF(National Science Foundation (NSF)); European Union within the European Regional Development Fund, through the Innovative Economy Operational Program; Division Of Environmental Biology; Direct For Biological Sciences(National Science Foundation (NSF)NSF - Directorate for Biological Sciences (BIO)); European Research Council (ERC)(European Research Council (ERC)Spanish Government); NERC(UK Research &amp; Innovation (UKRI)Natural Environment Research Council (NERC))</t>
  </si>
  <si>
    <t>This work was funded in part by the National Science Centre (Poland) research grant 2017/25/B/ST10/02221 to J.S. and by a European Research Council Advanced Grant number 788752 (UltraPal) to A.M. M.V.K. is supported by the Sao Paulo Research Foundation (Fundacao de Amparo a Pesquisa do Estado de Sao Paulo 2014/01332-0 and 2017/502295) and National Science Council (Conselho Nacional de Desenvolvimento Cientifico e Tecnologico 301436/2018-5). L.F.R. and M.L.T. were supported by the UK Natural Environment Research Council NE/R005117/1. The RRS James Clark Ross JR15005 cruise was part of the Biodiversity, Evolution, and Adaptation team of the Environmental Change and Evolution Programme at British Antarctic Survey. Funding of the mitogenome of P. antarcticus was provided by the NSF (1457817 to C.S.M. and 1457581 to E. Rodriguez). The work was also partially supported by the European Union within the European Regional Development Fund, through the Innovative Economy Operational Program POIG.02.02.00-00-025/09 (NanoFun).</t>
  </si>
  <si>
    <t>NATL ACAD SCIENCES</t>
  </si>
  <si>
    <t>2101 CONSTITUTION AVE NW, WASHINGTON, DC 20418 USA</t>
  </si>
  <si>
    <t>0027-8424</t>
  </si>
  <si>
    <t>1091-6490</t>
  </si>
  <si>
    <t>P NATL ACAD SCI USA</t>
  </si>
  <si>
    <t>Proc. Natl. Acad. Sci. U. S. A.</t>
  </si>
  <si>
    <t>e2013316117</t>
  </si>
  <si>
    <t>10.1073/pnas.2013316117</t>
  </si>
  <si>
    <t>PU9QX</t>
  </si>
  <si>
    <t>Green Published, Green Accepted, hybrid</t>
  </si>
  <si>
    <t>WOS:000609633900025</t>
  </si>
  <si>
    <t>Hillebrand, FL; Bremer, UF; de Freitas, MWD; Costi, J; Mendes, CW; Arigony-Neto, J; Simoes, JC; da Rosa, CN; de Jesus, JB</t>
  </si>
  <si>
    <t>Hillebrand, Fernando Luis; Bremer, Ulisses Franz; Dias de Freitas, Marcos Wellausen; Costi, Juliana; Mendes Junior, Claudio Wilson; Arigony-Neto, Jorge; Simoes, Jefferson Cardia; da Rosa, Cristiano Niederauer; de Jesus, Janisson Batista</t>
  </si>
  <si>
    <t>Statistical modeling of sea ice concentration in the northwest region of the Antarctic Peninsula</t>
  </si>
  <si>
    <t>ENVIRONMENTAL MONITORING AND ASSESSMENT</t>
  </si>
  <si>
    <t>Box-Jenkins; Multiple linear regression; ERA5; Time series; Passive remote sensors</t>
  </si>
  <si>
    <t>CLIMATE VARIABILITY; ANNULAR MODE; IMPACT; EXTENT; TEMPERATURE; PREDICTION; ANOMALIES; AMUNDSEN; TRENDS; COVER</t>
  </si>
  <si>
    <t>Sea ice is one of the main components of the cryosphere that modifies the exchange of heat and moisture between the ocean and atmosphere, regulating the global climate. In this sense, it is important to identify the concentration of sea ice in different regions of Antarctica in order to measure the impact of environmental changes on the region's ecosystem. The objective of this study was to evaluate the performance of the multiple linear regression and Box-Jenkins methods for predicting the concentration of sea ice along the northwest coast of the Antarctic Peninsula. Sea ice concentration data from May to November for the period 1979-2018 were extracted from passive remote sensors including a scanning multichannel microwave radiometer, special sensor microwave imager, and special sensor microwave imager/sounder. Meteorological variables from the atmospheric reanalysis model ERA5 of the European Center for Medium-Range Weather Forecasts were used as predictor variables, and the leave-one-out cross-validation technique was used to calibrate and validate the models. It was found that both statistical models have similar performance when analyzing residual analysis results, root mean square error of cross-validation, and final accuracy and residual standard deviation, these responses being related to the regionalization of the study area and to the Box-Jenkins presents strong, homogeneous, and stable correlations in the time series modeled for each pixel.</t>
  </si>
  <si>
    <t>[Hillebrand, Fernando Luis; Bremer, Ulisses Franz; Dias de Freitas, Marcos Wellausen; Mendes Junior, Claudio Wilson; da Rosa, Cristiano Niederauer; de Jesus, Janisson Batista] Univ Fed Rio Grande do Sul, Programa Posgrad Sensoriamento Remoto, Porto Alegre, RS, Brazil; [Hillebrand, Fernando Luis; Bremer, Ulisses Franz; Simoes, Jefferson Cardia; da Rosa, Cristiano Niederauer] Univ Fed Rio Grande do Sul, Ctr Polar &amp; Climat, Porto Alegre, RS, Brazil; [Dias de Freitas, Marcos Wellausen; Mendes Junior, Claudio Wilson] Univ Fed Rio Grande do Sul, Inst Geociencias, Porto Alegre, RS, Brazil; [Costi, Juliana] Univ Fed Rio Grande, Programa Posgrad Modelagem Computac, Rio Grande, Brazil; [Arigony-Neto, Jorge] Univ Fed Rio Grande, Inst Oceanog, Rio Grande, Brazil; [Simoes, Jefferson Cardia] Univ Maine, Climat Change Inst, Orono, ME USA</t>
  </si>
  <si>
    <t>Universidade Federal do Rio Grande do Sul; Universidade Federal do Rio Grande do Sul; Universidade Federal do Rio Grande do Sul; Universidade Federal do Rio Grande; Universidade Federal do Rio Grande; University of Maine System; University of Maine Orono</t>
  </si>
  <si>
    <t>Hillebrand, FL (corresponding author), Univ Fed Rio Grande do Sul, Programa Posgrad Sensoriamento Remoto, Porto Alegre, RS, Brazil.;Hillebrand, FL (corresponding author), Univ Fed Rio Grande do Sul, Ctr Polar &amp; Climat, Porto Alegre, RS, Brazil.</t>
  </si>
  <si>
    <t>fernando.hillebrand@rolante.ifrs.edu.br</t>
  </si>
  <si>
    <t>Hillebrand, Fernando Luis/AAK-5772-2020; Mendes, Claudio wilson/AAR-3664-2021; Mendes junior, Claudio wilson/ABB-9811-2021; Bremer, Ulisses Franz/AAT-8733-2021; Costi, Juliana/AHI-7948-2022; Simoes, Jefferson Cardia/D-7232-2013; Bremer, Ulisses F/D-3308-2013</t>
  </si>
  <si>
    <t>Hillebrand, Fernando Luis/0000-0002-0182-8526; Mendes, Claudio wilson/0000-0003-1745-348X; Bremer, Ulisses Franz/0000-0003-0519-5807; Costi, Juliana/0000-0001-6220-2343; Simoes, Jefferson Cardia/0000-0001-5555-3401; Rosa, Cristiano Niederauer da/0000-0003-3693-4764; Freitas, Marcos/0000-0001-9879-2584; Arigony-Neto, Jorge/0000-0003-4848-2064</t>
  </si>
  <si>
    <t>Coordination for the Improvement of Higher Education Personnel (CAPES); National Institute of Science and Technology of the Cryosphere (INCT da Criosfera) - Research Support Foundation of Rio Grande do Sul (FAPERGS) [17/255100005180]; National Council for Scientific and Technological Development (CNPq) [465680/2014-3]</t>
  </si>
  <si>
    <t>Coordination for the Improvement of Higher Education Personnel (CAPES)(Coordenacao de Aperfeicoamento de Pessoal de Nivel Superior (CAPES)); National Institute of Science and Technology of the Cryosphere (INCT da Criosfera) - Research Support Foundation of Rio Grande do Sul (FAPERGS); National Council for Scientific and Technological Development (CNPq)(Conselho Nacional de Desenvolvimento Cientifico e Tecnologico (CNPQ))</t>
  </si>
  <si>
    <t>We received financial support from the Coordination for the Improvement of Higher Education Personnel (CAPES), the National Institute of Science and Technology of the Cryosphere (INCT da Criosfera), financing by the Research Support Foundation of Rio Grande do Sul (FAPERGS) project 17/255100005180, and the National Council for Scientific and Technological Development (CNPq) project 465680/2014-3.</t>
  </si>
  <si>
    <t>0167-6369</t>
  </si>
  <si>
    <t>1573-2959</t>
  </si>
  <si>
    <t>ENVIRON MONIT ASSESS</t>
  </si>
  <si>
    <t>Environ. Monit. Assess.</t>
  </si>
  <si>
    <t>10.1007/s10661-021-08843-3</t>
  </si>
  <si>
    <t>PY4NS</t>
  </si>
  <si>
    <t>WOS:000612023200006</t>
  </si>
  <si>
    <t>Schrimpf, M; Lynch, H</t>
  </si>
  <si>
    <t>Schrimpf, Michael; Lynch, Heather</t>
  </si>
  <si>
    <t>The role of wind fetch in structuring Antarctic seabird breeding occupancy</t>
  </si>
  <si>
    <t>IBIS</t>
  </si>
  <si>
    <t>coloniality; exposure; nest-site selection; niche differentiation; waterbirds</t>
  </si>
  <si>
    <t>NEST-SITE COMPETITION; PENGUIN POPULATIONS; CHINSTRAP PENGUINS; GENTOO PENGUINS; INFORMATION; ADELIE; VARIABILITY; SELECTION; BEHAVIOR; LEAD</t>
  </si>
  <si>
    <t>Avian breeding sites located along shorelines may allow easy access to aquatic food sources, but risk exposing birds and nests to high wind and wave action. One measure of exposure is wind fetch, the distance of open water over which wind can blow uninterrupted. By calculating fetch weighted by prevailing wind direction for breeding colonies of pursuit-diving seabirds in the Antarctic Peninsula, we show that different members of this guild have opposing relationships to coastline exposure. Gentoo Penguins Pygoscelis papua preferentially occupied more enclosed sites with lower fetch. Surprisingly, however, Chinstrap Penguins Pygoscelis antarcticus and Antarctic Shags Leucocarbo bransfieldensis appear to prefer more exposed sites. Although considerable research has been devoted to understanding Antarctic seabird habitat suitability, the role of wind and wave exposure has not been considered in depth, in part because comprehensive data on colony presence and absence have only recently been made available. We propose several mechanisms for why fetch may act to differentiate niches among this guild. These findings may increase our ability to identify suitable breeding areas for these and other near-shore breeding species as they respond to climate change.</t>
  </si>
  <si>
    <t>[Schrimpf, Michael; Lynch, Heather] SUNY Stony Brook, Dept Ecol &amp; Evolut, 650 Life Sci Bldg, Stony Brook, NY 11794 USA; [Lynch, Heather] SUNY Stony Brook, Inst Adv Computat Sci, 163 IACS Bldg, Stony Brook, NY 11794 USA; [Schrimpf, Michael] Univ Manitoba, Nat Resources Inst, 220-70 Dysart Rd, Winnipeg, MB R3T 2M6, Canada</t>
  </si>
  <si>
    <t>State University of New York (SUNY) System; State University of New York (SUNY) Stony Brook; State University of New York (SUNY) System; State University of New York (SUNY) Stony Brook; University of Manitoba</t>
  </si>
  <si>
    <t>Schrimpf, M (corresponding author), SUNY Stony Brook, Dept Ecol &amp; Evolut, 650 Life Sci Bldg, Stony Brook, NY 11794 USA.;Schrimpf, M (corresponding author), Univ Manitoba, Nat Resources Inst, 220-70 Dysart Rd, Winnipeg, MB R3T 2M6, Canada.</t>
  </si>
  <si>
    <t>Michael.Schrimpf@umanitoba.ca</t>
  </si>
  <si>
    <t>Schrimpf, Michael/JJC-8063-2023</t>
  </si>
  <si>
    <t>Schrimpf, Michael/0000-0001-7001-1440; Lynch, Heather/0000-0002-9026-1612</t>
  </si>
  <si>
    <t>0019-1019</t>
  </si>
  <si>
    <t>1474-919X</t>
  </si>
  <si>
    <t>Ibis</t>
  </si>
  <si>
    <t>10.1111/ibi.12910</t>
  </si>
  <si>
    <t>Ornithology</t>
  </si>
  <si>
    <t>Zoology</t>
  </si>
  <si>
    <t>QR5JG</t>
  </si>
  <si>
    <t>WOS:000608593700001</t>
  </si>
  <si>
    <t>Verleyen, E; Van de Vijver, B; Tytgat, B; Pinseel, E; Hodgson, DA; Kopalová, K; Chown, SL; Van Ranst, E; Imura, S; Kudoh, S; Van Nieuwenhuyze, W; Sabbe, K; Vyverman, W</t>
  </si>
  <si>
    <t>Verleyen, Elie; Van de Vijver, Bart; Tytgat, Bjorn; Pinseel, Eveline; Hodgson, Dominic A.; Kopalova, Katerina; Chown, Steven L.; Van Ranst, Eric; Imura, Satoshi; Kudoh, Sakae; Van Nieuwenhuyze, Wim; Sabbe, Koen; Vyverman, Wim</t>
  </si>
  <si>
    <t>ANTDIAT Consortium</t>
  </si>
  <si>
    <t>Diatoms define a novel freshwater biogeography of the Antarctic</t>
  </si>
  <si>
    <t>ECOGRAPHY</t>
  </si>
  <si>
    <t>Antarctica; biogeography; diatoms; endemism; freshwater; lake</t>
  </si>
  <si>
    <t>SPECIES-DIVERSITY; DISPERSAL; REGIONS; TOLERANCE; FRAMEWORK; ENDEMISM; PATTERNS; MATRICES; POLAR; LAKES</t>
  </si>
  <si>
    <t>Terrestrial biota in the Antarctic are more globally distinct and highly structured biogeographically than previously believed, but information on biogeographic patterns and endemism in freshwater communities is largely lacking. We studied biogeographic patterns of Antarctic freshwater diatoms based on the analysis of species occurrences in a dataset of 439 lakes spread across the Antarctic realm. Highly distinct diatom floras, both in terms of composition and richness, characterize Continental Antarctica, Maritime Antarctica and the sub-Antarctic islands, with marked biogeographic provincialism in each region. A total of 44% of all species is estimated to be endemic to the Antarctic, and most of them are confined to a single biogeographic region. The level of endemism significantly increases with increasing latitude and geographic isolation. Our results have implications for conservation planning, and suggest that successful dispersal of freshwater diatoms to and within the Antarctic is limited, fostering the evolution of highly endemic diatom floras.</t>
  </si>
  <si>
    <t>[Verleyen, Elie; Tytgat, Bjorn; Pinseel, Eveline; Van Nieuwenhuyze, Wim] ANTDIAT Consortium, Ghent, Belgium; [Sabbe, Koen; Vyverman, Wim] Univ Ghent, Protistol &amp; Aquat Ecol, Campus Sterre, Ghent, Belgium; [Van de Vijver, Bart; Pinseel, Eveline] Meise Bot Garden, Meise, Belgium; [Van de Vijver, Bart] Univ Antwerp, Dept Biol, ECOBE, Antwerp, Belgium; [Hodgson, Dominic A.] British Antarctic Survey, Nat Environm Res Council, Cambridge, England; [Kopalova, Katerina] Charles Univ Prague, Dept Ecol, Prague, Czech Republic; [Kopalova, Katerina] Acad Sci CR, Inst Bot, Phycol Ctr, Trebon, Czech Republic; [Chown, Steven L.] Monash Univ, Sch Biol Sci, Melbourne, Vic, Australia; [Van Ranst, Eric] Univ Ghent, Dept Geol (WE13, Campus Sterre, Ghent, Belgium; [Imura, Satoshi; Kudoh, Sakae] Natl Inst Polar Res, Tachikawa, Tokyo, Japan; [Imura, Satoshi; Kudoh, Sakae] Grad Univ Adv Studies, SOKENDAI, Tachikawa, Tokyo, Japan</t>
  </si>
  <si>
    <t>Ghent University; University of Antwerp; UK Research &amp; Innovation (UKRI); Natural Environment Research Council (NERC); NERC British Antarctic Survey; Charles University Prague; Czech Academy of Sciences; Institute of Botany of the Czech Academy of Sciences; Monash University; Melbourne Genomics Health Alliance; Ghent University; Research Organization of Information &amp; Systems (ROIS); National Institute of Polar Research (NIPR) - Japan; Graduate University for Advanced Studies - Japan</t>
  </si>
  <si>
    <t>Verleyen, E (corresponding author), ANTDIAT Consortium, Ghent, Belgium.</t>
  </si>
  <si>
    <t>elie.verleyen@UGent.be</t>
  </si>
  <si>
    <t>Chown, Steven/ABD-7646-2021; Pinseel, Eveline/ABF-5980-2020; Kopalová, Kateřina/M-6207-2017; Saunders, Krystyna/G-1368-2019</t>
  </si>
  <si>
    <t>Pinseel, Eveline/0000-0002-1801-2187; Kohler, Tyler J./0000-0001-5137-4844; Elster, Josef/0000-0002-4535-5636; Saunders, Krystyna/0000-0002-6800-2630</t>
  </si>
  <si>
    <t>Research Foundation - Flanders (FWO); Belgian Science Policy Office; Ins. for the Promotion of Science and Technology - Flanders (IWT); Ministry of Education, Youth and Sports; Czech Republic (CZECH-INDIAN COOPERATIVE SCIENTIFIC RESEARCH [LTAIN19139, CZ.02.1.01/0.0/0.0/16_013/0001708]; institutional longterm research plan of the Inst. of Botany CAS [RVO 67985939]; Fund for Scientific Research in Flanders; Charles Univ. Research Centre program [204069]; NERC [bas0100030] Funding Source: UKRI</t>
  </si>
  <si>
    <t>Research Foundation - Flanders (FWO)(FWO); Belgian Science Policy Office(Belgian Federal Science Policy Office); Ins. for the Promotion of Science and Technology - Flanders (IWT)(Institute for the Promotion of Innovation by Science and Technology in Flanders (IWT)); Ministry of Education, Youth and Sports(Ministry of Education, Youth &amp; Sports - Czech Republic); Czech Republic (CZECH-INDIAN COOPERATIVE SCIENTIFIC RESEARCH; institutional longterm research plan of the Inst. of Botany CAS; Fund for Scientific Research in Flanders; Charles Univ. Research Centre program; NERC(UK Research &amp; Innovation (UKRI)Natural Environment Research Council (NERC))</t>
  </si>
  <si>
    <t>This research was funded by the Research Foundation -Flanders (FWO), the Belgian Science Policy Office projects HOLANT, AMBIO, CCAMBIO and SAFRED, and the Ins. for the Promotion of Science and Technology - Flanders (IWT). Logistic support during the sampling campaigns was provided by the Australian Antarctic Division, the British Antarctic Survey, the French Inst. for Polar Research (IPEV), the Japanese Inst. for Polar Research (JARE 48), the South African National Antarctic Program, the United States Antarctic Program and the Czech polar program funded by the Ministry of Education, Youth and Sports, the Czech Republic (CZECH-INDIAN COOPERATIVE SCIENTIFIC RESEARCH, LTAIN19139, ECOPOLARIS, project no. CZ.02.1.01/0.0/0.0/16_013/0001708) and the institutional longterm research plan of the Inst. of Botany CAS (RVO 67985939). EP was a research fellow of the Fund for Scientific Research in Flanders, and KK was further supported by Charles Univ. Research Centre program no. 204069. This paper contributes to the SCAR ANTECO research program.</t>
  </si>
  <si>
    <t>0906-7590</t>
  </si>
  <si>
    <t>1600-0587</t>
  </si>
  <si>
    <t>Ecography</t>
  </si>
  <si>
    <t>10.1111/ecog.05374</t>
  </si>
  <si>
    <t>Biodiversity Conservation; Ecology</t>
  </si>
  <si>
    <t>Biodiversity &amp; Conservation; Environmental Sciences &amp; Ecology</t>
  </si>
  <si>
    <t>RG2CE</t>
  </si>
  <si>
    <t>gold, Green Published, Green Submitted, Green Accepted</t>
  </si>
  <si>
    <t>WOS:000608571700001</t>
  </si>
  <si>
    <t>Vozzo, ML; Mayer-Pinto, M; Bishop, MJ; Cumbo, VR; Bugnot, AB; Dafforn, KA; Johnston, EL; Steinberg, PD; Strain, EMA</t>
  </si>
  <si>
    <t>Vozzo, M. L.; Mayer-Pinto, M.; Bishop, M. J.; Cumbo, V. R.; Bugnot, A. B.; Dafforn, K. A.; Johnston, E. L.; Steinberg, P. D.; Strain, E. M. A.</t>
  </si>
  <si>
    <t>Making seawalls multifunctional: The positive effects of seeded bivalves and habitat structure on species diversity and filtration rates</t>
  </si>
  <si>
    <t>MARINE ENVIRONMENTAL RESEARCH</t>
  </si>
  <si>
    <t>Filtration; Water quality; Suspension feeder; Primary producer; Oysters; Invasive species; Native species; Ecosystem functioning; Artificial structures; Seawalls</t>
  </si>
  <si>
    <t>COASTAL INFRASTRUCTURE; URBAN INFRASTRUCTURE; FUNCTIONAL DIVERSITY; INVASION RESISTANCE; BIOTIC RESISTANCE; FEEDING BIVALVES; WATER-QUALITY; MARINE; BIODIVERSITY; OYSTER</t>
  </si>
  <si>
    <t>The marine environment is being increasingly modified by the construction of artificial structures, the impacts of which may be mitigated through eco-engineering. To date, eco-engineering has predominantly aimed to increase biodiversity, but enhancing other ecological functions is arguably of equal importance for artificial structures. Here, we manipulated complexity through habitat structure (flat, and 2.5 cm, 5 cm deep vertical and 5 cm deep horizontal crevices) and seeding with the native oyster (Saccostrea glomerata, unseeded and seeded) on concrete tiles (0.25 m ? 0.25 m) affixed to seawalls to investigate whether complexity (both orientation and depth of crevices) influences particle removal rates by suspension feeders and colonisation by different functional groups, and whether there are any ecological trade-offs between these functions. After 12 months, complex seeded tiles generally supported a greater abundance of suspension feeding taxa and had higher particle removal rates than flat tiles or unseeded tiles. The richness and diversity of taxa also increased with complexity. The effect of seeding was, however, generally weaker on tiles with complex habitat structure. However, the orientation of habitat complexity and the depth of the crevices did not influence particle removal rates or colonising taxa. Colonisation by non-native taxa was low compared to total taxa richness. We did not detect negative ecological trade-offs between increased particle removal rates and diversity and abundance of key functional groups. Our results suggest that the addition of complexity to marine artificial structures could potentially be used to enhance both biodiversity and particle removal rates. Consequently, complexity should be incorporated into future ecoengineering projects to provide a range of ecological functions in urbanised estuaries.</t>
  </si>
  <si>
    <t>[Vozzo, M. L.; Mayer-Pinto, M.; Bishop, M. J.; Cumbo, V. R.; Bugnot, A. B.; Dafforn, K. A.; Steinberg, P. D.; Strain, E. M. A.] Sydney Inst Marine Sci, Bldg 19 Chowder Bay Rd, Mosman, NSW 2088, Australia; [Mayer-Pinto, M.; Johnston, E. L.; Steinberg, P. D.] Univ New South Wales, Sch Biol Earth &amp; Environm Sci, Sydney, NSW 2052, Australia; [Vozzo, M. L.; Bishop, M. J.; Cumbo, V. R.] Macquarie Univ, Dept Biol Sci, N Ryde, NSW 2109, Australia; [Bugnot, A. B.] Univ Sydney, Sch Life &amp; Environm Sci, Sydney, NSW 2006, Australia; [Dafforn, K. A.] Macquarie Univ, Dept Earth &amp; Environm Sci, N Ryde, NSW 2109, Australia; [Strain, E. M. A.] Univ Tasmania, Inst Marine &amp; Antarctic Sci, Hobart, Tas 7000, Australia</t>
  </si>
  <si>
    <t>Sydney Institute of Marine Science; University of New South Wales Sydney; Macquarie University; University of Sydney; Macquarie University; University of Tasmania</t>
  </si>
  <si>
    <t>Vozzo, ML (corresponding author), Sydney Inst Marine Sci, Bldg 19 Chowder Bay Rd, Mosman, NSW 2088, Australia.;Mayer-Pinto, M (corresponding author), Univ New South Wales, Sch Biol Earth &amp; Environm Sci, Sydney, NSW 2052, Australia.</t>
  </si>
  <si>
    <t>maria.vozzo@sims.org.au; m.mayerpinto@unsw.edu.au</t>
  </si>
  <si>
    <t>Strain, Elisabeth/U-3520-2017; Pinto, Mariana/JZT-3004-2024; Bishop, Melanie/AGA-7862-2022; Bugnot, Ana/GQA-3017-2022; Johnston, Emma/AAC-2878-2022; Dafforn, Katherine/J-9647-2013</t>
  </si>
  <si>
    <t>Bugnot, Ana/0000-0001-6451-0307; Johnston, Emma/0000-0002-2117-366X; Mayer-Pinto, Mariana/0000-0001-9679-7023; Cumbo, Vivian/0000-0001-5757-8899; Vozzo, Maria/0000-0002-3885-9908; Bishop, Melanie/0000-0001-8210-6500; Dafforn, Katherine/0000-0001-8848-377X; Steinberg, Peter/0000-0002-1781-0726</t>
  </si>
  <si>
    <t>Ian Potter Foundation; New South Wales Government Office of Science and Research; Harding Miller Foundation; [LP140100753]; Australian Research Council [LP140100753] Funding Source: Australian Research Council</t>
  </si>
  <si>
    <t>Ian Potter Foundation; New South Wales Government Office of Science and Research; Harding Miller Foundation; ; Australian Research Council</t>
  </si>
  <si>
    <t>We thank the many field and lab volunteers who assisted with deployment, filtration measurements and postsample processing of this project, including Emma Wilkie, Steph Bagala, Dominic McAfee, Peter Simpson and Caleb Rankin. This project was supported by funding from The Ian Potter Foundation (PDS) , Harding Miller Foundation (PDS, EMAS, MJB, ELJ) and the New South Wales Government Office of Science and Research (PDS, EMAS, MJB) . KAD was supported with funding from LP140100753. This study was part of the World Harbour Project. This is Sydney Institute of Marine Science (SIMS) publication number 264.</t>
  </si>
  <si>
    <t>0141-1136</t>
  </si>
  <si>
    <t>1879-0291</t>
  </si>
  <si>
    <t>MAR ENVIRON RES</t>
  </si>
  <si>
    <t>Mar. Environ. Res.</t>
  </si>
  <si>
    <t>10.1016/j.marenvres.2020.105243</t>
  </si>
  <si>
    <t>Environmental Sciences; Marine &amp; Freshwater Biology; Toxicology</t>
  </si>
  <si>
    <t>Environmental Sciences &amp; Ecology; Marine &amp; Freshwater Biology; Toxicology</t>
  </si>
  <si>
    <t>QW5CF</t>
  </si>
  <si>
    <t>WOS:000628667000001</t>
  </si>
  <si>
    <t>Lee, SJ; Kim, JH; Jo, E; Choi, E; Kim, J; Choi, SG; Chung, S; Kim, HW; Park, H</t>
  </si>
  <si>
    <t>Lee, Seung Jae; Kim, Jeong-Hoon; Jo, Euna; Choi, Eunkyung; Kim, Jinmu; Choi, Seok-Gwan; Chung, Sangdeok; Kim, Hyun-Woo; Park, Hyun</t>
  </si>
  <si>
    <t>Chromosomal assembly of the Antarctic toothfish (Dissostichus mawsoni) genome using third-generation DNA sequencing and Hi-C technology</t>
  </si>
  <si>
    <t>ZOOLOGICAL RESEARCH</t>
  </si>
  <si>
    <t>IDENTIFICATION; ANNOTATION; ALIGNMENT; BUOYANCY; DATABASE; PROGRAM; GENES; BASE</t>
  </si>
  <si>
    <t>[Lee, Seung Jae; Jo, Euna; Choi, Eunkyung; Kim, Jinmu; Park, Hyun] Korea Univ, Coll Life Sci &amp; Biotechnol, Seoul 02841, South Korea; [Kim, Jeong-Hoon] Korea Polar Res Inst, Div Polar Life Sci, Incheon 21990, South Korea; [Jo, Euna] Korea Polar Res Inst, Unit Res Pract Applicat, Incheon 21990, South Korea; [Choi, Seok-Gwan; Chung, Sangdeok] Natl Inst Fisheries Sci, Busan 46083, South Korea; [Kim, Hyun-Woo] Pukyong Natl Univ, Dept Marine Biol, Busan 48513, South Korea</t>
  </si>
  <si>
    <t>Korea University; Korea Polar Research Institute (KOPRI); Korea Polar Research Institute (KOPRI); National Institute of Fisheries Science; Pukyong National University</t>
  </si>
  <si>
    <t>Park, H (corresponding author), Korea Univ, Coll Life Sci &amp; Biotechnol, Seoul 02841, South Korea.;Kim, HW (corresponding author), Pukyong Natl Univ, Dept Marine Biol, Busan 48513, South Korea.</t>
  </si>
  <si>
    <t>kimhw@pknu.ac.kr; hpark@korea.ac.kr</t>
  </si>
  <si>
    <t>Kim, Hyun-Woo/AFN-9184-2022</t>
  </si>
  <si>
    <t>Kim, Hyun-Woo/0000-0003-1357-5893; Jo, Euna/0000-0003-2666-6743; Park, Hyun/0000-0002-8055-2010</t>
  </si>
  <si>
    <t>National Institute of Fisheries Science (NIFS) of the Republic of Korea [R2019021]; Ecosystem Structure and Function of Marine Protected Area (MPA) in Antarctica project - Ministry of Oceans and Fisheries, Korea [PM19060, 20170336]</t>
  </si>
  <si>
    <t>National Institute of Fisheries Science (NIFS) of the Republic of Korea; Ecosystem Structure and Function of Marine Protected Area (MPA) in Antarctica project - Ministry of Oceans and Fisheries, Korea</t>
  </si>
  <si>
    <t>Foundation items: This study was supported by a grant from the National Institute of Fisheries Science (NIFS) of the Republic of Korea (R2019021) and Ecosystem Structure and Function of Marine Protected Area (MPA) in Antarctica project (PM19060) funded by the Ministry of Oceans and Fisheries (20170336), Korea</t>
  </si>
  <si>
    <t>SCIENCE PRESS</t>
  </si>
  <si>
    <t>BEIJING</t>
  </si>
  <si>
    <t>16 DONGHUANGCHENGGEN NORTH ST, BEIJING 100717, PEOPLES R CHINA</t>
  </si>
  <si>
    <t>2095-8137</t>
  </si>
  <si>
    <t>ZOOL RES</t>
  </si>
  <si>
    <t>Zool. Res.</t>
  </si>
  <si>
    <t>JAN 18</t>
  </si>
  <si>
    <t>10.24272/j.issn.2095-8137.2020.264</t>
  </si>
  <si>
    <t>QF3GA</t>
  </si>
  <si>
    <t>gold, Green Published</t>
  </si>
  <si>
    <t>WOS:000616785200013</t>
  </si>
  <si>
    <t>Dameris, M; Loyola, DG; Nützel, M; Coldewey-Egbers, M; Lerot, C; Romahn, F; van Roozendael, M</t>
  </si>
  <si>
    <t>Dameris, Martin; Loyola, Diego G.; Nutzel, Matthias; Coldewey-Egbers, Melanie; Lerot, Christophe; Romahn, Fabian; van Roozendael, Michel</t>
  </si>
  <si>
    <t>Record low ozone values over the Arctic in boreal spring 2020</t>
  </si>
  <si>
    <t>WINTER 2010/2011; CLIMATE-CHANGE; MINI-HOLES; GTO-ECV; TEMPERATURE; DEPLETION; CHEMISTRY; DENITRIFICATION; EMERGENCE; EMISSIONS</t>
  </si>
  <si>
    <t>Ozone data derived from the Tropospheric Monitoring Instrument (TROPOMI) sensor on board the Sentinel-5 Precursor satellite show exceptionally low total ozone columns in the polar region of the Northern Hemisphere (Arctic) in spring 2020 Minimum total ozone column values around or below 220 Dobson units (DU) were seen over the Arctic for 5 weeks in March and early April 2020. Usually the persistence of such low total ozone column values in spring is only observed in the polar Southern Hemisphere (Antarctic) and not over the Arctic. These record low total ozone columns were caused by a particularly strong polar vortex in the stratosphere with a persistent cold stratosphere at higher latitudes, a prerequisite for ozone depletion through heterogeneous chemistry. Based on the ERAS, which is the fifth generation of the European Centre for Medium-Range Weather Forecasts (ECMWF) atmospheric reanalysis, the Northern Hemisphere winter 2019/2020 (from December to March) showed minimum polar cap temperatures consistently below 195 K around 20 km altitude, which enabled enhanced formation of polar stratospheric clouds. The special situation in spring 2020 is compared and discussed in context with two other Northern Hemisphere spring seasons, namely those in 1997 and 2011, which also displayed relatively low total ozone column values. However, during these years, total ozone columns below 220 DU over several consecutive days were not observed in spring. The similarities and differences of the atmospheric conditions of these three events and possible explanations for the observed features are presented and discussed. It becomes apparent that the monthly mean of the minimum total ozone column value for March 2020 (221 DU) was clearly below the respective values found in March 1997 (267 DU) and 2011 (252 DU), which highlights the special evolution of the polar stratospheric ozone layer in the Northern Hemisphere in spring 2020. A comparison with a typical ozone hole over the Antarctic (e.g., in 2016) indicates that although the Arctic spring 2020 situation is remarkable, with total ozone column values around or below 220 DU observed over a considerable area (up to 0.9 million km(2)), the Antarctic ozone hole shows total ozone columns typically below 150 DU over a much larger area (of the order of 20 million km(2)). Furthermore, total ozone columns below 220 DU are typically observed over the Antarctic for about 4 months.</t>
  </si>
  <si>
    <t>[Dameris, Martin; Nutzel, Matthias] Deutsch Zentrum Luft &amp; Raumfahrt, Inst Phys Atmosphare, Oberpfaffenhofen, Germany; [Loyola, Diego G.; Coldewey-Egbers, Melanie; Romahn, Fabian] Deutsch Zentrum Luft &amp; Raumfahrt, Inst Method Fernerkundung, Oberpfaffenhofen, Germany; [Lerot, Christophe; van Roozendael, Michel] Royal Belgian Inst Space Aeron BIRA IASB, Brussels, Belgium</t>
  </si>
  <si>
    <t>Helmholtz Association; German Aerospace Centre (DLR); Helmholtz Association; German Aerospace Centre (DLR)</t>
  </si>
  <si>
    <t>Dameris, M (corresponding author), Deutsch Zentrum Luft &amp; Raumfahrt, Inst Phys Atmosphare, Oberpfaffenhofen, Germany.</t>
  </si>
  <si>
    <t>martin.dameris@dlr.de</t>
  </si>
  <si>
    <t>Loyola, Diego/GYO-3213-2022</t>
  </si>
  <si>
    <t>Coldewey-Egbers, Melanie/0000-0002-9275-498X; Loyola R., Diego G./0000-0002-8547-9350</t>
  </si>
  <si>
    <t>umbrella of the DLR-project MABAK (Innovative Methoden zur Analyse und Bewertung von Veranderungen der Atmosphare und des Klimasystems); ESA-project Ozone_cci (ESA Climate Change Initiative (CCI) program); ESA-project Ozone_cci C (ESA Climate Change Initiative (CCI) program); Initiative and Networking Fund of the Helmholtz Association through the Advanced Earth System Modelling Capacity (ESM) project</t>
  </si>
  <si>
    <t>The work for this study was supported under the umbrella of the DLR-project MABAK (Innovative Methoden zur Analyse und Bewertung von Veranderungen der Atmosphare und des Klimasystems). The work described in this paper has also received funding from the ESA-projects Ozone_cci and Ozone_cci C (as part of the ESA Climate Change Initiative (CCI) program) and the Initiative and Networking Fund of the Helmholtz Association through the Advanced Earth System Modelling Capacity (ESM) project.</t>
  </si>
  <si>
    <t>10.5194/acp-21-617-2021</t>
  </si>
  <si>
    <t>PX7HH</t>
  </si>
  <si>
    <t>Green Submitted, Green Accepted, gold</t>
  </si>
  <si>
    <t>WOS:000611523300002</t>
  </si>
  <si>
    <t>Blasco, J; Alvarez-Solas, J; Robinson, A; Montoya, M</t>
  </si>
  <si>
    <t>Blasco, Javier; Alvarez-Solas, Jorge; Robinson, Alexander; Montoya, Marisa</t>
  </si>
  <si>
    <t>Exploring the impact of atmospheric forcing and basal drag on the Antarctic Ice Sheet under Last Glacial Maximum conditions</t>
  </si>
  <si>
    <t>SURFACE MASS-BALANCE; SEA-LEVEL CHANGE; ISOSTATIC-ADJUSTMENT MODEL; LARGE ENSEMBLE ANALYSIS; BRIEF COMMUNICATION; PISM-PIK; SHELF; CLIMATE; GREENLAND; PARAMETERIZATION</t>
  </si>
  <si>
    <t>Little is known about the distribution of ice in the Antarctic Ice Sheet (AIS) during the Last Glacial Maximum (LGM). Whereas marine and terrestrial geological data indicate that the grounded ice advanced to a position close to the continental-shelf break, the total ice volume is unclear. Glacial boundary conditions are potentially important sources of uncertainty, in particular basal friction and climatic boundary conditions. Basal friction exerts a strong control on the large-scale dynamics of the ice sheet and thus affects its size and is not well constrained. Glacial climatic boundary conditions determine the net accumulation and ice temperature and are also poorly known. Here we explore the effect of the uncertainty in both features on the total simulated ice storage of the AIS at the LGM. For this purpose we use a hybrid ice sheet shelf model that is forced with different basal drag choices and glacial background climatic conditions obtained from the LGM ensemble climate simulations of the third phase of the Paleoclimate Modelling Intercomparison Project (PMIP3). Overall, we find that the spread in the simulated ice volume for the tested basal drag parameterizations is about the same range as for the different general circulation model (GCM) forcings (4 to 6 m sea level equivalent). For a wide range of plausible basal friction configurations, the simulated ice dynamics vary widely but all simulations produce fully extended ice sheets towards the continental-shelf break. More dynamically active ice sheets correspond to lower ice volumes, while they remain consistent with the available constraints on ice extent. Thus, this work points to the possibility of an AIS with very active ice streams during the LGM. In addition, we find that the surface boundary temperature field plays a crucial role in determining the ice extent through its effect on viscosity. For ice sheets of a similar extent and comparable dynamics, we find that the precipitation field determines the total AIS volume. However, precipitation is highly uncertain. Climatic fields simulated by climate models show more precipitation in coastal regions than a spatially uniform anomaly, which can lead to larger ice volumes. Our results strongly support using these paleoclimatic fields to simulate and study the LGM and potentially other time periods like the last interglacial. However, their accuracy must be assessed as well, as differences between climate model forcing lead to a large spread in the simulated ice volume and extension.</t>
  </si>
  <si>
    <t>[Blasco, Javier; Alvarez-Solas, Jorge; Robinson, Alexander; Montoya, Marisa] Univ Complutense Madrid, Fac Ciencias Fis, Dept Fis Tierra &amp; Astrofis, Madrid 28040, Spain; [Blasco, Javier; Alvarez-Solas, Jorge; Robinson, Alexander; Montoya, Marisa] Univ Complutense Madrid, Inst Geociencias, CSIC, Madrid 28040, Spain; [Robinson, Alexander] Potsdam Inst Climate Impact Res, D-14473 Potsdam, Germany</t>
  </si>
  <si>
    <t>Complutense University of Madrid; Complutense University of Madrid; Consejo Superior de Investigaciones Cientificas (CSIC); CSIC-UCM - Instituto de Geociencias (IGEO); Potsdam Institut fur Klimafolgenforschung</t>
  </si>
  <si>
    <t>Blasco, J (corresponding author), Univ Complutense Madrid, Fac Ciencias Fis, Dept Fis Tierra &amp; Astrofis, Madrid 28040, Spain.;Blasco, J (corresponding author), Univ Complutense Madrid, Inst Geociencias, CSIC, Madrid 28040, Spain.</t>
  </si>
  <si>
    <t>jablasco@ucm.es</t>
  </si>
  <si>
    <t>Blasco, Javier/CAG-6315-2022; Blasco, Javier/JAC-4594-2023</t>
  </si>
  <si>
    <t>Blasco, Javier/0000-0001-5898-5904</t>
  </si>
  <si>
    <t>European Commission, H2020 Research Infrastructures (TiPES) [23, 820970]; Spanish Ministry of Science and Innovation (project RIMA) [CGL2017-85975-R]; Ramon y Cajal Programme of the Spanish Ministry for Science, Innovation and Universities [RYC-2016-20587]</t>
  </si>
  <si>
    <t>European Commission, H2020 Research Infrastructures (TiPES)(European Union (EU)European Commission Joint Research Centre); Spanish Ministry of Science and Innovation (project RIMA); Ramon y Cajal Programme of the Spanish Ministry for Science, Innovation and Universities</t>
  </si>
  <si>
    <t>This research has been supported by the European Commission, H2020 Research Infrastructures (TiPES contribution no. 23 (grant no. 820970)), the Spanish Ministry of Science and Innovation (project RIMA (grant no. CGL2017-85975-R)), and the Ramon y Cajal Programme of the Spanish Ministry for Science, Innovation and Universities (grant no. RYC-2016-20587).</t>
  </si>
  <si>
    <t>10.5194/tc-15-215-2021</t>
  </si>
  <si>
    <t>PX7ID</t>
  </si>
  <si>
    <t>WOS:000611525700001</t>
  </si>
  <si>
    <t>Gañan, M; Contador, T; Rendoll, J; Simoes, F; Pérez, C; Graham, G; Castillo, S; Kennedy, J; Convey, P</t>
  </si>
  <si>
    <t>Ganan, Melisa; Contador, Tamara; Rendoll, Javier; Simoes, Felipe; Perez, Carolina; Graham, Gillian; Castillo, Simon; Kennedy, James; Convey, Peter</t>
  </si>
  <si>
    <t>Records of Parochlus steinenii in the Maritime Antarctic and sub-Antarctic regions</t>
  </si>
  <si>
    <t>ZOOKEYS</t>
  </si>
  <si>
    <t>Article; Data Paper</t>
  </si>
  <si>
    <t>Cape Horn Biosphere Reserve; Parochlus steinenii; South Georgia; South Shetland Islands; winged Antarctic midge</t>
  </si>
  <si>
    <t>BYERS-PENINSULA; DIPTERA; CHIRONOMIDAE; ECOLOGY; ISLAND</t>
  </si>
  <si>
    <t>This study provides the summary of the reports of the geographical distribution in the Maritime Antarctic and sub-Antarctic regions of Parochlus steinenii (Gercke, 1889) (Diptera, Chironomidae), the only flying insect occurring naturally in the Antarctic continent. The distribution encompasses the South Shetland Islands (Maritime Antarctic), South Georgia (sub-Antarctic), and parts of the Cape Horn Biosphere Reserve (CHBR, southern Chile). In total 78 occurrence records were identified, 53 from our own records, 19 from the literature, and six from other data present in GBIF. Of the 78 records, 66 are from the South Shetland Islands, eight are from South Georgia, and four from the CHBR. This database was developed as one of the main objectives of two Chilean-funded research projects addressing understanding the effects of climate change on sub-Antarctic and Antarctic insects. It provides dataset documenting the distribution of Parochlus steinenii in the Maritime Antarctic, the sub-Antarctic, and the CHBR in southern South America (Chile). The complete dataset is available in Darwin Core Archive format via the Global Biodiversity Information Facility (GBIF).</t>
  </si>
  <si>
    <t>[Ganan, Melisa; Contador, Tamara; Rendoll, Javier; Perez, Carolina; Kennedy, James] Univ Magallanes, Wankara Subantarctic &amp; Antarctic Freshwater Ecosy, Subantarctic Biocultural, Conservat Program, Teniente Munoz 166, Puerto Williams, Chile; [Contador, Tamara; Rendoll, Javier; Perez, Carolina; Kennedy, James] Univ Chile, Inst Ecol &amp; Biodivers, Las Palmeras 3425, Santiago, Chile; [Ganan, Melisa; Contador, Tamara] ICM, Nucleo Cient Milenio, Nucleo Milenio Salmonidos Invasores INVASAL Inici, Concepcion, Chile; [Simoes, Felipe; Convey, Peter] British Antarctic Survey, NERC, Madingley Rd, Cambridge CB3 0ET, England; [Simoes, Felipe] Univ Cambridge, Museum Zool, Dept Zool, Downing St, Cambridge CB2 3EJ, England; [Graham, Gillian] Univ North Texas, Dept Biol Sci, 1511 W Sycamore, Denton, TX 76201 USA; [Castillo, Simon] Pontificia Univ Catolica, Fac Ciencias Biol, Dept Ecol, Ave Libertador Bernardo OHiggins 340, Santiago, Chile</t>
  </si>
  <si>
    <t>Universidad de Magallanes; Universidad de Chile; UK Research &amp; Innovation (UKRI); Natural Environment Research Council (NERC); NERC British Antarctic Survey; University of Cambridge; University of North Texas System; University of North Texas Denton; Pontificia Universidad Catolica de Chile</t>
  </si>
  <si>
    <t>Gañan, M; Contador, T (corresponding author), Univ Magallanes, Wankara Subantarctic &amp; Antarctic Freshwater Ecosy, Subantarctic Biocultural, Conservat Program, Teniente Munoz 166, Puerto Williams, Chile.;Contador, T (corresponding author), Univ Chile, Inst Ecol &amp; Biodivers, Las Palmeras 3425, Santiago, Chile.;Gañan, M; Contador, T (corresponding author), ICM, Nucleo Cient Milenio, Nucleo Milenio Salmonidos Invasores INVASAL Inici, Concepcion, Chile.</t>
  </si>
  <si>
    <t>melysa_gm@yahoo.es; tamara.contador@umag.cl</t>
  </si>
  <si>
    <t>Contador, Tamara/AAC-2161-2021; Convey, Peter/AAV-5728-2020; Castillo, Simon P/AGW-1928-2022</t>
  </si>
  <si>
    <t>Contador, Tamara/0000-0002-0250-9877; Convey, Peter/0000-0001-8497-9903; Castillo, Simon P/0000-0002-0606-2160; Rendoll, Javier/0000-0003-1928-0914; Ganan Mora, Melisa/0000-0001-6411-9295</t>
  </si>
  <si>
    <t>Chile's National Fund for Scientific and Technological Development (FONDECYT); Chilean Antarctic Institute (INACH); CONICYT PIA Apoyo CCTE [11130451, RT_48_ 16, AFB170008]; Conselho Nacional de Desenvolvimento Cientifico e Tecnologico; Cambridge Trust [233923/2014-4]; NERC; NERC [bas0100036] Funding Source: UKRI</t>
  </si>
  <si>
    <t>Chile's National Fund for Scientific and Technological Development (FONDECYT)(Comision Nacional de Investigacion Cientifica y Tecnologica (CONICYT)CONICYT FONDECYT); Chilean Antarctic Institute (INACH); CONICYT PIA Apoyo CCTE; Conselho Nacional de Desenvolvimento Cientifico e Tecnologico(Conselho Nacional de Desenvolvimento Cientifico e Tecnologico (CNPQ)); Cambridge Trust; NERC(UK Research &amp; Innovation (UKRI)Natural Environment Research Council (NERC)); NERC(UK Research &amp; Innovation (UKRI)Natural Environment Research Council (NERC))</t>
  </si>
  <si>
    <t>This project was funded by Chile's National Fund for Scientific and Technological Development (FONDECYT), the Chilean Antarctic Institute (INACH), and CONICYT PIA Apoyo CCTE (projects 11130451, RT_48_ 16, and AFB170008, respectively). Felipe was funded by Conselho Nacional de Desenvolvimento Cientifico e Tecnologico and the Cambridge Trust, PhD scholarship Process no. 233923/2014-4.; Peter C. was supported by NERC core funding to the British Antarctic Survey (BAS) Biodiversity Evolution and Adaptation Team. Gonzalo Arriagada produced the photographs of Parochlus steinenii larvae, pupae and adults used in Fig. 2. In Fig. 1, coastline_high_res_line, and seamask_high_res_polygon layers were downloaded from the Antarctic Digital Database (ADD version 7; http://www.add.scar.org).</t>
  </si>
  <si>
    <t>PENSOFT PUBLISHERS</t>
  </si>
  <si>
    <t>SOFIA</t>
  </si>
  <si>
    <t>12 PROF GEORGI ZLATARSKI ST, SOFIA, 1700, BULGARIA</t>
  </si>
  <si>
    <t>1313-2989</t>
  </si>
  <si>
    <t>1313-2970</t>
  </si>
  <si>
    <t>ZooKeys</t>
  </si>
  <si>
    <t>10.3897/zookeys.1011.56833</t>
  </si>
  <si>
    <t>PU4AA</t>
  </si>
  <si>
    <t>gold, Green Published, Green Accepted</t>
  </si>
  <si>
    <t>WOS:000609246600005</t>
  </si>
  <si>
    <t>Sansom, PG; Stephenson, DB; Bracegirdle, TJ</t>
  </si>
  <si>
    <t>Sansom, Philip G.; Stephenson, David B.; Bracegirdle, Thomas J.</t>
  </si>
  <si>
    <t>On Constraining Projections of Future Climate Using Observations and Simulations From Multiple Climate Models</t>
  </si>
  <si>
    <t>JOURNAL OF THE AMERICAN STATISTICAL ASSOCIATION</t>
  </si>
  <si>
    <t>Bayesian modeling; Coupled Model Intercomparison Project Phase 5; Emergent constraints; Hierarchical models; Measurement error</t>
  </si>
  <si>
    <t>EMERGENT CONSTRAINTS; MULTIMODEL ENSEMBLE; UNCERTAINTY; TEMPERATURE; CMIP5; VARIABILITY; GENERATION; PREDICTION; DEPENDENCE; BIAS</t>
  </si>
  <si>
    <t>Numerical climate models are used to project future climate change due to both anthropogenic and natural causes. Differences between projections from different climate models are a major source of uncertainty about future climate. Emergent relationships shared by multiple climate models have the potential to constrain our uncertainty when combined with historical observations. We combine projections from 13 climate models with observational data to quantify the impact of emergent relationships on projections of future warming in the Arctic at the end of the 21st century. We propose a hierarchical Bayesian framework based on a coexchangeable representation of the relationship between climate models and the Earth system. We show how emergent constraints fit into the coexchangeable representation, and extend it to account for internal variability simulated by the models and natural variability in the Earth system. Our analysis shows that projected warming in some regions of the Arctic may be more than 2 degrees C lower and our uncertainty reduced by up to 30% when constrained by historical observations. A detailed theoretical comparison with existing multi-model projection frameworks is also provided. In particular, we show that projections may be biased if we do not account for internal variability in climate model predictions. for this article, including a standardized description of the materials available for reproducing the work, are available as an online supplement.</t>
  </si>
  <si>
    <t>[Sansom, Philip G.; Stephenson, David B.] Univ Exeter, Coll Engn Math &amp; Phys Sci, Exeter, Devon, England; [Bracegirdle, Thomas J.] British Antarctic Survey, Cambridge, England</t>
  </si>
  <si>
    <t>University of Exeter; UK Research &amp; Innovation (UKRI); Natural Environment Research Council (NERC); NERC British Antarctic Survey</t>
  </si>
  <si>
    <t>Sansom, PG (corresponding author), Univ Exeter, Math Dept, Laver Bldg,North Pk Rd, Exeter EX4 4QE, Devon, England.</t>
  </si>
  <si>
    <t>p.g.sansom@exeter.ac.uk</t>
  </si>
  <si>
    <t>Stephenson, David B/A-9903-2011</t>
  </si>
  <si>
    <t>Sansom, Philip/0000-0002-5596-4507; Bracegirdle, Thomas/0000-0002-8868-4739</t>
  </si>
  <si>
    <t>Natural Environment Research Council [NE/I00520X/1]; NERC [NE/I00520X/1, bas0100032] Funding Source: UKRI</t>
  </si>
  <si>
    <t>This work was supported by the Natural Environment Research Council grant NE/I00520X/1.</t>
  </si>
  <si>
    <t>TAYLOR &amp; FRANCIS INC</t>
  </si>
  <si>
    <t>PHILADELPHIA</t>
  </si>
  <si>
    <t>530 WALNUT STREET, STE 850, PHILADELPHIA, PA 19106 USA</t>
  </si>
  <si>
    <t>0162-1459</t>
  </si>
  <si>
    <t>1537-274X</t>
  </si>
  <si>
    <t>J AM STAT ASSOC</t>
  </si>
  <si>
    <t>J. Am. Stat. Assoc.</t>
  </si>
  <si>
    <t>APR 3</t>
  </si>
  <si>
    <t>10.1080/01621459.2020.1851696</t>
  </si>
  <si>
    <t>Statistics &amp; Probability</t>
  </si>
  <si>
    <t>Mathematics</t>
  </si>
  <si>
    <t>SO8CA</t>
  </si>
  <si>
    <t>Green Submitted, Green Accepted</t>
  </si>
  <si>
    <t>WOS:000608865000001</t>
  </si>
  <si>
    <t>Flamm, P</t>
  </si>
  <si>
    <t>Flamm, Patrick</t>
  </si>
  <si>
    <t>An unlikely partnership? New Zealand-South Korea bilateral cooperation and Antarctic order</t>
  </si>
  <si>
    <t>POLAR RECORD</t>
  </si>
  <si>
    <t>Antarctic Treaty System; Rising powers; New Zealand; South Korea; International Relations</t>
  </si>
  <si>
    <t>SOCIALIZATION; POWERS</t>
  </si>
  <si>
    <t>While the Antarctic Treaty System intended to keep Antarctica an area of international cooperation and science free from militarisation and international conflict, the region has not been completely shielded from global power transitions, such as decolonisation and the end of the Cold War. Presently, emerging countries from Asia are increasingly willing to invest in polar infrastructure and science on the back of their growing influence in world politics. South Korea has also invested heavily in its Antarctic infrastructure and capabilities recently and has been identified as an actor with economic and political interests that are potentially challenging for the existing Antarctic order. This article first assesses the extent and performance of the growing bilateral cooperation between South Korea and one of its closest partners, New Zealand, a country with strong vested interests in the status quo order. How did the cooperation develop between these two actors with ostensibly diverging interests? This article finds that what may have been a friction-laden relationship, actually developed into a win-win partnership for both countries. The article then moves on to offer an explanation for how this productive relationship was made possible by utilising a mutual socialisation approach that explores socio-structural processes around status accommodation.</t>
  </si>
  <si>
    <t>[Flamm, Patrick] Victoria Univ Wellington Te Herenga Waka, Sch Hist Philosophy Polit Sci &amp; Int Relat, Wellington, New Zealand</t>
  </si>
  <si>
    <t>Flamm, P (corresponding author), Victoria Univ Wellington Te Herenga Waka, Sch Hist Philosophy Polit Sci &amp; Int Relat, Wellington, New Zealand.</t>
  </si>
  <si>
    <t>patrick.flamm@vuw.ac.nz</t>
  </si>
  <si>
    <t>Flamm, Patrick/0000-0003-4471-688X</t>
  </si>
  <si>
    <t>Korea Foundation Postdoctoral Fellowship Grant 2018-2019</t>
  </si>
  <si>
    <t>This work was supported by a Korea Foundation Postdoctoral Fellowship Grant 2018-2019.</t>
  </si>
  <si>
    <t>CAMBRIDGE UNIV PRESS</t>
  </si>
  <si>
    <t>32 AVENUE OF THE AMERICAS, NEW YORK, NY 10013-2473 USA</t>
  </si>
  <si>
    <t>0032-2474</t>
  </si>
  <si>
    <t>1475-3057</t>
  </si>
  <si>
    <t>POLAR REC</t>
  </si>
  <si>
    <t>POLAR REC.</t>
  </si>
  <si>
    <t>e4</t>
  </si>
  <si>
    <t>10.1017/S0032247420000479</t>
  </si>
  <si>
    <t>Ecology; Environmental Sciences</t>
  </si>
  <si>
    <t>PS9FL</t>
  </si>
  <si>
    <t>Green Submitted</t>
  </si>
  <si>
    <t>WOS:000608227500001</t>
  </si>
  <si>
    <t>Fay, AM; Smith, AM</t>
  </si>
  <si>
    <t>Fay, Ashleigh M.; Smith, Abigail M.</t>
  </si>
  <si>
    <t>In a pinch: Skeletal carbonate mineralogy of crabs (Arthropoda: Crustacea: Decapoda)</t>
  </si>
  <si>
    <t>Calcite; Aragonite; Exoskeleton; Carapace; Ocean acidification</t>
  </si>
  <si>
    <t>Skeletal carbonate mineralogy data from the literature was combined with new X-ray diffractometry data from New Zealand crabs, in order to elucidate mineralogical patterns related to body part, habitat, latitude, and phylogeny, with a view to understanding both the potential vulnerability and the preservation potential of crab shells. In general, crab carbonate is 100% Mg-calcite. In nine specimens from three New Zealand species (Austrohelice crassa, Charybdis japonica, and Hemigrapsus crenulatus) we found the first record of aragonite in brachyurid crab carbonate. Brachyurid crabs tested here generally produce Mg-calcite with mean of 6-7 wt% MgCO3, though families Epaltidae, Majidae, Menippidae and Oziidae produ\ce high-Mg calcite (8-9 wt% MgCO3), while Eiphiidae and Hymenosomatidae produce low-Mg calcite (3-4 wt% MgCO3). Anomurid crabs showed no aragonite in any specimen, but varied more in Mg content, with the family Porcellanidae producing the highest mean Mg content found (9.3 wt%MgCO3). In most cases the standard deviation and range of values within species is small (SD 0-1.5, range 1-3 wt% MgCO3. There is little evidence of partitioning of Mg in skeletal elements; Mg in the claw, for example, is not significantly different than that of the carapace, legs, or abdomen, whether considered across all species, or within individuals. Latitude (as a proxy for water temperature), too, does not appear to affect Mg in crabs, though it is possible that environment (rocky vs sandy shore) does. The strong tendency for crabs to produce mid-range Mg in calcite suggests that they may be striking a balance between mechanical strengthening of calcite while limiting solubility in sea water.</t>
  </si>
  <si>
    <t>[Fay, Ashleigh M.; Smith, Abigail M.] Univ Otago, Dept Marine Sci, POB 56, Dunedin 9054, New Zealand; [Fay, Ashleigh M.] Univ Maine, Sch Marine Sci, Orono, ME 04469 USA; [Fay, Ashleigh M.] Univ Tasmania, Inst Marine &amp; Antarctic Studies IMAS, Coll Sci &amp; Engn, IMAS Waterfront Bldg,20 Castray Esplanade, Battery Point, Tas 7004, Australia</t>
  </si>
  <si>
    <t>University of Otago; University of Maine System; University of Maine Orono; University of Tasmania</t>
  </si>
  <si>
    <t>Smith, AM (corresponding author), Univ Otago, Dept Marine Sci, POB 56, Dunedin 9054, New Zealand.</t>
  </si>
  <si>
    <t>ashleighhfay@gmail.com; abby.smith@otago.ac.nz</t>
  </si>
  <si>
    <t>10.1016/j.palaeo.2021.110219</t>
  </si>
  <si>
    <t>RI2SJ</t>
  </si>
  <si>
    <t>WOS:000636759000009</t>
  </si>
  <si>
    <t>Sun, YF; Chen, YT; Wei, JJ; Zhang, XX; Zhang, L; Yang, Z; Huang, Y</t>
  </si>
  <si>
    <t>Sun, Yunfei; Chen, Yitong; Wei, Junjun; Zhang, Xingxing; Zhang, Lu; Yang, Zhou; Huang, Yuan</t>
  </si>
  <si>
    <t>Ultraviolet-B radiation stress alters the competitive outcome of algae: Based on analyzing population dynamics and photosynthesis</t>
  </si>
  <si>
    <t>CHEMOSPHERE</t>
  </si>
  <si>
    <t>Competition; Cyanobacterium; Green algae; Photosynthesis; Ultraviolet-B radiation</t>
  </si>
  <si>
    <t>CYANOBACTERIUM MICROCYSTIS-AERUGINOSA; INDUCED MORPHOLOGICAL DEFENSE; UVB RADIATION; FRESH-WATER; ANTARCTIC PHYTOPLANKTON; DUNALIELLA-TERTIOLECTA; MARINE-PHYTOPLANKTON; EXPERIMENTAL TESTS; SHALLOW LAKE; LIGHT</t>
  </si>
  <si>
    <t>The solar ultraviolet-B radiation (UVB) is increasingly affecting the aquatic ecosystems due to the longterm antropic damage to the stratospheric ozone. The distrupted interspecies competition is one of the primary causes driving the plankton community composition shifts under UVB stress. To reveal the competitive responses to enhanced UVB radiation, we grew two green algae Scenedesmus obliquus and Chlorella pyrenoidosa, and the unicellular cyanobacterium Microcystis aeruginosa in monocultures and in cocultures under differerent UVB intensities (0, 0.3 and 0.7 W m(-2)), respectively. Results showed that elevated UVB radiation consistently decreased the population carrying capacies and the photosynthesis of the three species in monocultures. While cocultivated, C. pyrenoidosa was competively excluded by the presence of S. obliquus, and the competitive outcome was not affected by UVB exposure. By contrast, unicellular M. aeruginosa overwhelmingly suppressed the population growth of S. obliquus under no UVB, yet S. obliquus tended to be a better competitor under 0.3-0.7 Wm(-2) UVB exposure. The species-specific photosynthesis sensitivity to UVB can partly explain the different tolerance of the algae to UVB and the change of competition outcome under elevated UVB. The present study elucidated the potential role of increased UVB radiation in determining the competitions between phytoplankton species, contributing to the understanding of phytoplankton community shifts under enhanced UVB stress. (C) 2021 Elsevier Ltd. All rights reserved.</t>
  </si>
  <si>
    <t>[Sun, Yunfei; Chen, Yitong; Wei, Junjun; Zhang, Xingxing; Zhang, Lu; Yang, Zhou; Huang, Yuan] Nanjing Normal Univ, Sch Biol Sci, Jiangsu Key Lab Biodivers &amp; Biotechnol, 1 Wenyuan Rd, Nanjing 210023, Peoples R China</t>
  </si>
  <si>
    <t>Nanjing Normal University</t>
  </si>
  <si>
    <t>Huang, Y (corresponding author), Nanjing Normal Univ, Sch Biol Sci, Jiangsu Key Lab Biodivers &amp; Biotechnol, 1 Wenyuan Rd, Nanjing 210023, Peoples R China.</t>
  </si>
  <si>
    <t>huangyuan@njnu.edu.cn</t>
  </si>
  <si>
    <t>Zhang, Xingxing/HGE-4445-2022; yang, zhou/JKI-3744-2023; Huang, Yuan/JFS-2278-2023; XIONG, LIU/JOK-5886-2023; Yang, Zhou/H-3407-2011</t>
  </si>
  <si>
    <t>Zhang, Xingxing/0000-0002-9838-6962; Huang, Yuan/0000-0003-1751-9039; Yang, Zhou/0000-0001-9664-7105</t>
  </si>
  <si>
    <t>National Natural Science Foundation of China [31500373]; Qinglan Project of Jiangsu Province of China; Priority Academic Program Development of Jiangsu Higher Education Institutions of China</t>
  </si>
  <si>
    <t>National Natural Science Foundation of China(National Natural Science Foundation of China (NSFC)); Qinglan Project of Jiangsu Province of China; Priority Academic Program Development of Jiangsu Higher Education Institutions of China</t>
  </si>
  <si>
    <t>This study was supported by the National Natural Science Foundation of China (31500373), Qinglan Project of Jiangsu Province of China, and the Priority Academic Program Development of Jiangsu Higher Education Institutions of China.</t>
  </si>
  <si>
    <t>0045-6535</t>
  </si>
  <si>
    <t>1879-1298</t>
  </si>
  <si>
    <t>Chemosphere</t>
  </si>
  <si>
    <t>10.1016/j.chemosphere.2021.129645</t>
  </si>
  <si>
    <t>RG5RH</t>
  </si>
  <si>
    <t>WOS:000635594700046</t>
  </si>
  <si>
    <t>Bonnet-Lebrun, AS; Manica, A; Rodrigues, ASL</t>
  </si>
  <si>
    <t>Bonnet-Lebrun, Anne-Sophie; Manica, Andrea; Rodrigues, Ana S. L.</t>
  </si>
  <si>
    <t>Effects of urbanization on bird migration (vol 244, 108423, 2020)</t>
  </si>
  <si>
    <t>BIOLOGICAL CONSERVATION</t>
  </si>
  <si>
    <t>Correction</t>
  </si>
  <si>
    <t>[Bonnet-Lebrun, Anne-Sophie; Manica, Andrea] Univ Cambridge, Dept Zool, Downing St, Cambridge CB2 3EJ, England; [Bonnet-Lebrun, Anne-Sophie; Rodrigues, Ana S. L.] Univ Paul Valery Montpellier, Univ Montpellier, CEFE, UMR 5175,CNRS,EPHE, F-34293 Montpellier, France; [Bonnet-Lebrun, Anne-Sophie] British Antarctic Survey, Madingley Rd, Cambridge CB3 0ET, England</t>
  </si>
  <si>
    <t>University of Cambridge;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UK Research &amp; Innovation (UKRI); Natural Environment Research Council (NERC); NERC British Antarctic Survey</t>
  </si>
  <si>
    <t>Bonnet-Lebrun, AS (corresponding author), Univ Cambridge, Dept Zool, Downing St, Cambridge CB2 3EJ, England.;Bonnet-Lebrun, AS (corresponding author), Univ Paul Valery Montpellier, Univ Montpellier, CEFE, UMR 5175,CNRS,EPHE, F-34293 Montpellier, France.;Bonnet-Lebrun, AS (corresponding author), British Antarctic Survey, Madingley Rd, Cambridge CB3 0ET, England.</t>
  </si>
  <si>
    <t>anne-sophie.bonnet-lebrun@normale.fr</t>
  </si>
  <si>
    <t>Rodrigues, Ana S./T-4996-2017; Bonnet-Lebrun, Anne-Sophie/GYU-2977-2022; Manica, Andrea/N-9013-2019</t>
  </si>
  <si>
    <t>Bonnet-Lebrun, Anne-Sophie/0000-0002-7587-615X; Manica, Andrea/0000-0003-1895-450X</t>
  </si>
  <si>
    <t>0006-3207</t>
  </si>
  <si>
    <t>1873-2917</t>
  </si>
  <si>
    <t>BIOL CONSERV</t>
  </si>
  <si>
    <t>Biol. Conserv.</t>
  </si>
  <si>
    <t>10.1016/j.biocon.2020.108868</t>
  </si>
  <si>
    <t>Biodiversity Conservation; Ecology; Environmental Sciences</t>
  </si>
  <si>
    <t>PY4BD</t>
  </si>
  <si>
    <t>WOS:000611989800018</t>
  </si>
  <si>
    <t>Rack, W; Price, D; Haas, C; Langhorne, PJ; Leonard, GH</t>
  </si>
  <si>
    <t>Rack, Wolfgang; Price, Daniel; Haas, Christian; Langhorne, Patricia J.; Leonard, Greg H.</t>
  </si>
  <si>
    <t>Sea Ice Thickness in the Western Ross Sea</t>
  </si>
  <si>
    <t>GEOPHYSICAL RESEARCH LETTERS</t>
  </si>
  <si>
    <t>Antarctica; Ross Sea; sea ice thickness; polynya; pack ice; ice deformation</t>
  </si>
  <si>
    <t>FREEBOARD; POLYNYA; SHELF; VARIABILITY; ANTARCTICA; RETRIEVAL; DYNAMICS; EM</t>
  </si>
  <si>
    <t>Using airborne measurements, we provide a first direct glimpse of the sea ice thickness distribution in the western Ross Sea, Antarctica, where the distinguishing sea ice process is the regular occurrence of the Ross Sea, McMurdo Sound, and Terra Nova Bay polynyas. Two flights in November 2017 over a length of 800 km reveal a heavily deformed ice regime with a mean thickness of 2.0 +/- 1.6 m. Supported by satellite image analysis, we identify regional variability in ice thickness based on formation history. Sea ice thickness gradients are highest within 100 and 200 km of the Terra Nova Bay and McMurdo Sound polynyas, respectively, where the mean thickness of the thickest 10% of ice is 7.6 m. Overall, about 80% of the ice is heavily deformed, concentrated in ridges with thicknesses of 3.0-11.8 m. This is evidence that sea ice is much thicker than in the central Ross Sea.</t>
  </si>
  <si>
    <t>[Rack, Wolfgang; Price, Daniel] Univ Canterbury, Sch Earth &amp; Environm, Gateway Antarctica, Christchurch, New Zealand; [Haas, Christian] Alfred Wegener Inst Polar &amp; Marine Res, Bremerhaven, Germany; [Langhorne, Patricia J.] Univ Otago, Dept Phys, Dunedin, New Zealand; [Leonard, Greg H.] Univ Otago, Sch Surveying, Dunedin, New Zealand</t>
  </si>
  <si>
    <t>University of Canterbury; Helmholtz Association; Alfred Wegener Institute, Helmholtz Centre for Polar &amp; Marine Research; University of Otago; University of Otago</t>
  </si>
  <si>
    <t>Rack, W (corresponding author), Univ Canterbury, Sch Earth &amp; Environm, Gateway Antarctica, Christchurch, New Zealand.</t>
  </si>
  <si>
    <t>wolfgang.rack@canterbury.ac.nz</t>
  </si>
  <si>
    <t>Haas, Christian/L-5279-2016; Langhorne, Pat/C-3539-2018; Leonard, Greg/F-7157-2010; Rack, Wolfgang/U-8898-2017</t>
  </si>
  <si>
    <t>Haas, Christian/0000-0002-7674-3500; Langhorne, Pat/0000-0003-0239-7657; Leonard, Greg/0000-0001-7679-9486; Price, Daniel/0000-0001-6003-0920; Rack, Wolfgang/0000-0003-2447-377X</t>
  </si>
  <si>
    <t>Antarctica NZ; Italian Antarctic program [K066]; NZ Deep South National Science Challenge; NZ Marsden Fund</t>
  </si>
  <si>
    <t>Antarctica NZ; Italian Antarctic program; NZ Deep South National Science Challenge; NZ Marsden Fund(Royal Society of New ZealandMarsden Fund (NZ))</t>
  </si>
  <si>
    <t>The support by Antarctica NZ and the Italian Antarctic program (event K066) and the staff at Scott Base and Mario Zucchelli Base is greatly acknowledged. We particularly thank Johno Leitch and his team for excellent ground support for aircraft operations. This project would not have been possible without KBA BT67 crew Jamie Chisholm, Aaron Neyrinck, and Jan Verburg. This project was funded by the NZ Deep South National Science Challenge. D. Price was supported by the NZ Marsden Fund managed by the Royal Society.</t>
  </si>
  <si>
    <t>AMER GEOPHYSICAL UNION</t>
  </si>
  <si>
    <t>2000 FLORIDA AVE NW, WASHINGTON, DC 20009 USA</t>
  </si>
  <si>
    <t>0094-8276</t>
  </si>
  <si>
    <t>1944-8007</t>
  </si>
  <si>
    <t>GEOPHYS RES LETT</t>
  </si>
  <si>
    <t>Geophys. Res. Lett.</t>
  </si>
  <si>
    <t>JAN 16</t>
  </si>
  <si>
    <t>e2020GL090866</t>
  </si>
  <si>
    <t>10.1029/2020GL090866</t>
  </si>
  <si>
    <t>PZ7TH</t>
  </si>
  <si>
    <t>WOS:000612943500012</t>
  </si>
  <si>
    <t>Ratnarajah, L; Blain, S; Boyd, PW; Fourquez, M; Obernosterer, I; Tagliabue, A</t>
  </si>
  <si>
    <t>Ratnarajah, Lavenia; Blain, Stephane; Boyd, Philip W.; Fourquez, Marion; Obernosterer, Ingrid; Tagliabue, Alessandro</t>
  </si>
  <si>
    <t>Resource Colimitation Drives Competition Between Phytoplankton and Bacteria in the Southern Ocean</t>
  </si>
  <si>
    <t>bacteria; competition; iron; phytoplankton; Southern Ocean</t>
  </si>
  <si>
    <t>DISSOLVED ORGANIC-CARBON; HETEROTROPHIC BACTERIA; EQUATORIAL PACIFIC; IRON STORAGE; LIMITATION; GROWTH; TEMPERATURE; BACTERIOPLANKTON; MATTER; LIGHT</t>
  </si>
  <si>
    <t>Across the Southern Ocean, phytoplankton growth is governed by iron and light, while bacterial growth is regulated by iron and labile dissolved organic carbon (LDOC). We use a mechanistic model to examine how competition for iron between phytoplankton and bacteria responds to changes in iron, light, and LDOC. Consistent with experimental evidence, increasing iron and light encourages phytoplankton dominance, while increasing LDOC and decreasing light favors bacterial dominance. Under elevated LDOC, bacteria can outcompete phytoplankton for iron, most easily under lower iron. Simulations reveal that bacteria are major iron consumers and suggest that luxury storage plays a key role in competitive iron uptake. Under seasonal conditions typical of the Southern Ocean, sources of LDOC besides phytoplankton exudation modulate the strength of competitive interactions. Continued investigations on the competitive fitness of bacteria in driving changes in primary production in iron-limited systems will be invaluable in refining these results.</t>
  </si>
  <si>
    <t>[Ratnarajah, Lavenia; Tagliabue, Alessandro] Univ Liverpool, Sch Environm Sci, Dept Earth Ocean &amp; Ecol Sci, Liverpool, Merseyside, England; [Blain, Stephane; Obernosterer, Ingrid] Sorbonne Univ, Lab Oceanog Microbienne LOMIC, Observ Oceanol Banyuls, CNRS, Banyuls Sur Mer, France; [Boyd, Philip W.; Fourquez, Marion] Univ Tasmania, Inst Marine &amp; Antarctic Studies, Hobart, Tas, Australia; [Fourquez, Marion] Univ Toulon &amp; Var, Aix Marseille Univ, CNRS, IRD,MIO UM 110, Marseille, France</t>
  </si>
  <si>
    <t>University of Liverpool; Sorbonne Universite; Centre National de la Recherche Scientifique (CNRS); University of Tasmania; Institut de Recherche pour le Developpement (IRD); Aix-Marseille Universite; Universite de Toulon; Centre National de la Recherche Scientifique (CNRS)</t>
  </si>
  <si>
    <t>Ratnarajah, L (corresponding author), Univ Liverpool, Sch Environm Sci, Dept Earth Ocean &amp; Ecol Sci, Liverpool, Merseyside, England.</t>
  </si>
  <si>
    <t>L.Ratnarajah@liverpool.ac.uk</t>
  </si>
  <si>
    <t>Obernosterer, Ingrid/A-5434-2011; Boyd, Philip/J-7624-2014; blain, stephane/F-6917-2010</t>
  </si>
  <si>
    <t>Obernosterer, Ingrid/0000-0002-2530-8111; Tagliabue, Alessandro/0000-0002-3572-3634; Boyd, Philip/0000-0001-7850-1911; blain, stephane/0000-0002-5234-2446; Fourquez, Marion/0000-0001-5395-4877; Ratnarajah, Lavenia/0000-0002-1021-1923</t>
  </si>
  <si>
    <t>European Research Council (ERC) under the European Union [724289]; European Research Council (ERC) [724289] Funding Source: European Research Council (ERC)</t>
  </si>
  <si>
    <t>European Research Council (ERC) under the European Union(European Research Council (ERC)); European Research Council (ERC)(European Research Council (ERC)Spanish Government)</t>
  </si>
  <si>
    <t>This project has received funding from the European Research Council (ERC) under the European Union's Horizon 2020 research and innovation program (grant agreement no. 724289).</t>
  </si>
  <si>
    <t>e2020GL088369</t>
  </si>
  <si>
    <t>10.1029/2020GL088369</t>
  </si>
  <si>
    <t>hybrid, Green Published, Green Submitted</t>
  </si>
  <si>
    <t>WOS:000612943500051</t>
  </si>
  <si>
    <t>Wang, L; Davis, JL; Howat, IM</t>
  </si>
  <si>
    <t>Wang, Lei; Davis, James L.; Howat, Ian M.</t>
  </si>
  <si>
    <t>Complex Patterns of Antarctic Ice Sheet Mass Change Resolved by Time-Dependent Rate Modeling of GRACE and GRACE Follow-On Observations</t>
  </si>
  <si>
    <t>Antarctic Ice Sheet; GRACE; GRACE-FO gravity; ice sheet mass balance; stochastic mass-change rate</t>
  </si>
  <si>
    <t>SEA-LEVEL RISE; DRONNING MAUD LAND; EAST ANTARCTICA; EXCEED LOSSES; GAINS; GLACIERS; SNOWFALL; BALANCE</t>
  </si>
  <si>
    <t>The Antarctic Ice Sheet (AIS) is a major contributor to current global sea-level change and the largest potential source of future sea-level change. Variability in AIS mass balance on a wide range of spatiotemporal scales obscures secular trends, increasing the uncertainty of projections. We introduce a novel approach for analyzing satellite gravity observations to estimate time-varying mass-change rates and resolve the time scales and amplitudes of rate fluctuations. The new analysis resolves a higher degree of variability than expected over all AIS sectors. Quantifying rate fluctuations on a range of time scales, we demonstrate that loss from the West AIS is characterized by a multidecadal trend, whereas variations of the East AIS are dominated by substantial, short-term accumulation changes that impact AIS mass balance as whole. These complex spatiotemporal variabilities highlight the need to include stochastic processes in estimates of loss rates. Plain Language Summary Characterizing ice loss from the Antarctic Ice Sheet (AIS) as a constant rate, as is typically done, ignores significant temporal variability and leads to large uncertainties in the projection of future changes. We introduce a new approach that models the AIS mass- change rate as a time-dependent parameter, resulting in unexpectedly high variability in rates of mass loss from all sectors. We also quantify the amplitudes for the rate fluctuations for various time scales, identifying the roles of different AIS sectors in determining total mass imbalance over time. We conclude that observations and projections of AIS mass change must account for stochastic rate processes.</t>
  </si>
  <si>
    <t>[Wang, Lei] Ohio State Univ, Dept Civil Environm &amp; Geodet Engn, Columbus, OH 43210 USA; [Wang, Lei] Ohio State Univ, Translat Data Analyt Inst, Core Fac, Columbus, OH 43210 USA; [Davis, James L.] Columbia Univ, Lamont Dohery Earth Observ, Palisades, NY USA; [Howat, Ian M.] Ohio State Univ, Byrd Polar Climate Res Ctr, Columbus, OH 43210 USA; [Howat, Ian M.] Ohio State Univ, Sch Earth Sci, Columbus, OH 43210 USA</t>
  </si>
  <si>
    <t>University System of Ohio; Ohio State University; University System of Ohio; Ohio State University; Columbia University; University System of Ohio; Ohio State University; University System of Ohio; Ohio State University</t>
  </si>
  <si>
    <t>Wang, L (corresponding author), Ohio State Univ, Dept Civil Environm &amp; Geodet Engn, Columbus, OH 43210 USA.;Wang, L (corresponding author), Ohio State Univ, Translat Data Analyt Inst, Core Fac, Columbus, OH 43210 USA.</t>
  </si>
  <si>
    <t>wang.1115@osu.edu</t>
  </si>
  <si>
    <t>Howat, Ian/A-3474-2008; Davis, James/D-8766-2013</t>
  </si>
  <si>
    <t>Howat, Ian/0000-0002-8072-6260; Davis, James/0000-0003-3057-477X</t>
  </si>
  <si>
    <t>NASA NIP grant [80NSSC18K0748]</t>
  </si>
  <si>
    <t>NASA NIP grant</t>
  </si>
  <si>
    <t>This research is supported by NASA NIP grant 80NSSC18K0748. The authors thank two anonymous reviewers for their constructive reviews.</t>
  </si>
  <si>
    <t>e2020GL090961</t>
  </si>
  <si>
    <t>10.1029/2020GL090961</t>
  </si>
  <si>
    <t>WOS:000612943500061</t>
  </si>
  <si>
    <t>Watt, CEJ; Allison, HJ; Thompson, RL; Bentley, SN; Meredith, NP; Glauert, SA; Horne, RB; Rae, IJ</t>
  </si>
  <si>
    <t>Watt, C. E. J.; Allison, H. J.; Thompson, R. L.; Bentley, S. N.; Meredith, N. P.; Glauert, S. A.; Horne, R. B.; Rae, I. J.</t>
  </si>
  <si>
    <t>The Implications of Temporal Variability in Wave-Particle Interactions in Earth's Radiation Belts</t>
  </si>
  <si>
    <t>probabilistic methods; stochastic parameterization</t>
  </si>
  <si>
    <t>PLASMASPHERIC HISS; STATISTICAL PROPERTIES; CHORUS WAVE; SIMULATIONS; DIFFUSION; ELECTRONS; MODEL; ACCELERATION; ENERGY; POWER</t>
  </si>
  <si>
    <t>Changes in electron flux in Earth's outer radiation belt can be modeled using a diffusion-based framework. Diffusion coefficients D for such models are often constructed from statistical averages of observed inputs. Here, we use stochastic parameterization to investigate the consequences of temporal variability in D. Variability time scales are constrained using Van Allen Probe observations. Results from stochastic parameterization experiments are compared with experiments using D constructed from averaged inputs and an average of observation-specific D. We find that the evolution and final state of the numerical experiment depends upon the variability time scale of D; experiments with longer variability time scales differ from those with shorter time scales, even when the time-integrated diffusion is the same. Short variability time scale experiments converge with solutions obtained using an averaged observation-specific D, and both exhibit greater diffusion than experiments using the averaged-input D. These experiments reveal the importance of temporal variability in radiation belt diffusion.</t>
  </si>
  <si>
    <t>[Watt, C. E. J.; Bentley, S. N.] Univ Reading, Dept Meteorol, Reading, Berks, England; [Watt, C. E. J.; Bentley, S. N.; Rae, I. J.] Northumbria Univ, Dept Math Phys &amp; Elect Engn, Newcastle Upon Tyne, Tyne &amp; Wear, England; [Allison, H. J.] GFZ, German Ctr Geosci, Potsdam, Germany; [Thompson, R. L.] Univ Reading, Dept Math &amp; Stat, Reading, Berks, England; [Meredith, N. P.; Glauert, S. A.; Horne, R. B.] British Antarctic Survey, Cambridge, England; [Rae, I. J.] UCL, Mullard Space Sci Lab, London, England</t>
  </si>
  <si>
    <t>University of Reading; Northumbria University; Helmholtz Association; Helmholtz-Center Potsdam GFZ German Research Center for Geosciences; University of Reading; UK Research &amp; Innovation (UKRI); Natural Environment Research Council (NERC); NERC British Antarctic Survey; University of London; University College London</t>
  </si>
  <si>
    <t>Watt, CEJ (corresponding author), Univ Reading, Dept Meteorol, Reading, Berks, England.;Watt, CEJ (corresponding author), Northumbria Univ, Dept Math Phys &amp; Elect Engn, Newcastle Upon Tyne, Tyne &amp; Wear, England.</t>
  </si>
  <si>
    <t>clare.watt@northumbria.ac.uk</t>
  </si>
  <si>
    <t>Rae, Jonathan/D-8132-2013; Horne, Richard B/U-3764-2019; Watt, Clare/C-5218-2008</t>
  </si>
  <si>
    <t>Rae, Jonathan/0000-0002-2637-4786; Horne, Richard B/0000-0002-0412-6407; Meredith, Nigel/0000-0001-5032-3463; Allison, Hayley/0000-0002-6665-2023; Watt, Clare/0000-0003-3193-8993; Thompson, Rhys/0000-0002-2766-0952; Bentley, Sarah N/0000-0002-0095-1979</t>
  </si>
  <si>
    <t>Natural Environment Research Council (NERC) Highlight Topic grant Rad-Sat [NE/P017274/1, NE/P01738X/1, NE/P017185/1]; STFC [ST/R000921/1]; Engineering and Physical Sciences Research Council (EPSRC) [EP/L016613/1]; NERC [NE/P017185/1, bas0100031, NE/V002759/1, NE/P017274/1, NE/P01738X/1, NE/P017274/2] Funding Source: UKRI; SPF [NE/V002554/1] Funding Source: UKRI; STFC [ST/W000369/1, ST/W002078/1, ST/R000921/1] Funding Source: UKRI</t>
  </si>
  <si>
    <t>Natural Environment Research Council (NERC) Highlight Topic grant Rad-Sat(UK Research &amp; Innovation (UKRI)Natural Environment Research Council (NERC)); STFC(UK Research &amp; Innovation (UKRI)Science &amp; Technology Facilities Council (STFC)); Engineering and Physical Sciences Research Council (EPSRC)(UK Research &amp; Innovation (UKRI)Engineering &amp; Physical Sciences Research Council (EPSRC)); NERC(UK Research &amp; Innovation (UKRI)Natural Environment Research Council (NERC)); SPF; STFC(UK Research &amp; Innovation (UKRI)Science &amp; Technology Facilities Council (STFC))</t>
  </si>
  <si>
    <t>This research was supported by the Natural Environment Research Council (NERC) Highlight Topic grant Rad-Sat NE/P017274/1 (C. E. J. Watt), NE/P01738X/1 (N. P. Meredith, S. A. Glauert, and R. B. Horne), and NE/P017185/1 (I. J. Rae). C. E. J. Watt and S. N. Bentley are further supported by the STFC grant ST/R000921/1. H. J. Allison acknowledges Helmholtz-Gemeinshaft (HGF). R. L. Thompson is supported by the Engineering and Physical Sciences Research Council (EPSRC) grant EP/L016613/1.</t>
  </si>
  <si>
    <t>e2020GL089962</t>
  </si>
  <si>
    <t>10.1029/2020GL089962</t>
  </si>
  <si>
    <t>Green Accepted, Green Published</t>
  </si>
  <si>
    <t>WOS:000612943500032</t>
  </si>
  <si>
    <t>Zhang, L; Gan, BL; Li, XC; Wang, H; Wang, CY; Cai, WJ; Wu, LX</t>
  </si>
  <si>
    <t>Zhang, Li; Gan, Bolan; Li, Xichen; Wang, Hong; Wang, Chuan-Yang; Cai, Wenju; Wu, Lixin</t>
  </si>
  <si>
    <t>Remote Influence of the Midlatitude South Atlantic Variability in Spring on Antarctic Summer Sea Ice</t>
  </si>
  <si>
    <t>Antarctic sea ice; ocean-atmosphere interaction; oceanic front; South Atlantic; storm track</t>
  </si>
  <si>
    <t>WINTERTIME STORM TRACKS; SURFACE TEMPERATURE; OCEAN; CLIMATE; NORTH; IMPACTS; DRIVEN; TRENDS; WIND; MODE</t>
  </si>
  <si>
    <t>Relationship between Antarctic sea ice and the Southern Annular Mode and tropical climate variability has been widely studied. Focusing on the midlatitude oceanic frontal zones, this study identifies a fingerprint of South Atlantic (SA) variability in the Antarctic summer sea ice. The interaction between spring SA sea surface temperature (SST) and summer storm-track activity modulates the hemispheric atmospheric circulation, which in turn alters Antarctic summer sea ice concentration (SIC) through thermal and wind-driven forcing. Specifically, warm SST anomalies in the western SA frontal zone, corresponding to the strengthened SST front, cause the increased SIC in the eastern Ross Sea via anomalous cold air advection and offshore drift of sea ice. The opposite effect (i.e., warm air advection and onshore ice drift) results in the decreased SIC in the northwestern Weddell Sea. The findings also imply a potential impact of the midlatitude SA variability to the South Pole air temperature variability. Plain Language Summary Sea ice plays an important role in the global climate. In the context of global warming, small temperature changes can be amplified in polar regions by the positive feedback of sea ice. Many studies have revealed the relationship between Antarctic sea ice and major modes of climate variability, such as the Southern Annular Mode and El Nino/Southern Oscillation. A recent study found that warming reaching the South Pole is attributed by the tropical Pacific Ocean variability. However, little attention has been paid to the influence of midlatitude oceanic frontal zones. Here, we show that the interaction between the South Atlantic (SA) sea surface temperature (SST) in spring and storm-track activity in summer induces anomalous hemispheric-scale atmospheric circulation, which further modulates the summertime sea ice concentration (SIC) via both thermal and mechanical processes. Particularly, warm SST anomalies in the western SA frontal zone drive the anomalous high and low sea level pressure (SLP) over the Weddell and Ross Seas, resulting in the decreased and increased local SIC, respectively. Such anomalous high SLP over the Weddell Sea also induces anomalous warm air advection penetrating toward the South Pole. This reveals a potential connection between the midlatitude SA SST front and the South Pole air temperature.</t>
  </si>
  <si>
    <t>[Zhang, Li; Gan, Bolan; Wang, Hong; Wang, Chuan-Yang; Cai, Wenju; Wu, Lixin] Ocean Univ China, Key Lab Phys Oceanog, Qingdao, Peoples R China; [Zhang, Li; Gan, Bolan; Wang, Hong; Wang, Chuan-Yang; Cai, Wenju; Wu, Lixin] Ocean Univ China, Frontiers Sci Ctr Deep Ocean Multispheres &amp; Earth, Qingdao, Peoples R China; [Zhang, Li; Gan, Bolan; Wang, Hong; Cai, Wenju; Wu, Lixin] Qingdao Natl Lab Marine Sci &amp; Technol, Qingdao, Peoples R China; [Li, Xichen] Chinese Acad Sci, Inst Atmospher Phys, Beijing, Peoples R China; [Cai, Wenju] CSIRO Oceans &amp; Atmosphere Flagship, Aspendale, Vic, Australia</t>
  </si>
  <si>
    <t>Ocean University of China; Ocean University of China; Laoshan Laboratory; Chinese Academy of Sciences; Institute of Atmospheric Physics, CAS; Commonwealth Scientific &amp; Industrial Research Organisation (CSIRO)</t>
  </si>
  <si>
    <t>Gan, BL (corresponding author), Ocean Univ China, Key Lab Phys Oceanog, Qingdao, Peoples R China.;Gan, BL (corresponding author), Ocean Univ China, Frontiers Sci Ctr Deep Ocean Multispheres &amp; Earth, Qingdao, Peoples R China.;Gan, BL (corresponding author), Qingdao Natl Lab Marine Sci &amp; Technol, Qingdao, Peoples R China.</t>
  </si>
  <si>
    <t>gbl0203@ouc.edu.cn</t>
  </si>
  <si>
    <t>Li, Xichen/ISB-4663-2023; Cai, Wei-Jun/C-1361-2013; Gan, Bolan/U-2857-2017</t>
  </si>
  <si>
    <t>Li, Xichen/0000-0001-6325-6626; Gan, Bolan/0000-0001-7620-485X; Zhang, Li/0000-0001-8036-0628</t>
  </si>
  <si>
    <t>National Natural Science Foundation of China (NSFC) [41906015, 41922039, 91858102, 41676190, 41906194]; National Key Research and Development Program of China [2019YFA0607001, 2019YFC1509100, 2016YFA0601804]; National Postdoctoral Program for Innovative Talents Foundationof China [861805033113]; Strategic Priority Research Program of Chinese Academy of Sciences [XDB40000000]; QNLM Center for High Performance Computing and System Simulation</t>
  </si>
  <si>
    <t>National Natural Science Foundation of China (NSFC)(National Natural Science Foundation of China (NSFC)); National Key Research and Development Program of China; National Postdoctoral Program for Innovative Talents Foundationof China; Strategic Priority Research Program of Chinese Academy of Sciences(Chinese Academy of Sciences); QNLM Center for High Performance Computing and System Simulation</t>
  </si>
  <si>
    <t>This work is supported by National Natural Science Foundation of China (NSFC) projects (41906015, 41922039, 91858102, 41676190, and 41906194), National Key Research and Development Program of China (2019YFA0607001, 2019YFC1509100, and 2016YFA0601804), National Postdoctoral Program for Innovative Talents Foundationof China (861805033113), Strategic Priority Research Program of Chinese Academy of Sciences (XDB40000000), and QNLM Center for High Performance Computing and System Simulation.</t>
  </si>
  <si>
    <t>e2020GL090810</t>
  </si>
  <si>
    <t>10.1029/2020GL090810</t>
  </si>
  <si>
    <t>WOS:000612943500006</t>
  </si>
  <si>
    <t>Inoue, J; Sato, K; Rinke, A; Cassano, JJ; Fettweis, X; Heinemann, G; Matthes, H; Orr, A; Phillips, T; Seefeldt, M; Solomon, A; Webster, S</t>
  </si>
  <si>
    <t>Inoue, Jun; Sato, Kazutoshi; Rinke, Annette; Cassano, John J.; Fettweis, Xavier; Heinemann, Guenther; Matthes, Heidrun; Orr, Andrew; Phillips, Tony; Seefeldt, Mark; Solomon, Amy; Webster, Stuart</t>
  </si>
  <si>
    <t>Clouds and Radiation Processes in Regional Climate Models Evaluated Using Observations Over the Ice-free Arctic Ocean</t>
  </si>
  <si>
    <t>JOURNAL OF GEOPHYSICAL RESEARCH-ATMOSPHERES</t>
  </si>
  <si>
    <t>Arctic; cloud; radiation; surface energy budget</t>
  </si>
  <si>
    <t>RADIOSONDE DATA; BOUNDARY-LAYER; IMPACT; SEA; PARAMETERIZATION; SURFACE; SHEBA; WATER; CONDENSATION; MICROPHYSICS</t>
  </si>
  <si>
    <t>The presence of clouds in the Arctic regulates the surface energy budget (SEB) over the sea-ice surface and the ice-free ocean. Following several previous field campaigns, the cloud-radiation relationship, including cloud vertical structure and phase, has been elucidated; however, modeling of this relationship has matured slowly. In recognition of the recent decline in the Arctic sea-ice extent, representation of the cloud system in numerical models should consider the effects of areas covered by sea ice and ice-free areas. Using an in situ stationary meteorological observation data set obtained over the ice-free Arctic Ocean by the Japanese Research Vessel Mirai (September 2014), coordinated evaluation of six regional climate models (RCMs) with nine model runs was performed by focusing on clouds and the SEB. The most remarkable findings were as follows: (1) reduced occurrence of unstable stratification with low-level cloud water in all models in comparison to the observations, (2) significant differences in cloud water representations between single- and double-moment cloud schemes, (3) extensive differences in partitioning of hydrometeors including solid/liquid precipitation, and (4) pronounced lower-tropospheric air temperature biases. These issues are considered as the main sources of SEB uncertainty over ice-free areas of the Arctic Ocean. The results from a coupled RCM imply that the SEB is constrained by both the atmosphere and the ocean (and sea ice) with considerable feedback. Coordinated improvement of both stand-alone atmospheric and coupled RCMs would promote a more comprehensive and improved understanding of the Arctic air-ice-sea coupled system.</t>
  </si>
  <si>
    <t>[Inoue, Jun] Natl Inst Polar Res, Meteorol &amp; Glaciol Grp, Tachikawa, Tokyo, Japan; [Sato, Kazutoshi] Kitami Inst Technol, Sch Earth Energy &amp; Environm Engn, Kitami, Hokkaido, Japan; [Rinke, Annette; Matthes, Heidrun] Helmholtz Ctr Polar &amp; Marine Res, Alfred Wegener Inst, Potsdam, Germany; [Cassano, John J.; Seefeldt, Mark; Solomon, Amy] Univ Colorado, Cooperat Inst Res Environm Sci, Boulder, CO 80309 USA; [Cassano, John J.] Univ Colorado, Dept Atmospher &amp; Ocean Sci, Boulder, CO 80309 USA; [Fettweis, Xavier] Univ Liege, Dept Geog, Liege, Belgium; [Heinemann, Guenther] Univ Trier, Dept Environm Meteorol, Trier, Germany; [Orr, Andrew; Phillips, Tony] Natl Environm Res Council, British Antarctic Survey, Cambridge, England; [Solomon, Amy] NOAA, Phys Sci Div, Earth Syst Res Lab, Boulder, CO USA; [Webster, Stuart] Met Off, Exeter, Devon, England</t>
  </si>
  <si>
    <t>Research Organization of Information &amp; Systems (ROIS); National Institute of Polar Research (NIPR) - Japan; Kitami Institute of Technology; Helmholtz Association; Alfred Wegener Institute, Helmholtz Centre for Polar &amp; Marine Research; University of Colorado System; University of Colorado Boulder; University of Colorado System; University of Colorado Boulder; University of Liege; Universitat Trier; UK Research &amp; Innovation (UKRI); Natural Environment Research Council (NERC); NERC British Antarctic Survey; National Oceanic Atmospheric Admin (NOAA) - USA; Met Office - UK</t>
  </si>
  <si>
    <t>Inoue, J (corresponding author), Natl Inst Polar Res, Meteorol &amp; Glaciol Grp, Tachikawa, Tokyo, Japan.</t>
  </si>
  <si>
    <t>inoue.jun@nipr.ac.jp</t>
  </si>
  <si>
    <t>Solomon, Amy B/L-8988-2013; Seefeldt, Mark W/D-3121-2011; Matthes, Heidrun/N-1833-2018; amplification, ³ - Arctic/AAU-6640-2020; Cassano, John/HKW-8817-2023; Inoue, Jun/ABE-2305-2021; Rinke, Annette/B-4922-2014</t>
  </si>
  <si>
    <t>Seefeldt, Mark W/0000-0003-0719-2570; Matthes, Heidrun/0000-0001-9913-7696; Inoue, Jun/0000-0001-7738-6480; Sato, Kazutoshi/0000-0003-0216-8942; Phillips, Tony/0000-0002-3058-9157; SOLOMON, AMY/0000-0002-8966-6727; Fettweis, Xavier/0000-0002-4140-3813; CASSANO, JOHN/0000-0003-3176-3978; Rinke, Annette/0000-0002-6685-9219</t>
  </si>
  <si>
    <t>JSPS KAKENHI [24241009, 18H03745, 18KK0292]; Japanese Ministry of Education, Culture, Sports, Science and Technology [JPMXD1300000000]; German Federal Ministry of Education and Research (BMBF) [03F0776D, 03F0831C]; Deutsche Forschungsgemeinschaft (DFG, German Research Foundation) within the Transregional Collaborative Research Center ArctiC Amplification: Climate Relevant Atmospheric and SurfaCe Processes, and Feedback Mechanisms (AC)3 [268020496 TRR 172]; Regional and Global Model Analysis (RGMA) component of the U.S. Department of Energy's Office of Science; NERC [bas0100032] Funding Source: UKRI; Grants-in-Aid for Scientific Research [18H03745, 18KK0292] Funding Source: KAKEN</t>
  </si>
  <si>
    <t>JSPS KAKENHI(Ministry of Education, Culture, Sports, Science and Technology, Japan (MEXT)Japan Society for the Promotion of ScienceGrants-in-Aid for Scientific Research (KAKENHI)); Japanese Ministry of Education, Culture, Sports, Science and Technology(Ministry of Education, Culture, Sports, Science and Technology, Japan (MEXT)); German Federal Ministry of Education and Research (BMBF)(Federal Ministry of Education &amp; Research (BMBF)); Deutsche Forschungsgemeinschaft (DFG, German Research Foundation) within the Transregional Collaborative Research Center ArctiC Amplification: Climate Relevant Atmospheric and SurfaCe Processes, and Feedback Mechanisms (AC)3(German Research Foundation (DFG)); Regional and Global Model Analysis (RGMA) component of the U.S. Department of Energy's Office of Science(United States Department of Energy (DOE)); NERC(UK Research &amp; Innovation (UKRI)Natural Environment Research Council (NERC)); Grants-in-Aid for Scientific Research(Ministry of Education, Culture, Sports, Science and Technology, Japan (MEXT)Japan Society for the Promotion of ScienceGrants-in-Aid for Scientific Research (KAKENHI))</t>
  </si>
  <si>
    <t>This work was supported by JSPS KAKENHI (grant numbers 24241009, 18H03745, and 18KK0292) and the Arctic Challenge for Sustainability Project (ArCS) (grant number JPMXD1300000000) of the Japanese Ministry of Education, Culture, Sports, Science and Technology to Jun Inoue. The authors are greatly indebted to the officers and crew of the RV Mirai. NOAA radiation data onboard the RV Mirai was collected and calculated by Dr. Byron W. Blomquist (NOAA). HYVIS data were collected by Drs. Shuichi Mori and Masaki Katsumata (JAMSTEC). Processing of the C-band radar data was performed by Mr. Souichiro Sueyoshi (Nippon Marine Enterprises, Ltd.). The CCLM contribution (Gunther Heinemann) was funded by the German Federal Ministry of Education and Research (BMBF) under grants 03F0776D and 03F0831C (CATS). Annette Rinke acknowledges the funding by the Deutsche Forschungsgemeinschaft (DFG, German Research Foundation) - project 268020496 TRR 172, within the Transregional Collaborative Research Center ArctiC Amplification: Climate Relevant Atmospheric and SurfaCe Processes, and Feedback Mechanisms (AC)3. The WRF-CU contribution was supported by the Regional and Global Model Analysis (RGMA) component of the U.S. Department of Energy's Office of Science, as a contribution to the HiLAT-RASM project. We thank James Buxton MSc from Edanz Group (https://en-author-services.edanzgroup.com/) for editing a draft of this manuscript. The authors also thank the editor and two anonymous reviewers for their valuable and insightful comments to improve the manuscript.</t>
  </si>
  <si>
    <t>2169-897X</t>
  </si>
  <si>
    <t>2169-8996</t>
  </si>
  <si>
    <t>J GEOPHYS RES-ATMOS</t>
  </si>
  <si>
    <t>J. Geophys. Res.-Atmos.</t>
  </si>
  <si>
    <t>e2020JD033904</t>
  </si>
  <si>
    <t>10.1029/2020JD033904</t>
  </si>
  <si>
    <t>QE9NC</t>
  </si>
  <si>
    <t>Green Accepted, Green Published, Green Submitted</t>
  </si>
  <si>
    <t>WOS:000616529300021</t>
  </si>
  <si>
    <t>Hao, YF; Li, YM; Wania, F; Yang, RQ; Wang, P; Zhang, QH; Jiang, GB</t>
  </si>
  <si>
    <t>Hao, Yanfen; Li, Yingming; Wania, Frank; Yang, Ruiqiang; Wang, Pu; Zhang, Qinghua; Jiang, Guibin</t>
  </si>
  <si>
    <t>Atmospheric concentrations and temporal trends of polychlorinated biphenyls and organochlorine pesticides in the Arctic during 2011-2018</t>
  </si>
  <si>
    <t>Arctic; Atmosphere; Polychlorinated biphenyls; Organochlorine pesticides; Temporal trend</t>
  </si>
  <si>
    <t>PERSISTENT ORGANIC POLLUTANTS; POLYBROMINATED DIPHENYL ETHERS; LONG-RANGE TRANSPORT; MONITORING STATIONS; PCB CONGENERS; AIR; DDTS; 3,3'-DICHLOROBIPHENYL; FRACTIONATION; CALIBRATION</t>
  </si>
  <si>
    <t>Passive air samples were deployed in Ny-Alesund and London Island (Svalbard, High Arctic) annually for seven years (2011-2018) to investigate concentrations, temporal trends and potential sources of selected persistent organic pollutants (POPs). Nine polychlorinated biphenyls and twelve organochlorine pesticides were detected in all samples, with 3,3'-dichlorobiphenyl (PCB-11) being the prevalent congener. Concentrations of most compounds were declining. The ratio of the alpha- and gamma-isomer of hexachlorocyclohexane (HCH) in Arctic air was comparable with that in technical HCH mixtures, but higher than that in the atmosphere of other countries, thereby indicating the impact of historical use as well as the possible photoisomerization of the gamma- into the alpha-isomer. The parent dichlorodiphenyltrichloroethane (DDT) was always less abundant than its degradation products dichlorodiphenylethylene (DDE), indicative of the impact of aged DDT sources in the Arctic atmosphere. However, o,p'-/p,p'-DDT ratios suggest only a minor contribution of dicofol-type DDT. A slightly declining temporal trend of the trans-chlordane/cis-chlordane ratio indicated the impact of secondary sources. The atmospheric distribution of the investigated POPs in the Arctic was mainly attributed to long-range atmospheric transport, whereas the influence of human activities from the scientific research stations was minor. (C) 2020 Elsevier Ltd. All rights reserved.</t>
  </si>
  <si>
    <t>[Hao, Yanfen; Li, Yingming; Yang, Ruiqiang; Zhang, Qinghua; Jiang, Guibin] Chinese Acad Sci, Res Ctr Ecoenvironm Sci, State Key Lab Environm Chem &amp; Ecotoxicol, Beijing 100085, Peoples R China; [Hao, Yanfen; Li, Yingming; Zhang, Qinghua; Jiang, Guibin] Univ Chinese Acad Sci, Beijing 100049, Peoples R China; [Wania, Frank] Univ Toronto Scarborough, Dept Phys &amp; Environm Sci, 1265 Mil Trail, Toronto, ON M1C 1A4, Canada; [Yang, Ruiqiang; Zhang, Qinghua] Univ Chinese Acad Sci, Inst Environm &amp; Hlth, Hangzhou Inst Adv Study, Hangzhou 310000, Peoples R China; [Wang, Pu] Jianghan Univ, Inst Environm &amp; Hlth, Wuhan 430056, Peoples R China</t>
  </si>
  <si>
    <t>Chinese Academy of Sciences; Research Center for Eco-Environmental Sciences (RCEES); Chinese Academy of Sciences; University of Chinese Academy of Sciences, CAS; University of Toronto; University Toronto Scarborough; Chinese Academy of Sciences; University of Chinese Academy of Sciences, CAS; Jianghan University</t>
  </si>
  <si>
    <t>Li, YM (corresponding author), Chinese Acad Sci, Res Ctr Ecoenvironm Sci, State Key Lab Environm Chem &amp; Ecotoxicol, Beijing 100085, Peoples R China.</t>
  </si>
  <si>
    <t>ymli@rcees.ac.cn</t>
  </si>
  <si>
    <t>Wang, Pu/HGE-1628-2022; Wania, Frank/J-2532-2012; Wania, Frank/JAX-3216-2023; Zhang, Qinghua/L-7652-2019; ZHANG, XUCHEN/KBB-7989-2024</t>
  </si>
  <si>
    <t>Wania, Frank/0000-0003-3836-0901; Wania, Frank/0000-0003-3836-0901; Zhang, Qinghua/0000-0001-9086-7000; Wang, Pu/0000-0002-9003-2756</t>
  </si>
  <si>
    <t>National Natural Science Foundation of China [91743206, 22076215, 41977327]; National Key Research and Development Program of China [2017YFC1600301]; Eco-environmental Excellent Innovation projects of Research Center for Eco-Environmental Sciences [RCEES-EEI-2019-01]; Chinese Arctic and Antarctic Administration; Polar Research Institute of China</t>
  </si>
  <si>
    <t>National Natural Science Foundation of China(National Natural Science Foundation of China (NSFC)); National Key Research and Development Program of China; Eco-environmental Excellent Innovation projects of Research Center for Eco-Environmental Sciences; Chinese Arctic and Antarctic Administration; Polar Research Institute of China</t>
  </si>
  <si>
    <t>This study was supported by National Natural Science Foundation of China (91743206, 22076215 and 41977327), National Key Research and Development Program of China (2017YFC1600301) and Eco-environmental Excellent Innovation projects of Research Center for Eco-Environmental Sciences (RCEES-EEI-2019-01). We appreciate the support of Chinese Arctic and Antarctic Administration and Polar Research Institute of China for the arrangement during Chinese Arctic Expeditions.</t>
  </si>
  <si>
    <t>10.1016/j.chemosphere.2020.128859</t>
  </si>
  <si>
    <t>PT7OW</t>
  </si>
  <si>
    <t>WOS:000608802100005</t>
  </si>
  <si>
    <t>Tosolini, AMP; Cantrill, DJ; Francis, JE</t>
  </si>
  <si>
    <t>Tosolini, Anne-Marie P.; Cantrill, David J.; Francis, Jane E.</t>
  </si>
  <si>
    <t>Paleocene high-latitude leaf flora of Antarctica Part 1: entire-margined angiosperms</t>
  </si>
  <si>
    <t>REVIEW OF PALAEOBOTANY AND PALYNOLOGY</t>
  </si>
  <si>
    <t>Paleocene; Antarctica; Gondwana; Flora; Angiosperm; Entire-margined leaves</t>
  </si>
  <si>
    <t>LA-MESETA FORMATION; KING GEORGE ISLAND; LIGORIO MARQUEZ FORMATION; GONDWANAN POLAR FORESTS; EARLY MIOCENE FLORA; JAMES-ROSS-ISLAND; SEYMOUR-ISLAND; NEW-ZEALAND; EARLY TERTIARY; FOSSIL WOODS</t>
  </si>
  <si>
    <t>Paleocene leaf floras arc rare in high latitudes of the Southern Hemisphere, where studies have shown higher taxonomic diversity compared to Northern Hemisphere equivalents. The floras provide valuable insights into biodiversity and forest communities during the Paleocene. The Antarctic Peninsula hosts a wealth of Paleocene-Eocene floras which have been used to interpret climates before, during and after one of the most abrupt and transient warming events known from the geological record. The best-preserved and most diverse Paleocene macrofossils from this region come from the Cross Valley Formation, Seymour Island Group, which have previously provided evidence for warm temperate climates prior to the PETM. Here we present the taxonomy of leaf impressions from the Paleocene Cross Valley Flora for one species and ten new leaf morphotypes of entire-margined angiosperms. The new morphotypes provide evidence of an increased angiosperm diversity within cool-temperate Gondwanan forest inhabiting the east side of the Antarctic Peninsula, which contrasts with a lower floral diversity on the west side of the Peninsula during the late Paleocene. Crown Copyright (C) 2020 Published by Elsevier B.V. All rights reserved.</t>
  </si>
  <si>
    <t>[Tosolini, Anne-Marie P.; Francis, Jane E.] Univ Leeds, Dept Earth Sci, Leeds LS2 9JT, W Yorkshire, England; [Cantrill, David J.; Francis, Jane E.] NERC, British Antarctic Survey, Madingley Rd, Cambridge CB3 0ET, England; [Cantrill, David J.] Royal Bot Gardens Victoria, Private Bag 2000,Birdwood Ave, South Yarra, Vic 3141, Australia; [Tosolini, Anne-Marie P.] Univ Melbourne, Sch Earth Sci, Melbourne, Vic 3010, Australia</t>
  </si>
  <si>
    <t>University of Leeds; UK Research &amp; Innovation (UKRI); Natural Environment Research Council (NERC); NERC British Antarctic Survey; University of Melbourne; Melbourne Bioinformatics</t>
  </si>
  <si>
    <t>Tosolini, AMP (corresponding author), Univ Melbourne, Sch Earth Sci, Melbourne, Vic 3010, Australia.</t>
  </si>
  <si>
    <t>a.tosolini@unimelb.edu.au</t>
  </si>
  <si>
    <t>Cantrill, David/R-1415-2019</t>
  </si>
  <si>
    <t>Cantrill, David/0000-0002-1185-4015; Tosolini, Anne-Marie/0000-0001-7341-0703</t>
  </si>
  <si>
    <t>NERC-BAS Antarctic Funding Initiative, U.K. [GR3/G0001]; NERC [bas010011] Funding Source: UKRI</t>
  </si>
  <si>
    <t>NERC-BAS Antarctic Funding Initiative, U.K.; NERC(UK Research &amp; Innovation (UKRI)Natural Environment Research Council (NERC))</t>
  </si>
  <si>
    <t>A NERC-BAS Antarctic Funding Initiative, U.K., grant GR3/G0001 to JEF, DJC funded the postdoctoral position of A-M.T and supported all fieldwork to Antarctica. We thank past BAS (FIDS) geologists for their collections of the Cross Valley Flora as specimens from many BAS trips to the regionwere also analyzed. Dr I. Poole and Crispin Day helped collectmaterial in 1999 and Robert K. Smith aided fieldwork and collection of samples in 2001. Invaluable assistance on leaf architecture analysis, drawing and photographic techniques was given by Dr Richard Hunt. Professor Bob Hill is thanked for advice on authorities for taxonomic names. We gratefully acknowledged the Swedish Museum of Natural History, who granted access to the Nordenskjold Collection. Three versions of this manuscript were reviewed before publication. All reviewers and the editor, Dr M.A. Gandolfo, are thanked for their time and effort in providing very helpful restructuring, comments and constructive additions to the manuscript.</t>
  </si>
  <si>
    <t>0034-6667</t>
  </si>
  <si>
    <t>1879-0615</t>
  </si>
  <si>
    <t>REV PALAEOBOT PALYNO</t>
  </si>
  <si>
    <t>Rev. Palaeobot. Palynology</t>
  </si>
  <si>
    <t>10.1016/j.revpalbo.2020.104317</t>
  </si>
  <si>
    <t>Plant Sciences; Paleontology</t>
  </si>
  <si>
    <t>PT8IS</t>
  </si>
  <si>
    <t>WOS:000608855100002</t>
  </si>
  <si>
    <t>Khedim, N; Cécillon, L; Poulenard, JM; Barré, P; Baudin, F; Marta, S; Rabatel, A; Dentant, C; Cauvy-Fraunié, S; Anthelme, F; Gielly, L; Ambrosini, R; Franzetti, A; Azzoni, RS; Caccianiga, MS; Compostella, C; Clague, J; Tielidze, L; Messager, E; Choler, P; Ficetola, GF</t>
  </si>
  <si>
    <t>Khedim, Norine; Cecillon, Lauric; Poulenard, Jerome; Barre, Pierre; Baudin, Francois; Marta, Silvio; Rabatel, Antoine; Dentant, Cedric; Cauvy-Fraunie, Sophie; Anthelme, Fabien; Gielly, Ludovic; Ambrosini, Roberto; Franzetti, Andrea; Azzoni, Roberto Sergio; Caccianiga, Marco Stefano; Compostella, Chiara; Clague, John; Tielidze, Levan; Messager, Erwan; Choler, Philippe; Ficetola, Gentile Francesco</t>
  </si>
  <si>
    <t>Topsoil organic matter build-up in glacier forelands around the world</t>
  </si>
  <si>
    <t>GLOBAL CHANGE BIOLOGY</t>
  </si>
  <si>
    <t>carbon stability; chronosequence; climate sensitivity; soil organic matter; topsoil development</t>
  </si>
  <si>
    <t>BIOLOGICAL SOIL CRUSTS; ROCK-EVAL PYROLYSIS; THERMAL-ANALYSIS; DAMMA GLACIER; ECOSYSTEM DEVELOPMENT; VEGETATION DYNAMICS; MODERN ENVIRONMENTS; CHEMICAL OXIDATION; PRIMARY SUCCESSION; CARBON DYNAMICS</t>
  </si>
  <si>
    <t>Since the last glacial maximum, soil formation related to ice-cover shrinkage has been one major sink of carbon accumulating as soil organic matter (SOM), a phenomenon accelerated by the ongoing global warming. In recently deglacierized forelands, processes of SOM accumulation, including those that control carbon and nitrogen sequestration rates and biogeochemical stability of newly sequestered carbon, remain poorly understood. Here, we investigate the build-up of SOM during the initial stages (up to 410 years) of topsoil development in 10 glacier forelands distributed on four continents. We test whether the net accumulation of SOM on glacier forelands (i) depends on the time since deglacierization and local climatic conditions (temperature and precipitation); (ii) is accompanied by a decrease in its stability and (iii) is mostly due to an increasing contribution of organic matter from plant origin. We measured total SOM concentration (carbon, nitrogen), its relative hydrogen/oxygen enrichment, stable isotopic (C-13, N-15) and carbon functional groups (C-H, C=O, C=C) compositions, and its distribution in carbon pools of different thermal stability. We show that SOM content increases with time and is faster on forelands experiencing warmer climates. The build-up of SOM pools shows consistent trends across the studied soil chronosequences. During the first decades of soil development, the low amount of SOM is dominated by a thermally stable carbon pool with a small and highly thermolabile pool. The stability of SOM decreases with soil age at all sites, indicating that SOM storage is dominated by the accumulation of labile SOM during the first centuries of soil development, and suggesting plant carbon inputs to soil (SOM depleted in nitrogen, enriched in hydrogen and in aromatic carbon). Our findings highlight the potential vulnerability of SOM stocks from proglacial areas to decomposition and suggest that their durability largely depends on the relative contribution of carbon inputs from plants.</t>
  </si>
  <si>
    <t>[Khedim, Norine; Poulenard, Jerome; Messager, Erwan] Univ Savoie Mt Blanc, Univ Grenoble Alpes, CNRS, EDYTEM, F-73000 Chambery, France; [Khedim, Norine; Gielly, Ludovic; Choler, Philippe; Ficetola, Gentile Francesco] Univ Savoie Mt Blanc, Univ Grenoble Alpes, CNRS, LECA, Grenoble, France; [Cecillon, Lauric] Univ Normandie, UNIROUEN, INRAE, ECODIV,FR Scale CNRS 3730, Rouen, France; [Cecillon, Lauric; Barre, Pierre] PSL Univ, IPSL, Ecole Normale Super, Lab Geol,CNRS, Paris, France; [Baudin, Francois] Sorbonne Univ, CNRS, UMR ISTeP, Paris, France; [Marta, Silvio; Ambrosini, Roberto; Azzoni, Roberto Sergio; Ficetola, Gentile Francesco] Univ Milan, Dept Environm Sci &amp; Policy, Milan, Italy; [Rabatel, Antoine] Univ Grenoble Alpes, Inst Geosci Environm, UMR 5001, CNRS,IRD, Grenoble, France; [Dentant, Cedric] Parc Natl Ecrins, Domaine Charance, Gap, France; [Cauvy-Fraunie, Sophie] INRAE, Ctr Lyon Villeurbanne, RIVERLY, Villeurbanne, France; [Anthelme, Fabien] Univ Montpellier, AMAP, IRD, CIRAD,CNRS,INRA, Montpellier, France; [Franzetti, Andrea] Univ Milano Bicocca, Dept Earth &amp; Environm Sci, Milan, Italy; [Caccianiga, Marco Stefano] Univ Milan, Dept Biosci, Milan, Italy; [Compostella, Chiara] Univ Milan, Dept Earth Sci A Desio, Milan, Italy; [Clague, John] Simon Fraser Univ, Dept Earth Sci, Burnaby, BC, Canada; [Tielidze, Levan] Victoria Univ Wellington, Antarctic Res Ctr, Wellington, New Zealand; [Tielidze, Levan] Victoria Univ Wellington, Sch Geog Environm &amp; Earth Sci, Wellington, New Zealand</t>
  </si>
  <si>
    <t>Centre National de la Recherche Scientifique (CNRS); Universite Savoie Mont Blanc; Communaute Universite Grenoble Alpes; Universite Grenoble Alpes (UGA); Communaute Universite Grenoble Alpes; Universite Grenoble Alpes (UGA); Centre National de la Recherche Scientifique (CNRS); Universite Savoie Mont Blanc; Universite de Rouen Normandie; INRAE; Universite PSL; Ecole Normale Superieure (ENS); Universite Paris Cite; Centre National de la Recherche Scientifique (CNRS); Sorbonne Universite; Centre National de la Recherche Scientifique (CNRS); University of Milan; Communaute Universite Grenoble Alpes; Universite Grenoble Alpes (UGA); Institut de Recherche pour le Developpement (IRD); Centre National de la Recherche Scientifique (CNRS); CNRS - National Institute for Earth Sciences &amp; Astronomy (INSU); INRAE; INRAE; Universite de Montpellier; Centre National de la Recherche Scientifique (CNRS); CIRAD; Institut de Recherche pour le Developpement (IRD); University of Milano-Bicocca; University of Milan; University of Milan; Simon Fraser University; Victoria University Wellington; Victoria University Wellington</t>
  </si>
  <si>
    <t>Khedim, N (corresponding author), Univ Savoie Mt Blanc, Univ Grenoble Alpes, CNRS, EDYTEM, F-73000 Chambery, France.;Cécillon, L (corresponding author), Normandie UNIROUEN, INRAE, ECODIV, FR Scale CNRS 3730, Rouen, France.</t>
  </si>
  <si>
    <t>norine.khedim@univ-smb.fr; lauric.cecillon@inrae.fr</t>
  </si>
  <si>
    <t>Marta, Silvio/B-1934-2014; Baudin, Francois/ITU-7485-2023; poulenard, jerome/I-2491-2012; Tielidze, Levan G/E-2690-2018; Rabatel, Antoine/L-5249-2015; Ficetola, Gentile Francesco/A-2813-2008; Azzoni, Roberto Sergio/J-7751-2015; Gielly, Ludovic/ADQ-6036-2022; Choler, Philippe/A-7270-2008; Rabatel, Antoine/AAA-1769-2022; CECILLON, Lauric/HNP-5068-2023; Messager, Erwan/N-6623-2014</t>
  </si>
  <si>
    <t>Baudin, Francois/0000-0003-3180-459X; poulenard, jerome/0000-0003-0810-0308; Tielidze, Levan G/0000-0002-4646-5458; Ficetola, Gentile Francesco/0000-0003-3414-5155; Azzoni, Roberto Sergio/0000-0002-5931-486X; Choler, Philippe/0000-0002-9062-2721; Rabatel, Antoine/0000-0002-5304-1055; Marta, Silvio/0000-0001-8850-610X; Cauvy-Fraunie, sophie/0000-0001-8600-0519; Cecillon, Lauric/0000-0001-7795-2382; COMPOSTELLA, CHIARA/0000-0002-2905-8121; Khedim, Norine/0000-0001-8198-1098; Messager, Erwan/0000-0001-5192-9088</t>
  </si>
  <si>
    <t>European Community Horizon 2020 Programme [772284]; LabEx OSUG@2020 [ANR10 LABX56]; Emergence(s) Programme Ville de Paris</t>
  </si>
  <si>
    <t>European Community Horizon 2020 Programme; LabEx OSUG@2020; Emergence(s) Programme Ville de Paris</t>
  </si>
  <si>
    <t>European Community Horizon 2020 Programme, Grant/Award Number: 772284; LabEx OSUG@2020, Grant/Award Number: ANR10 LABX56; Emergence(s) Programme Ville de Paris</t>
  </si>
  <si>
    <t>1354-1013</t>
  </si>
  <si>
    <t>1365-2486</t>
  </si>
  <si>
    <t>GLOBAL CHANGE BIOL</t>
  </si>
  <si>
    <t>Glob. Change Biol.</t>
  </si>
  <si>
    <t>10.1111/gcb.15496</t>
  </si>
  <si>
    <t>QZ2DZ</t>
  </si>
  <si>
    <t>Green Published, Green Submitted, hybrid</t>
  </si>
  <si>
    <t>WOS:000607851100001</t>
  </si>
  <si>
    <t>Lischka, A; Bustamante, P; Braid, H; Piatkowski, U; Lacoue-Labarthe, T</t>
  </si>
  <si>
    <t>Lischka, A.; Bustamante, P.; Braid, H.; Piatkowski, U.; Lacoue-Labarthe, T.</t>
  </si>
  <si>
    <t>Trophic ecology drives trace element concentrations in the Antarctic octopod community</t>
  </si>
  <si>
    <t>Cephalopods; Cd; Hg; Antarctica; Stable isotopes; Southern Ocean</t>
  </si>
  <si>
    <t>SOUTHERN ELEPHANT SEAL; KING GEORGE ISLAND; HEAVY-METALS; LEPTONYCHOTES-WEDDELLII; MERCURY CONCENTRATIONS; ARCTOCEPHALUS-GAZELLA; MARINE-INVERTEBRATES; NORTHEAST ATLANTIC; SEPIA-OFFICINALIS; KERGUELEN ISLANDS</t>
  </si>
  <si>
    <t>Despite the Antarctic Ocean being considered a pristine environment, elevated trace element concentrations have been reported in many marine organisms. The Antarctic Ocean is particularly vulnerable to climate change, which can also affect the bioaccumulation of trace element concentrations in biota. While Antarctic octopods are key components of the regional food webs as prey for a variety of predators (e.g., seals, fish, and seabirds), their contamination state by trace elements remains largely unknown. This study investigated the trace element concentrations in relation to the trophic ecology in Antarctic octopods. Stable isotope values (delta C-13 and delta N-15) and trace element concentrations (Ag, As, Cd, Co, Cr, Cu, Fe, Hg, Mn, Ni, Pb, Se, V, and Zn) were measured in eight different species (Adelieledone polymorpha, Pareledone aequipapillae, P. albimaculata, P. aurata, P. charcoti, P. comuta, P. felix, and P. turqueti) sampled near Elephant Island, close to the Antarctic Peninsula. Stable isotopes delta N-15 varied among species, with significant differences between A. polymorpha and P. aurata suggesting potential niche segregation. Trace element concentrations also differed among species and with sampling depth, which likely reflects their trophic ecology. The data presented in this study provides the first insight into the trace clement concentrations for these endemic octopods in this vulnerable habitat and their stable isotope values.</t>
  </si>
  <si>
    <t>[Lischka, A.; Braid, H.] Auckland Univ Technol, Sch Sci, AUT Lab Cephalopod Ecol &amp; Systemat, Private Bag 92006, Auckland 1142, New Zealand; [Bustamante, P.; Lacoue-Labarthe, T.] La Rochelle Univ, Littoral Environm &amp; Soc LIENSs, UMR 7266, CNRS, 2 Rue Olympe Gouges, F-17000 La Rochelle, France; [Bustamante, P.] Inst Univ France IUF, 1 Rue Descartes, F-75005 Paris, France; [Piatkowski, U.] Helmholtz Ctr Ocean Res Kiel, GEOMAR, Dusternbrooker Weg 20, D-24105 Kiel, Germany</t>
  </si>
  <si>
    <t>Auckland University of Technology; Centre National de la Recherche Scientifique (CNRS); CNRS - Institute of Ecology &amp; Environment (INEE); Institut Universitaire de France; Helmholtz Association; GEOMAR Helmholtz Center for Ocean Research Kiel</t>
  </si>
  <si>
    <t>Lischka, A (corresponding author), Auckland Univ Technol, Sch Sci, AUT Lab Cephalopod Ecol &amp; Systemat, Private Bag 92006, Auckland 1142, New Zealand.</t>
  </si>
  <si>
    <t>alischka@aut.ac.nz</t>
  </si>
  <si>
    <t>Bustamante, Paco/G-5833-2011</t>
  </si>
  <si>
    <t>Bustamante, Paco/0000-0003-3877-9390; Lischka, Alexandra/0000-0002-0419-1663</t>
  </si>
  <si>
    <t>Roche Lab; Auckland University of Technology; CPER (Contrat de Projet EtatRegion); FEDER (Fonds Europeen de Developpement Regional); IUF (Institut Universitaire de France)</t>
  </si>
  <si>
    <t>Roche Lab; Auckland University of Technology; CPER (Contrat de Projet EtatRegion); FEDER (Fonds Europeen de Developpement Regional)(European Union (EU)); IUF (Institut Universitaire de France)</t>
  </si>
  <si>
    <t>We thank the crewof the RV Polarstern (ANT-XXVIII/4) for sampling these precious specimens. We would also like to thank Christoph Noever and Felix Mark for species collection and identification. AL would like to thank VeroniqueMerten and Stella Scheer for their amazing help in taking tissue samples. We would like to thank the Roche Lab and the Auckland University of Technology for financing the barcoding in this study. The authors are grateful to Carine Churlaud and Maud Brault-Favrou from the Plateforme Analyses Elementaires of LIENSs for their support during the trace element analysis and to Gael Guillou from the Plateforme Analyses Isotopiques of LIENSs for running the stable isotope analysis. Thanks are due to the CPER (Contrat de Projet EtatRegion) and the FEDER (Fonds Europeen de Developpement Regional) for funding the ICPs, the AMA, and the IRMS of LIENSs laboratory. The IUF (Institut Universitaire de France) is acknowledged for its support to PB as a Senior Member.</t>
  </si>
  <si>
    <t>MAY 10</t>
  </si>
  <si>
    <t>10.1016/j.scitotenv.2020.144373</t>
  </si>
  <si>
    <t>QR7GZ</t>
  </si>
  <si>
    <t>Green Accepted, Green Submitted</t>
  </si>
  <si>
    <t>WOS:000625384700025</t>
  </si>
  <si>
    <t>Arnould-Pétré, M; Guillaumot, C; Danis, B; Féral, JP; Saucède, T</t>
  </si>
  <si>
    <t>Arnould-Petre, Margot; Guillaumot, Charlene; Danis, Bruno; Feral, Jean-Pierre; Saucede, Thomas</t>
  </si>
  <si>
    <t>Individual-based model of population dynamics in a sea urchin of the Kerguelen Plateau (Southern Ocean), Abatus cordatus, under changing environmental conditions</t>
  </si>
  <si>
    <t>ECOLOGICAL MODELLING</t>
  </si>
  <si>
    <t>Ecological modelling; Kerguelen; Climate change; Model sensitivity; Endemic echinoderm; Dynamic energy budget; Individual-based model</t>
  </si>
  <si>
    <t>COVARIATION METHOD; ECHINODERMATA; SEASONALITY; COMPETITION; PLASTICITY; PARAMETERS; ECHINOIDS; RESPONSES; HABITATS; GROWTH</t>
  </si>
  <si>
    <t>The Kerguelen Islands are part of the French Southern Territories, located at the limit of the Indian and Southern oceans. They are highly impacted by climate change, and coastal marine areas are particularly at risk. Assessing the responses of species and populations to environmental change is challenging in such areas for which ecological modelling can constitute a helpful approach. In the present work, a DEB-IBM model (Dynamic Energy Budget - Individual-Based Model) was generated to simulate and predict population dynamics in an endemic and common benthic species of shallow marine habitats of the Kerguelen Islands, the sea urchin Abatus cordatus. The model relies on a dynamic energy budget model (DEB) developed at the individual level. Upscaled to an individual-based population model (IBM), it then enables to model population dynamics through time as a result of individual physiological responses to environmental variations. The model was successfully built for a reference site to simulate the response of populations to variations in food resources and temperature. Then, it was implemented to model population dynamics at other sites and for the different IPCC climate change scenarios RCP 2.6 and 8.5. Under present-day conditions, models predict a more determinant effect of food resources on population densities, and on juvenile densities in particular, relative to temperature. In contrast, simulations predict a sharp decline in population densities under conditions of IPCC scenarios RCP 2.6 and RCP 8.5 with a determinant effect of water warming leading to the extinction of most vulnerable populations after a 30-year simulation time due to high mortality levels associated with peaks of high temperatures. Such a dynamic model is here applied for the first time to a Southern Ocean benthic and brooding species and offers interesting prospects for Antarctic and sub-Antarctic biodiversity research. It could constitute a useful tool to support conservation studies in these remote regions where access and bio-monitoring represent challenging issues.</t>
  </si>
  <si>
    <t>[Arnould-Petre, Margot; Guillaumot, Charlene; Saucede, Thomas] Univ Bourgogne Franche Comte, CNRS, UMR Biogeosci 6282, EPHE, 6 Bd Gabriel, F-21000 Dijon, France; [Guillaumot, Charlene; Danis, Bruno] Univ Libre Bruxelles, Lab Biol Marine, Ave FD Roosevelt 50,CP 160-15, B-1050 Brussels, Belgium; [Feral, Jean-Pierre] Aix Marseille Univ, IMBE Inst Mediterraneen Biol &amp; Ecol Marine &amp; Cont, CNRS, UMR 7263,IRD,UAPV,Stn Marine Endoume, Chemin Batterie Lions, F-13007 Marseille, France</t>
  </si>
  <si>
    <t>Centre National de la Recherche Scientifique (CNRS); Universite PSL; Ecole Pratique des Hautes Etudes (EPHE); Universite de Bourgogne; Universite Libre de Bruxelles; Aix-Marseille Universite; Centre National de la Recherche Scientifique (CNRS); Institut de Recherche pour le Developpement (IRD); CNRS - Institute of Ecology &amp; Environment (INEE); Avignon Universite</t>
  </si>
  <si>
    <t>Arnould-Pétré, M (corresponding author), Univ Bourgogne Franche Comte, CNRS, UMR Biogeosci 6282, EPHE, 6 Bd Gabriel, F-21000 Dijon, France.</t>
  </si>
  <si>
    <t>m.arnould-petre@nhm.ac.uk</t>
  </si>
  <si>
    <t>Danis, Bruno/AAS-8444-2021; FERAL, Jean-Pierre/N-1895-2018</t>
  </si>
  <si>
    <t>Danis, Bruno/0000-0002-9037-7623; Arnould-Petre, Margot Minju/0000-0002-2022-6037; FERAL, Jean-Pierre/0000-0001-7627-0160</t>
  </si>
  <si>
    <t>Belgian Science Policy Office (BELSPO) [BR/132/A1/vERSO, BR/154/A1/RECTO, 13]; French Foundation for Research on Biodiversity; FRB; Fonds pour la formation a la Recherche dans l'Industrie et l'Agriculture (FRIA); Bourse fondation de la mer grants</t>
  </si>
  <si>
    <t>Belgian Science Policy Office (BELSPO)(Belgian Federal Science Policy Office); French Foundation for Research on Biodiversity; FRB; Fonds pour la formation a la Recherche dans l'Industrie et l'Agriculture (FRIA)(Fonds de la Recherche Scientifique - FNRS); Bourse fondation de la mer grants</t>
  </si>
  <si>
    <t>The authors would like to thank Yoann Thomas and Cedric Bacher for their valuable advice during model construction, and Pierre Magniez for his contribution with data on A. cordatus reproduction strategies. The present work is a contribution to the IPEV programme PROTEKER (No. 1044) and the French LTER Zone ATelier Antarctique (ZATA). It is also contribution no. 39 to the vERSO project (www.versoproject.be), funded by the Belgian Science Policy Office (BELSPO, contract n. BR/132/A1/vERSO) and contribution no. 13 to the Refugia and Ecosystem Tolerance in the Southern Ocean project (RECTO; BR/154/A1/RECTO) funded by the Belgian Science Policy Office (BELSPO). M A-P was supported by the French Foundation for Research on Biodiversity and its partners (FRB - www.fondationbiodiversite.fr). This work was supported by a Fonds pour la formation a la Recherche dans l'Industrie et l'Agriculture (FRIA) and Bourse fondation de la mer grants to CG.</t>
  </si>
  <si>
    <t>0304-3800</t>
  </si>
  <si>
    <t>1872-7026</t>
  </si>
  <si>
    <t>ECOL MODEL</t>
  </si>
  <si>
    <t>Ecol. Model.</t>
  </si>
  <si>
    <t>JAN 15</t>
  </si>
  <si>
    <t>10.1016/j.ecolmodel.2020.109352</t>
  </si>
  <si>
    <t>Ecology</t>
  </si>
  <si>
    <t>PY4US</t>
  </si>
  <si>
    <t>Green Published, hybrid, Green Submitted</t>
  </si>
  <si>
    <t>WOS:000612041700005</t>
  </si>
  <si>
    <t>Lopes, RP; Bonetti, C; dos Santos, GS; Pivel, MAG; Petró, SM; Caron, F; Bonetti, J</t>
  </si>
  <si>
    <t>Lopes, Renato Pereira; Bonetti, Carla; dos Santos, Gilberto Silveira; Gomez Pivel, Maria Alejandra; Petro, Sandro Monticelli; Caron, Felipe; Bonetti, Jarbas</t>
  </si>
  <si>
    <t>Late Pleistocene sediment accumulation in the lower slope off the Rio Grande terrace, southern Brazilian Continental Margin</t>
  </si>
  <si>
    <t>QUATERNARY INTERNATIONAL</t>
  </si>
  <si>
    <t>Quaternary; Southwestern Atlantic; Pelotas basin; Mineralogy; Stable isotopes; Paleoceanography</t>
  </si>
  <si>
    <t>ATLANTIC DEEP-WATER; ANTARCTIC CIRCUMPOLAR CURRENT; BENTHIC FORAMINIFERA; NORTH-ATLANTIC; SEA-LEVEL; DOME-C; TERRIGENOUS SEDIMENT; EQUATORIAL PACIFIC; OCEAN CIRCULATION; MARINE-SEDIMENTS</t>
  </si>
  <si>
    <t>Here are described the analyses of sediments from the lower slope of the Pelotas Basin in the southern Brazilian continental margin, southwestern Atlantic. The samples were obtained from the core SIS-249, collected adjacent to the Rio Grande Terrace (RGT) at a water depth of 2091 m, an area poorly known in terms of sedimentary characteristics compared to the oil and gas-rich basins to the north. The age model indicates that the sampled sediments were accumulated during the last glacial period, between 112.5 and 34.47 ka (MIS 5 to MIS 3). The fine (&lt;63 mu m) fraction is dominated by silt with subordinate clay, whereas the coarse (sandy) fraction is chiefly composed of biogenic carbonate (tests of foraminifers) with subordinate very fine (63-125 mu m) lithogenic sand. The composition of the lithogenic sand is essentially uniform downcore, dominated by quartz with glaucony as the dominant accessory mineral, and the presence of augite, derived from Mesozoic volcanic rocks, points to a source from the adjacent coastal plain. The uniform mineral composition indicates continuous input of sediments removed from the RGT by action of the Brazil Current (BC) and transferred to the lower slope by gravity flows. The higher proportion of lithogenic sand from the upper RGT along the intervals corresponding to MIS 5 and MIS 3 points to erosion of the terrace due to a more landward position of the BC, related to sea-level highstand and falling stage tracts. The higher amount of silt along the MIS 4 interval suggests increased transfer of sediments from the flanks of the RGT as the result of a more downslope position of the BC driven by the sea-level lowstand. Winnowing of the sortable silt fraction during MIS 5 and 3 points to influence of the southward-flowing North Atlantic Deep Water (NADW). The higher estimated accumulation rates and less negative peaks of delta C-13 in benthic foraminifers Uvigerina peregrina during MIS 4 could have been caused by oscillations of water masses with distinct isotopic compositions, but also by increased burial and decomposition of organic matter as a result of high ocean surface primary productivity, indicated by the correspondence between the delta C-13 oscillations and higher accumulation rates and proportion of biogenic sand in the core. Higher productivity was apparently driven by episodes of increased eolian transport of dust from Patagonia and central-western Argentina in milenial timescales, coeval with oscillations in strength and position of the southern westerly winds (SWW) system.</t>
  </si>
  <si>
    <t>[Lopes, Renato Pereira; Bonetti, Carla; Bonetti, Jarbas] Univ Fed Santa Catarina LOC UFSC, Ctr Ciencias Fis &amp; Matemat, Lab Oceanog Costeira, Servidao Coroas 503, BR-88061600 Florianopolis, SC, Brazil; [dos Santos, Gilberto Silveira; Gomez Pivel, Maria Alejandra] Univ Fed Rio Grande do Sul, Inst Geociencias, Ctr Estudos Geol Costeira &amp; Ocean, Av Bento Goncalves 9500, BR-91501970 Porto Alegre, RS, Brazil; [Gomez Pivel, Maria Alejandra; Petro, Sandro Monticelli] Univ Fed Rio Grande do Sul, Inst Geociencias, Dept Paleontol &amp; Estratig, Av Bento Goncalves 9500, BR-91501970 Porto Alegre, RS, Brazil; [Petro, Sandro Monticelli] Univ Vale Rio dos Sinos, Inst Tecnol Micropaleontol, ITT FOSSIL, Av UNISINOS 950, BR-93022750 Sao Leopoldo, RS, Brazil; [Caron, Felipe] Univ Fed Rio Grande do Sul, Ctr Estudos Costeiros Limnol &amp; Marinhos, Campus Litoral,Av Tramandai 976, BR-95625000 Imbe, RS, Brazil</t>
  </si>
  <si>
    <t>Universidade Federal do Rio Grande do Sul; Universidade Federal do Rio Grande do Sul; Universidade do Vale do Rio dos Sinos (Unisinos); Universidade Federal do Rio Grande do Sul</t>
  </si>
  <si>
    <t>Lopes, RP (corresponding author), Univ Fed Rio Grande do Sul, Inst Geociencias, Ave Bento Goncalves 9500,Caixa Postal 15001, BR-91501970 Porto Alegre, RS, Brazil.</t>
  </si>
  <si>
    <t>paleonto_furg@yahoo.com.br; carla.bonetti@ufsc.br; gilberto.silveira@ufrgs.br; maria.pivel@ufrgs.br; sandro.m.petro@gmail.com; felipe.caron@ufrgs.br; jarbas.bonetti@ufsc.br</t>
  </si>
  <si>
    <t>Petró, Sandro Monticelli/U-4078-2019; Bonetti, Jarbas/M-4140-2019; Lopes, Renato Pereira/AFQ-4934-2022; Pivel, Maria A G/F-5594-2013</t>
  </si>
  <si>
    <t>Petró, Sandro Monticelli/0000-0001-8452-9689; Bonetti, Jarbas/0000-0003-4564-251X; Lopes, Renato Pereira/0000-0002-4865-6426; Pivel, Maria A G/0000-0003-3226-8047; Bonetti, Carla/0000-0001-7670-1039</t>
  </si>
  <si>
    <t>IODP/CAPES (International Ocean Discovery Program/Coordenacao de Aperfeicoamento de Pessoal de Nivel Superior) research program [88887.091728/2014-01]; Brazilian Conselho Nacional de Desenvolvimento Cientifico e Tecnologico (CNPq) [307797/2016-3]</t>
  </si>
  <si>
    <t>IODP/CAPES (International Ocean Discovery Program/Coordenacao de Aperfeicoamento de Pessoal de Nivel Superior) research program; Brazilian Conselho Nacional de Desenvolvimento Cientifico e Tecnologico (CNPq)(Conselho Nacional de Desenvolvimento Cientifico e Tecnologico (CNPQ))</t>
  </si>
  <si>
    <t>This research was funded by a postdoctoral grant (Process no. 88887.091728/2014-01) to R.P. Lopes provided by the joint IODP/CAPES (International Ocean Discovery Program/Coordenacao de Aperfeicoamento de Pessoal de Nivel Superior) research program (Process no. 88887.091728/2014-01). Jarbas Bonetti is a Research Fellow of the Brazilian Conselho Nacional de Desenvolvimento Cientifico e Tecnologico (CNPq, Grant no. 307797/2016-3).</t>
  </si>
  <si>
    <t>1040-6182</t>
  </si>
  <si>
    <t>1873-4553</t>
  </si>
  <si>
    <t>QUATERN INT</t>
  </si>
  <si>
    <t>Quat. Int.</t>
  </si>
  <si>
    <t>JAN 10</t>
  </si>
  <si>
    <t>10.1016/j.quaint.2020.12.022</t>
  </si>
  <si>
    <t>PY5YW</t>
  </si>
  <si>
    <t>WOS:000612120800001</t>
  </si>
  <si>
    <t>Ogundare, MO; Fransson, A; Chierici, M; Joubert, WR; Roychoudhury, AN</t>
  </si>
  <si>
    <t>Ogundare, Margaret Ojone; Fransson, Agneta; Chierici, Melissa; Joubert, Warren R.; Roychoudhury, Alakendra N.</t>
  </si>
  <si>
    <t>Variability of Sea-Air Carbon Dioxide Flux in Autumn Across the Weddell Gyre and Offshore Dronning Maud Land in the Southern Ocean</t>
  </si>
  <si>
    <t>chlorophyll; Antarctic coast; Maud Rise; Astrid Ridge; sea ice; oxygen saturation</t>
  </si>
  <si>
    <t>ANTARCTIC CIRCUMPOLAR CURRENT; EASTERN ATLANTIC SECTOR; CO2 FLUXES; SURFACE OCEAN; ANTHROPOGENIC CARBON; SEASONAL CYCLE; WATERS WEST; OXYGEN; SUMMER; DYNAMICS</t>
  </si>
  <si>
    <t>Sea surface fugacity of carbon dioxide (fCO(2)ssw) was measured across the Weddell gyre and the eastern sector in the Atlantic Southern Ocean in autumn. During the occupation between February and April 2019, the region of the study transect was a potential ocean CO2 sink. A net CO2 flux (FCO2) of -6.2 (+/- 8; sink) mmol m(-2) d(-1) was estimated for the entire study region, with the largest average CO2 sink of -10.0 (+/- 8) mmol m(-2) d(-1) in the partly ice-covered Astrid Ridge (AR) region near the coast at 68 degrees S and -6.1 (+/- 8) mmol m(-2)d(-1) was observed in the Maud Rise (MR) region. A CO2 sink was also observed south of 66 degrees S in the Weddell Sea (WS). To assess the main drivers describing the variability of fCO(2)ssw, a correlation model using fCO(2) and oxygen saturation was considered. Spatial distributions of the fCO(2) saturation/O-2 saturation correlations, described relative to the surface water properties of the controlling variables (chlorophyll a, apparent oxygen utilization (AOU), sea surface temperature, and sea surface salinity) further constrained the interplay of the processes driving the fCO(2)ssw distributions. Photosynthetic CO2 drawdown significantly offsets the influence of the upwelling of CO2-rich waters in the central Weddell gyre and enhanced the CO2 sink in the region. FCO2 of -6.9 mmol m(-2) d(-1) estimated for the Weddell gyre in this study was different from FCO2 of -2.5 mmol m(-2) d(-1) in autumn estimated in a previous study. Due to low CO2 data coverage during autumn, limited sea-air CO2 flux estimates from direct sea-surface CO2 observations particularly for the Weddell gyre region are available with which to compare the values estimated in this study. This highlights the importance of increasing seasonal CO2 observations especially during autumn/winter to improving the seasonal coverage of flux estimates in the seasonal sea ice-covered regions of the Southern Ocean.</t>
  </si>
  <si>
    <t>[Ogundare, Margaret Ojone; Roychoudhury, Alakendra N.] Stellenbosch Univ, Dept Earth Sci, Stellenbosch, South Africa; [Ogundare, Margaret Ojone] Fed Univ Technol Akure, Dept Marine Sci &amp; Technol, Akure, Nigeria; [Fransson, Agneta] Norwegian Polar Res Inst, Fram Ctr, Tromso, Norway; [Chierici, Melissa] Inst Marine Res, Fram Ctr, Tromso, Norway; [Joubert, Warren R.] South African Weather Serv, Stellenbosch, South Africa</t>
  </si>
  <si>
    <t>Stellenbosch University; Norwegian Polar Institute; Institute of Marine Research - Norway; South African Weather Service (SAWS)</t>
  </si>
  <si>
    <t>Roychoudhury, AN (corresponding author), Stellenbosch Univ, Dept Earth Sci, Stellenbosch, South Africa.</t>
  </si>
  <si>
    <t>roy@sun.ac.za</t>
  </si>
  <si>
    <t>Research Council of Norway (RCN) [288370]; National Research Foundation, South Africa [UID 118715]; NRF SANAP [UID 110715]; Tertiary Education Trust Fund (TETFund) Nigeria; Fram Centre flagship research program Ocean acidification and ecosystem effects in Northern waters at the FRAM-High North Research Centre for Climate and the Environment; Norwegian Ministry of Foreign Affairs; Integrated Carbon Observing System (ICOS)</t>
  </si>
  <si>
    <t>Research Council of Norway (RCN)(Research Council of Norway); National Research Foundation, South Africa(National Research Foundation - South Africa); NRF SANAP; Tertiary Education Trust Fund (TETFund) Nigeria; Fram Centre flagship research program Ocean acidification and ecosystem effects in Northern waters at the FRAM-High North Research Centre for Climate and the Environment; Norwegian Ministry of Foreign Affairs; Integrated Carbon Observing System (ICOS)</t>
  </si>
  <si>
    <t>The study was funded by the Research Council of Norway (RCN) project number 288370 and National Research Foundation, South Africa (Grant UID 118715) for the SANOCEAN Norway-South Africa collaboration project Southern Ocean phytoplankton community characteristics, primary production, CO2 flux and the effects of climate change (SOPHY-CO2). Ph.D. bursary to MO was provided through NRF SANAP (Grant UID 110715) grant to AR and by Tertiary Education Trust Fund (TETFund) Nigeria. AF and MC were partly funded by the Fram Centre flagship research program Ocean acidification and ecosystem effects in Northern waters at the FRAM-High North Research Centre for Climate and the Environment. The Southern Ocean Ecosystem cruise with RV Kronprins Haakon was arranged by the Norwegian Polar Institute, with additional financial support from the Norwegian Ministry of Foreign Affairs. Measurements and data quality control were partly funded by the Integrated Carbon Observing System (ICOS).</t>
  </si>
  <si>
    <t>10.3389/fmars.2020.614263</t>
  </si>
  <si>
    <t>PY9KH</t>
  </si>
  <si>
    <t>WOS:000612359000001</t>
  </si>
  <si>
    <t>O'Neill, CM; Hogg, AM; Ellwood, MJ; Opdyke, BN; Eggins, SM</t>
  </si>
  <si>
    <t>O'Neill, Cameron M.; Hogg, Andrew McC; Ellwood, Michael J.; Opdyke, Bradley N.; Eggins, Stephen M.</t>
  </si>
  <si>
    <t>Sequential changes in ocean circulation and biological export productivity during the last glacial-interglacial cycle: a model-data study</t>
  </si>
  <si>
    <t>CLIMATE OF THE PAST</t>
  </si>
  <si>
    <t>ANTARCTIC SEA-ICE; EQUATORIAL PACIFIC PRODUCTIVITY; CARBONATE ION CONCENTRATIONS; WESTERN TROPICAL PACIFIC; ATMOSPHERIC CO2; SOUTHERN-OCEAN; DEEP-OCEAN; OVERTURNING CIRCULATION; TERRESTRIAL BIOSPHERE; IRON FERTILIZATION</t>
  </si>
  <si>
    <t>We conduct a model-data analysis of the marine carbon cycle to understand and quantify the drivers of atmospheric CO2 concentration during the last glacial-interglacial cycle. We use a carbon cycle box model, SCP-M, combined with multiple proxy data for the atmosphere and ocean, to test for variations in ocean circulation and Southern Ocean biological export productivity across marine isotope stages spanning 130 000 years ago to the present. The model is constrained by proxy data associated with a range of environmental conditions including sea surface temperature, salinity, ocean volume, sea-ice cover and shallow-water carbonate production. Model parameters for global ocean circulation, Atlantic meridional overturning circulation and Southern Ocean biological export productivity are optimized in each marine isotope stage against proxy data for atmospheric CO2, delta C-13 and Delta C-14 and deep-ocean delta C-13, Delta C-14 and CO32-. Our model-data results suggest that global overturning circulation weakened during Marine Isotope Stage 5d, coincident with a similar to 25 ppm fall in atmospheric CO2 from the last interglacial period. There was a transient slowdown in Atlantic meridional overturning circulation during Marine Isotope Stage 5b, followed by a more pronounced slowdown and enhanced Southern Ocean biological export productivity during Marine Isotope Stage 4 (similar to -30 ppm). In this model, the Last Glacial Maximum was characterized by relatively weak global ocean and Atlantic meridional overturning circulation and increased Southern Ocean biological export productivity (similar to -20 ppm during MIS 3 and MIS 2). Ocean circulation and Southern Ocean biological export productivity returned to modern values by the Holocene period. The terrestrial biosphere decreased by 385 Pg C in the lead-up to the Last Glacial Maximum, followed by a period of intense regrowth during the last glacial termination and the Holocene (similar to 600 Pg C). Slowing ocean circulation, a colder ocean and to a lesser extent shallow carbonate dissolution contributed similar to -70 ppm to atmospheric CO2 in the similar to 100 000-year leadup to the Last Glacial Maximum, with a further similar to -15 ppm contributed during the glacial maximum. Our model results also suggest that an increase in Southern Ocean biological export productivity was one of the ingredients required to achieve the Last Glacial Maximum atmospheric CO2 level. We find that the incorporation of glacial-interglacial proxy data into a simple quantitative ocean transport model provides useful insights into the timing of past changes in ocean processes, enhancing our understanding of the carbon cycle during the last glacial-interglacial period.</t>
  </si>
  <si>
    <t>[O'Neill, Cameron M.; Hogg, Andrew McC; Ellwood, Michael J.; Opdyke, Bradley N.; Eggins, Stephen M.] Australian Natl Univ, Res Sch Earth Sci, Canberra, ACT, Australia; [Hogg, Andrew McC] Australian Natl Univ, ARC Ctr Excellence Climate Extremes, Canberra, ACT, Australia</t>
  </si>
  <si>
    <t>Australian National University; Australian National University</t>
  </si>
  <si>
    <t>O'Neill, CM (corresponding author), Australian Natl Univ, Res Sch Earth Sci, Canberra, ACT, Australia.</t>
  </si>
  <si>
    <t>cameron.oneill@anu.edu.au</t>
  </si>
  <si>
    <t>Hogg, Andy/AAZ-8733-2021; Ellwood, Michael J/G-7390-2011; Hogg, Andy McC./A-7553-2011</t>
  </si>
  <si>
    <t>Hogg, Andy/0000-0001-5898-7635; Hogg, Andy McC./0000-0001-5898-7635; Ellwood, Michael/0000-0003-4288-8530</t>
  </si>
  <si>
    <t>1814-9324</t>
  </si>
  <si>
    <t>1814-9332</t>
  </si>
  <si>
    <t>CLIM PAST</t>
  </si>
  <si>
    <t>Clim. Past.</t>
  </si>
  <si>
    <t>10.5194/cp-17-171-2021</t>
  </si>
  <si>
    <t>Geosciences, Multidisciplinary; Meteorology &amp; Atmospheric Sciences</t>
  </si>
  <si>
    <t>Geology; Meteorology &amp; Atmospheric Sciences</t>
  </si>
  <si>
    <t>PX4YG</t>
  </si>
  <si>
    <t>WOS:000611361500002</t>
  </si>
  <si>
    <t>Lunt, DJ; Bragg, F; Chan, WL; Hutchinson, DK; Ladant, JB; Morozova, P; Niezgodzki, I; Steinig, S; Zhang, ZS; Zhu, J; Abe-Ouchi, A; Anagnostou, E; de Boer, AM; Coxall, HK; Donnadieu, Y; Foster, G; Inglis, GN; Knorr, G; Langebroek, PM; Lear, CH; Lohmann, G; Poulsen, CJ; Sepulchre, P; Tierney, JE; Valdes, PJ; Volodin, EM; Jones, TD; Hollis, CJ; Huber, M; Otto-Bliesner, BL</t>
  </si>
  <si>
    <t>Lunt, Daniel J.; Bragg, Fran; Chan, Wing-Le; Hutchinson, David K.; Ladant, Jean-Baptiste; Morozova, Polina; Niezgodzki, Igor; Steinig, Sebastian; Zhang, Zhongshi; Zhu, Jiang; Abe-Ouchi, Ayako; Anagnostou, Eleni; de Boer, Agatha M.; Coxall, Helen K.; Donnadieu, Yannick; Foster, Gavin; Inglis, Gordon N.; Knorr, Gregor; Langebroek, Petra M.; Lear, Caroline H.; Lohmann, Gerrit; Poulsen, Christopher J.; Sepulchre, Pierre; Tierney, Jessica E.; Valdes, Paul J.; Volodin, Evgeny M.; Jones, Tom Dunkley; Hollis, Christopher J.; Huber, Matthew; Otto-Bliesner, Bette L.</t>
  </si>
  <si>
    <t>DeepMIP: model intercomparison of early Eocene climatic optimum (EECO) large-scale climate features and comparison with proxy data</t>
  </si>
  <si>
    <t>EARTH SYSTEM MODEL; LAST GLACIAL MAXIMUM; OCEAN CIRCULATION CHANGES; MID-PLIOCENE CLIMATE; THERMAL MAXIMUM; SURFACE-TEMPERATURE; EXPERIMENTAL-DESIGN; ICE-FREE; PART I; SENSITIVITY</t>
  </si>
  <si>
    <t>We present results from an ensemble of eight climate models, each of which has carried out simulations of the early Eocene climate optimum (EECO, similar to 50 million years ago). These simulations have been carried out in the framework of the Deep-Time Model Intercomparison Project (DeepMIP; http://www.deepmip.org , last access: 10 January 2021); thus, all models have been configured with the same paleogeographic and vegetation boundary conditions. The results indicate that these non-CO2 boundary conditions contribute between 3 and 5 degrees C to Eocene warmth. Compared with results from previous studies, the DeepMIP simulations generally show a reduced spread of the global mean surface temperature response across the ensemble for a given atmospheric CO2 concentration as well as an increased climate sensitivity on average. An energy balance analysis of the model ensemble indicates that global mean warming in the Eocene compared with the preindustrial period mostly arises from decreases in emissivity due to the elevated CO2 concentration (and associated water vapour and long-wave cloud feedbacks), whereas the reduction in the Eocene in terms of the meridional temperature gradient is primarily due to emissivity and albedo changes owing to the non-CO2 boundary conditions (i.e. the removal of the Antarctic ice sheet and changes in vegetation). Three of the models (the Community Earth System Model, CESM; the Geophysical Fluid Dynamics Laboratory, GFDL, model; and the Norwegian Earth System Model, NorESM) show results that are consistent with the proxies in terms of the global mean temperature, meridional SST gradient, and CO2, without prescribing changes to model parameters. In addition, many of the models agree well with the first-order spatial patterns in the SST proxies. However, at a more regional scale, the models lack skill. In particular, the modelled anomalies are substantially lower than those indicated by the proxies in the southwest Pacific; here, modelled continental surface air temperature anomalies are more consistent with surface air temperature proxies, implying a possible inconsistency between marine and terrestrial temperatures in either the proxies or models in this region. Our aim is that the documentation of the large-scale features and model-data comparison presented herein will pave the way to further studies that explore aspects of the model simulations in more detail, for example the ocean circulation, hydrological cycle, and modes of variability, and encourage sensitivity studies to aspects such as paleogeography, orbital configuration, and aerosols.</t>
  </si>
  <si>
    <t>[Lunt, Daniel J.; Bragg, Fran; Steinig, Sebastian; Valdes, Paul J.] Univ Bristol, Sch Geog Sci, Bristol, Avon, England; [Chan, Wing-Le; Abe-Ouchi, Ayako] Univ Tokyo, Atmosphere &amp; Ocean Res Inst, Tokyo, Japan; [Hutchinson, David K.; de Boer, Agatha M.; Coxall, Helen K.] Stockholm Univ, Dept Geol Sci, Stockholm, Sweden; [Ladant, Jean-Baptiste; Zhu, Jiang; Poulsen, Christopher J.] Univ Michigan, Dept Earth &amp; Environm Sci, Ann Arbor, MI 48109 USA; [Morozova, Polina] Russian Acad Sci, Inst Geog, Moscow, Russia; [Niezgodzki, Igor; Knorr, Gregor; Lohmann, Gerrit] Helmholtz Ctr Polar &amp; Marine Res, Alfred Wegener Inst, Bremerhaven, Germany; [Niezgodzki, Igor] Polish Acad Sci, Res Ctr Krakow, ING PAN Inst Geol Sci, Biogeosyst Modelling Grp, Krakow, Poland; [Zhang, Zhongshi; Langebroek, Petra M.] Bjerknes Ctr Climate Res, NORCE Norwegian Res Ctr, Bergen, Norway; [Zhang, Zhongshi] China Univ Geosci, Sch Environm Studies, Dept Atmospher Sci, Wuhan, Peoples R China; [Anagnostou, Eleni] GEOMAR Helmholtz Ctr Ocean Res Kiel, Kiel, Germany; [Donnadieu, Yannick] Aix Marseille Univ, Coll France, CNRS, IRD,INRA,CEREGE, Aix En Provence, France; [Foster, Gavin; Inglis, Gordon N.] Univ Southampton, Natl Oceanog Ctr Southampton, Sch Ocean &amp; Earth Sci, Southampton, Hants, England; [Lear, Caroline H.] Cardiff Univ, Sch Earth &amp; Environm Sci, Cardiff, Wales; [Sepulchre, Pierre] Univ Paris Saclay, Lab Sci Climat &amp; Environm, LSCE IPSL, CEA CNRS UVSQ, Gif Sur Yvette, France; [Tierney, Jessica E.] Univ Arizona, Dept Geosci, Tucson, AZ 85721 USA; [Volodin, Evgeny M.] Russian Acad Sci, Marchuk Inst Numer Math, Moscow, Russia; [Jones, Tom Dunkley] Univ Birmingham, Sch Geog Earth &amp; Environm Sci, Birmingham, W Midlands, England; [Hollis, Christopher J.] GNS Sci, Surface Geosci, Lower Hutt, New Zealand; [Huber, Matthew] Purdue Univ, Dept Earth Atmospher &amp; Planetary Sci, W Lafayette, IN 47907 USA; [Otto-Bliesner, Bette L.] Natl Ctr Atmospher Res, Climate &amp; Global Dynam Lab, POB 3000, Boulder, CO 80307 USA</t>
  </si>
  <si>
    <t>University of Bristol; University of Tokyo; Stockholm University; University of Michigan System; University of Michigan; Russian Academy of Sciences; Institute of Geography, Russian Academy of Sciences; Helmholtz Association; Alfred Wegener Institute, Helmholtz Centre for Polar &amp; Marine Research; Polish Academy of Sciences; Institute of Geological Sciences of the Polish Academy of Sciences; Bjerknes Centre for Climate Research; Norwegian Research Centre (NORCE); China University of Geosciences; Helmholtz Association; GEOMAR Helmholtz Center for Ocean Research Kiel; INRAE; Centre National de la Recherche Scientifique (CNRS); Aix-Marseille Universite; Universite PSL; College de France; Institut de Recherche pour le Developpement (IRD); University of Southampton; NERC National Oceanography Centre; Cardiff University; Universite Paris Cite; CEA; Centre National de la Recherche Scientifique (CNRS); Universite Paris Saclay; University of Arizona; Russian Academy of Sciences; University of Birmingham; GNS Science - New Zealand; Purdue University System; Purdue University; National Center Atmospheric Research (NCAR) - USA</t>
  </si>
  <si>
    <t>Lunt, DJ (corresponding author), Univ Bristol, Sch Geog Sci, Bristol, Avon, England.</t>
  </si>
  <si>
    <t>d.j.lunt@bristol.ac.uk</t>
  </si>
  <si>
    <t>Zhang, Zhongshi/ADE-5510-2022; Zhang, zs/GXN-3521-2022; Morozova, Polina A./A-3471-2014; Abe-Ouchi, Ayako A/M-6359-2013; Foster, Gavin/W-5968-2019; Chan, Wing-Le/X-3976-2019; Zhu, Jiang/H-6040-2011; De Boer, Agatha M/H-4202-2012; Langebroek, Petra M/K-2076-2014; Sepulchre, Pierre/Q-2006-2017; Hutchinson, David/F-4564-2016; Foster, Gavin/CAF-4654-2022; anagnostou, eleni/AAH-2618-2021; zhang, zhi/HPH-4905-2023; Lear, Caroline H/D-2582-2009; Huber, Matthew/A-7677-2008; Poulsen, Christopher J/C-6213-2009; Dunkley Jones, Tom/A-8441-2008; Lunt, Daniel/G-9451-2011; Bragg, Fran/C-6198-2015; donnadieu, yannick/G-7546-2016</t>
  </si>
  <si>
    <t>Zhang, Zhongshi/0000-0002-2354-1622; Abe-Ouchi, Ayako A/0000-0003-1745-5952; Chan, Wing-Le/0000-0002-5646-6104; Zhu, Jiang/0000-0002-0908-5130; Hutchinson, David/0000-0001-9385-4782; Foster, Gavin/0000-0003-3688-9668; anagnostou, eleni/0000-0002-7200-4794; Huber, Matthew/0000-0002-2771-9977; Dunkley Jones, Tom/0000-0002-9518-8143; Lunt, Daniel/0000-0003-3585-6928; Bragg, Fran/0000-0002-8179-4214; Steinig, Sebastian/0000-0003-3700-1106; Coxall, Helen/0000-0002-2843-2898; donnadieu, yannick/0000-0002-7315-2684; Inglis, Gordon/0000-0002-0032-4668; Hollis, Christopher John/0000-0001-8840-9852; Morozova, Polina/0000-0001-5959-7452; Valdes, Paul/0000-0002-1902-3283</t>
  </si>
  <si>
    <t>NERC [NE/P01903X/1]; NERC [NE/P013112/1, NE/N006828/1, NE/P01903X/1] Funding Source: UKRI</t>
  </si>
  <si>
    <t>NERC(UK Research &amp; Innovation (UKRI)Natural Environment Research Council (NERC)); NERC(UK Research &amp; Innovation (UKRI)Natural Environment Research Council (NERC))</t>
  </si>
  <si>
    <t>This research has been supported by the NERC (grant no. NE/P01903X/1).</t>
  </si>
  <si>
    <t>10.5194/cp-17-203-2021</t>
  </si>
  <si>
    <t>Y</t>
  </si>
  <si>
    <t>N</t>
  </si>
  <si>
    <t>WOS:000611361500003</t>
  </si>
  <si>
    <t>Tesche, M; Achtert, P; Pitts, MC</t>
  </si>
  <si>
    <t>Tesche, Matthias; Achtert, Peggy; Pitts, Michael C.</t>
  </si>
  <si>
    <t>On the best locations for ground-based polar stratospheric cloud (PSC) observations</t>
  </si>
  <si>
    <t>LIDAR MEASUREMENTS; OZONE DEPLETION; DUMONT DURVILLE; CLIMATOLOGY; ALGORITHM; ESRANGE</t>
  </si>
  <si>
    <t>Spaceborne observations of polar stratospheric clouds (PSCs) with the Cloud-Aerosol Lldar with Orthogonal Polarization (CALIOP) aboard the Cloud-Aerosol Lidar and Infrared Pathfinder Satellite Observations (CALIPSO) satellite provide a comprehensive picture of the occurrence of Arctic and Antarctic PSCs as well as their microphysical properties. However, advances in understanding PSC microphysics also require measurements with ground-based instruments, which are often superior to CALIOP in terms of, for example, time resolution, measured parameters, and signal-to-noise ratio. This advantage is balanced by the location of ground-based PSC observations and their dependence on tropospheric cloudiness. CALIPSO observations during the boreal winters from December 2006 to February 2018 and the austral winters 2012 and 2015 are used to assess the effect of tropospheric cloudiness and other measurement-inhibiting factors on the representativeness of ground-based PSC observations with lidar in the Arctic and Antarctic, respectively. Information on tropospheric and stratospheric clouds from the CALIPSO Cloud Profile product (05kmCPro version 4.10) and the CALIPSO polar stratospheric cloud mask version 2, respectively, is combined on a profile-by-profile basis to identify conditions under which a ground-based lidar is likely to perform useful measurements for the analysis of PSC occurrence. It is found that the location of a ground-based measurement together with the related tropospheric cloudiness can have a profound impact on the derived PSC statistics and that these findings are rarely in agreement with polewide results from CALIOP observations. Considering the current polar research infrastructure, it is concluded that the most suitable sites for the expansion of capabilities for ground-based lidar observations of PSCs are Summit and Villum in the Arctic and Mawson, Troll, and Vostok in the Antarctic.</t>
  </si>
  <si>
    <t>[Tesche, Matthias] Univ Leipzig, Leipzig Inst Meteorol LIM, Stephanstr 3, D-04103 Leipzig, Germany; [Achtert, Peggy] German Weather Serv DWD, Meteorol Observ Hohenpeissenberg, Offenbach, Germany; [Pitts, Michael C.] NASA, Langley Res Ctr, Hampton, VA 23681 USA</t>
  </si>
  <si>
    <t>Leipzig University; Deutscher Wetterdienst; National Aeronautics &amp; Space Administration (NASA); NASA Langley Research Center</t>
  </si>
  <si>
    <t>Tesche, M (corresponding author), Univ Leipzig, Leipzig Inst Meteorol LIM, Stephanstr 3, D-04103 Leipzig, Germany.</t>
  </si>
  <si>
    <t>matthias.tesche@uni-leipzig.de</t>
  </si>
  <si>
    <t>Tesche, Matthias/S-6848-2019</t>
  </si>
  <si>
    <t>Tesche, Matthias/0000-0003-0096-4785; Achtert, Peggy/0000-0003-0156-5276</t>
  </si>
  <si>
    <t>Franco-German Fellowship Programme on Climate, Energy, and Earth System Research (Make Our Planet Great Again -German Research Initiative, MOPGA-GRI) of the German Academic Exchange Service (DAAD) - German Ministry of Education and Research [57429422]</t>
  </si>
  <si>
    <t>Franco-German Fellowship Programme on Climate, Energy, and Earth System Research (Make Our Planet Great Again -German Research Initiative, MOPGA-GRI) of the German Academic Exchange Service (DAAD) - German Ministry of Education and Research</t>
  </si>
  <si>
    <t>This work was supported by the Franco-German Fellowship Programme on Climate, Energy, and Earth System Research (Make Our Planet Great Again -German Research Initiative, MOPGA-GRI, grant number 57429422) of the German Academic Exchange Service (DAAD), funded by the German Ministry of Education and Research.</t>
  </si>
  <si>
    <t>10.5194/acp-21-505-2021</t>
  </si>
  <si>
    <t>PX4WO</t>
  </si>
  <si>
    <t>WOS:000611357100001</t>
  </si>
  <si>
    <t>Laborie, J; Christiansen, F; Beedholm, K; Madsen, PT; Heerah, K</t>
  </si>
  <si>
    <t>Laborie, Joris; Christiansen, Fredrik; Beedholm, Kristian; Madsen, Peter Teglberg; Heerah, Karine</t>
  </si>
  <si>
    <t>Behavioural impact assessment of unmanned aerial vehicles on Weddell seals (Leptonychotes weddellii)</t>
  </si>
  <si>
    <t>JOURNAL OF EXPERIMENTAL MARINE BIOLOGY AND ECOLOGY</t>
  </si>
  <si>
    <t>Pinnipeds; Drone disturbance; Marine mammals; Noise exposure; Behaviour; Antarctica</t>
  </si>
  <si>
    <t>SOUTHERN ELEPHANT SEALS; MIROUNGA-LEONINA; SHOW; IMMOBILIZATION; DISTURBANCE; STRATEGIES; ABUNDANCE; ECOLOGY; SYSTEM; DRONES</t>
  </si>
  <si>
    <t>The rapid increase in the use of unmanned aerial vehicles (UAVs) in wildlife research has raised concerns about its potential negative impact on animals. The paucity of studies and the variability of responses of pinnipeds to UAVs prompts the need for species-specific impact assessments. Here we assessed the potential behavioural impact of low altitude UAVs on Weddell seals (Leptonychotes weddellii). This is a preliminary step to envisage the feasibility of replacing and/or complementing traditional ground-based behavioural and morphometric measurements by potentially less invasive UAV aerial images. We flew a small UAV (DJI Mavic 2 zoom fitted with a phocid seal audiogram weighted source level of 84 dB re 20 mu Pa (rms)) over 37 Weddell seals (3 adult males, 12 adult females and 22 mother-pup pairs) during the breeding season at Dumont D'Urville, East Antarctica. For each individual, we assessed the level of reaction during UAV overflights at three altitudes (25, 20 and 15 m) while factoring in pup presence and wind speed. For all altitudes and observations pooled together, Weddell seals predominantly (88%) showed little (vigilant) or no (resting) reactions towards the UAV. Moreover, only 27% of all individuals changed their initial activity during the sampling periods, and mothers rarely ended their nursing bouts (3%). While reactions were low overall, the probability of a stronger reaction occurring increased at lower altitudes, and varied among individuals. Neither the presence of pups nor a change in wind speed appear to influence individuals' response to the UAV significantly. However, on simpler histogram representations of the dataset, we observed the strongest reactions for females (n = 5) with a pup at wind speeds below 5 m.s(-1) when ambient noise levels were lowest. While Weddell seals are likely to hear the UAV at 25 to 15 m altitude in low wind speeds, the low-level responses we observed are unlikely to negatively impact their energetic budget and/or reproductive success. Our results suggest a low impact of small UAV overflights of Weddell seals during the breeding season when flying &gt;= 25 m. This allows for collection of high resolution images for behavioural and morphometric studies that can potentially replace more invasive data collection when capturing and handling the animals.</t>
  </si>
  <si>
    <t>[Laborie, Joris; Christiansen, Fredrik; Beedholm, Kristian; Madsen, Peter Teglberg; Heerah, Karine] Aarhus Univ, Dept Biol, Zoophysiol, CF Mollers Alle 3, DK-8000 Aarhus C, Denmark; [Christiansen, Fredrik] Aarhus Inst Adv Studies, Hoegh Guldbergs Gade 6B, DK-8000 Aarhus C, Denmark; [Christiansen, Fredrik] Murdoch Univ, Ctr Sustainable Aquat Ecosyst, Harry Butler Inst, Murdoch, WA 6150, Australia</t>
  </si>
  <si>
    <t>Aarhus University; Murdoch University</t>
  </si>
  <si>
    <t>Laborie, J (corresponding author), Aarhus Univ, Dept Biol, CF Mollers 3,Bldg 1130-118, DK-8000 Aarhus C, Denmark.</t>
  </si>
  <si>
    <t>joris.laborie@gmail.com</t>
  </si>
  <si>
    <t>Christiansen, Fredrik/O-3655-2017; Heerah, karine/F-5368-2013; Madsen, Peter T./K-5832-2013</t>
  </si>
  <si>
    <t>Christiansen, Fredrik/0000-0001-9090-8458; Madsen, Peter T./0000-0002-5208-5259</t>
  </si>
  <si>
    <t>Marie Sklodowska Curie fellowship; AIAS-COFUND II fellowship program; Marie Sklodowska-Curie actions under the European Union [754513]; Aarhus University Research Foundation</t>
  </si>
  <si>
    <t>Marie Sklodowska Curie fellowship; AIAS-COFUND II fellowship program; Marie Sklodowska-Curie actions under the European Union; Aarhus University Research Foundation</t>
  </si>
  <si>
    <t>We are grateful to J-B. Charrassin for enabling this study to be part of his research program on Antarctic seals, as well as all the volunteers from the 69th (2019) and 70th (2020) summer campaigns, who assisted us in the fieldwork at DDU. We also warmly thank D. Thuillier, G. Sellin and A. Quivoron for helping and solving operational last minute issues on site. This project was funded by a Marie Sklodowska Curie fellowship (K. Heerah). F. Christiansen received funding from the AIAS-COFUND II fellowship program that is supported by the Marie Sklodowska-Curie actions under the European Union's Horizon 2020 (Grant agreement no 754513) and the Aarhus University Research Foundation. Logistical support were provided by the French Polar Institute (IPEV, research program ASSET #1182, PI: J-B. Charrassin) and Southern French territories (TAAF). Fieldwork and data collection was undertaken with approval from IPEV and TAAF ethic committees and legislations. We also would like to thank M. Bjerre for his assistance in calibrating the sound recorder at Aarhus University.</t>
  </si>
  <si>
    <t>0022-0981</t>
  </si>
  <si>
    <t>1879-1697</t>
  </si>
  <si>
    <t>J EXP MAR BIOL ECOL</t>
  </si>
  <si>
    <t>J. Exp. Mar. Biol. Ecol.</t>
  </si>
  <si>
    <t>10.1016/j.jembe.2020.151509</t>
  </si>
  <si>
    <t>Ecology; Marine &amp; Freshwater Biology</t>
  </si>
  <si>
    <t>QB5ZI</t>
  </si>
  <si>
    <t>WOS:000614217600004</t>
  </si>
  <si>
    <t>Xu, QC; Huang, LY; Li, XS; Li, YY; Zhao, XY</t>
  </si>
  <si>
    <t>Xu, Qingchang; Huang, Liuyi; Li, Xiansen; Li, Yuyan; Zhao, Xianyong</t>
  </si>
  <si>
    <t>Parameter optimization of a rectangular cambered otter board using response surface method</t>
  </si>
  <si>
    <t>OCEAN ENGINEERING</t>
  </si>
  <si>
    <t>Rectangular cambered otter board; Response surface method; Numerical simulation; Hydrodynamic characteristics</t>
  </si>
  <si>
    <t>HYDRODYNAMIC PERFORMANCE; ANTARCTIC KRILL; ASPECT RATIO</t>
  </si>
  <si>
    <t>Otter boards are important device that provide a desired horizontal opening of a mid-water trawl net. High lift coefficients are essential for an otter board to maintain favorable fishing efficiency, especially for fishing target like Antarctic krill (Euphausia superba) which is often found in layers very close to the sea surface. Response surface method (RSM) was used to optimize the parameters of a rectangular cambered otter board in this study. The aspect ratio (0.8-2.0), maximum relative camber (2%-18%), and maximum camber position (10%-50%) were adopted as the independent variables. Hydrodynamic performances of twenty otter board models were simulated using numerical simulation. Results showed that RSM was applicable to describe the relationship between the selected variables and the maximum lift coefficient. The maximum lift coefficient was significantly affected by these three variables. An optimal otter was extracted in the optimal solutions, and the optimal parameters of aspect ratio, maximum relative camber and maximum camber position were 2.0, 15.5% and 35.1%, respectively. Under the optimal conditions, the maximum lift coefficient was improved by 20.5% compared with the initial otter board. The relative error differed by only 1.6% from RSM model predictions, which indicated the availability of the model experimentally.</t>
  </si>
  <si>
    <t>[Xu, Qingchang; Li, Xiansen; Zhao, Xianyong] Minist Agr &amp; Rural Affairs, Key Lab Sustainable Dev Polar Fishery, Qingdao 266071, Peoples R China; [Xu, Qingchang; Li, Xiansen; Zhao, Xianyong] Chinese Acad Fishery Sci, Yellow Sea Fisheries Res Inst, Qingdao 266071, Peoples R China; [Huang, Liuyi; Li, Yuyan] Ocean Univ China, Coll Fisheries, Qingdao 266003, Peoples R China</t>
  </si>
  <si>
    <t>Ministry of Agriculture &amp; Rural Affairs; Chinese Academy of Fishery Sciences; Yellow Sea Fisheries Research Institute, CAFS; Ocean University of China</t>
  </si>
  <si>
    <t>Li, XS (corresponding author), Minist Agr &amp; Rural Affairs, Key Lab Sustainable Dev Polar Fishery, Qingdao 266071, Peoples R China.;Li, XS (corresponding author), Chinese Acad Fishery Sci, Yellow Sea Fisheries Res Inst, Qingdao 266071, Peoples R China.</t>
  </si>
  <si>
    <t>lixs@ysfri.ac.cn</t>
  </si>
  <si>
    <t>Li, Xiansen/I-9493-2014; Xu, Qingchang/GRX-6610-2022; Huang, Liuyi/GXG-9845-2022</t>
  </si>
  <si>
    <t>National Key R&amp;D Program of China [2018YFC1406800]; China Postdoctoral Science Foundation [2019M652509]</t>
  </si>
  <si>
    <t>National Key R&amp;D Program of China; China Postdoctoral Science Foundation(China Postdoctoral Science Foundation)</t>
  </si>
  <si>
    <t>This work was financially supported by the National Key R&amp;D Program of China (No. 2018YFC1406800) and Funded by China Postdoctoral Science Foundation (No. 2019M652509).</t>
  </si>
  <si>
    <t>0029-8018</t>
  </si>
  <si>
    <t>1873-5258</t>
  </si>
  <si>
    <t>OCEAN ENG</t>
  </si>
  <si>
    <t>Ocean Eng.</t>
  </si>
  <si>
    <t>10.1016/j.oceaneng.2020.108475</t>
  </si>
  <si>
    <t>Engineering, Marine; Engineering, Civil; Engineering, Ocean; Oceanography</t>
  </si>
  <si>
    <t>PS3UI</t>
  </si>
  <si>
    <t>WOS:000607850200057</t>
  </si>
  <si>
    <t>Alexandroff, SJ; Butler, PG; Hollyman, PR; Schöne, BR; Scourse, JD</t>
  </si>
  <si>
    <t>Alexandroff, Stella J.; Butler, Paul G.; Hollyman, Philip R.; Schoene, Bernd R.; Scourse, James D.</t>
  </si>
  <si>
    <t>Late Holocene seasonal temperature variability of the western Scottish shelf (St Kilda) recorded in fossil shells of the bivalve Glycymeris glycymeris</t>
  </si>
  <si>
    <t>Sclerochronology; Palaeothermometer; Oxygen isotopes; British Isles; Sea surface temperatures; North Atlantic</t>
  </si>
  <si>
    <t>SEA-SURFACE TEMPERATURE; MERIDIONAL OVERTURNING CIRCULATION; NORTH-ATLANTIC OSCILLATION; GULF-OF-CALIFORNIA; ISOTOPE COMPOSITION; STABLE-ISOTOPE; CELTIC SEA; POTENTIAL TEMPERATURE; GYRE CIRCULATION; SUBPOLAR GYRE</t>
  </si>
  <si>
    <t>The North Atlantic Ocean and adjacent shelf seas play a crucial role in global climate. To better constrain long-term natural variability and marine-terrestrial linkages in this region, a network of highly resolved marine archives from the open ocean and continental shelves is needed. In recent decades, bivalve sclerochronology has emerged as a field providing such records from the mid- to high latitudes. In May 2014, dead valves and young live specimens of the bivalve Glycymeris glycymeris were collected at St Kilda, Scotland. A floating chronology spanning 187 years was constructed with fossil shells and radiocarbon dated to 3910-3340 cal yr before present (BP), with a probability density cluster at ca. 3700-3500 cal yr BP. Sub-annual delta O-18 data were obtained from five fossil and three modern specimens and showed a strong seasonal signal in both time intervals. The growth season of G. glycymeris at this location today lasts from May to October, with most growth occurring before the temperature peak in August. Thus, the modern specimens and the fossil chronology represent late-spring and summer sea surface temperatures (SST). The annual temperature range was 4.4 degrees C in the fossil shells, which is similar to the range observed today (3.8 degrees C). Average SSTs reconstructed from the fossil shells were 1 degrees C cooler than in 2003-2013 CE and similar to the early 20th century CE. The radiocarbon age of the floating chronology coincides with a climatic shift to wetter conditions on the British Isles and with a cold interval observed in palaeoceanographic records from south of Iceland. However, our data do not provide evidence of a cold interval on the Scottish shelf. The similarity in growth season and temperature range between the fossil and modern specimens are attributed to similar boundary conditions in the fourth millennium BP compared to today.</t>
  </si>
  <si>
    <t>[Alexandroff, Stella J.; Butler, Paul G.; Scourse, James D.] Exeter Univ, Coll Life &amp; Environm Sci, Penryn TR10 9EZ, England; [Alexandroff, Stella J.] Bangor Univ, Sch Ocean Sci, Menai Bridge LL59 5AB, Gwynedd, Wales; [Hollyman, Philip R.] British Antarctic Survey, Madingley Rd, Cambridge CB3 0ET, England; [Schoene, Bernd R.] Johannes Gutenberg Univ Mainz, Inst Geosci, Johann Joachim Becher Weg 21, D-55128 Mainz, Germany</t>
  </si>
  <si>
    <t>Bangor University; UK Research &amp; Innovation (UKRI); Natural Environment Research Council (NERC); NERC British Antarctic Survey; Johannes Gutenberg University of Mainz</t>
  </si>
  <si>
    <t>Alexandroff, SJ (corresponding author), Exeter Univ, Coll Life &amp; Environm Sci, Penryn TR10 9EZ, England.</t>
  </si>
  <si>
    <t>s.alexandroff@exeter.ac.uk; p.butler@exeter.ac.uk; phyman@bas.ac.uk; schoeneb@uni-mainz.de; j.scourse@exeter.ac.uk</t>
  </si>
  <si>
    <t>Butler, Paul G/D-1905-2012; Schöne, Bernd R/B-6294-2011</t>
  </si>
  <si>
    <t>Schöne, Bernd R/0000-0002-6879-1633; Alexandroff, Stella/0000-0003-1535-2239; Hollyman, Philip/0000-0003-2665-5075</t>
  </si>
  <si>
    <t>EU within the framework of the Marie Curie Initial Training Network ARAMACC [GA604802]; [SP13616-1]; NERC [bas0100035, NE/N002733/1, NE/N002733/2] Funding Source: UKRI</t>
  </si>
  <si>
    <t>EU within the framework of the Marie Curie Initial Training Network ARAMACC; ; NERC(UK Research &amp; Innovation (UKRI)Natural Environment Research Council (NERC))</t>
  </si>
  <si>
    <t>lThis work was funded by the EU within the framework of the Marie Curie Initial Training Network ARAMACC (project GA604802). MicroRaman spectroscopy was undertaken as part of a rapid access request to the Diamond Light Source (SP13616-1). We thank the crew of the RV Prince Madog for the support during the research cruise, and our ARAMACC colleagues for the help with sample collection. Many thanks to Paula J. Reimer, Ron Reimer, and Julia Simpson for hosting SJA at the 14CHRONO Centre, and for the radiocarbon analysis and friendly support. We also thank Paula J. Reimer and two anonymous reviewers for their thoughtful comments that helped improve this manuscript.</t>
  </si>
  <si>
    <t>10.1016/j.palaeo.2020.110146</t>
  </si>
  <si>
    <t>PN6JZ</t>
  </si>
  <si>
    <t>WOS:000604584600060</t>
  </si>
  <si>
    <t>Bergh, EW; von Koslowski, R; Compton, JS</t>
  </si>
  <si>
    <t>Bergh, Eugene W.; von Koslowski, Rebecca; Compton, John S.</t>
  </si>
  <si>
    <t>Variations in deep water masses along the western margin of South Africa, spanning the last two glacial terminations</t>
  </si>
  <si>
    <t>Foraminifera; Pleistocene; Neodymium; Palaeoceanography; North Atlantic Deep Water; Antarctic Bottom Water</t>
  </si>
  <si>
    <t>MERIDIONAL OVERTURNING CIRCULATION; NORTH-ATLANTIC DEEP; NEODYMIUM ISOTOPE COMPOSITION; OCEAN CIRCULATION; AGULHAS LEAKAGE; THERMOHALINE CIRCULATION; PLANKTONIC-FORAMINIFERA; BENTHIC FORAMINIFERA; ABYSSAL CIRCULATION; TROPICAL ATLANTIC</t>
  </si>
  <si>
    <t>The neodymium isotope composition (epsilon Nd) of planktic foraminifera and the relative abundances and delta C-13 of the benthic foraminiferal species C. wuellerstorfi from two gravity cores, retrieved from the western margin of South Africa, provide a late Quaternary (MIS 6 to MIS 1) record of the variations in North Atlantic Deep Water (NADW) and Southern Component Water (SCW). The eNd records from cores at water depths of 3522 m and 3631 m reveal a strong influence of SCW (Lower Circumpolar Deep Water (LCDW) and Antarctic Bottom Water (AABW)) during the peak glacial periods of MIS 6 (epsilon Nd = -8.75 to -7.35) and MIS 2 (epsilon Nd = -8.44 to -7.27). The strength of the SCW influence decreases while that of the NADW increases during glacial terminations (GT) II (epsilon Nd = -10.61 to -9.99) and GT I (epsilon Nd = -10.75 to -9.67). More radiogenic eNd values along the flow path of NADW are interpreted to indicate the weakening of NADW penetration southward, as a result of decreasing deep water formation in the North Atlantic during peak glacial periods. The relative abundance and delta C-13 of C. wuellerstorfi are greater during glacial terminations and interglacials than during peak glacial periods, which is consistent with the less radiogenic epsilon Nd values following GT II and GT I. These results suggest that C. wuellerstorfi abundances can be a useful indicator of deep water masses when combined with epsilon Nd and delta C-13 records.</t>
  </si>
  <si>
    <t>[Bergh, Eugene W.] Iziko South African Museum, Res Dept, POB 61, ZA-8000 Cape Town, South Africa; [Bergh, Eugene W.; von Koslowski, Rebecca; Compton, John S.] Univ Cape Town, Marine Res Inst, Private Bag X3, ZA-7701 Rondebosch, South Africa; [Bergh, Eugene W.; von Koslowski, Rebecca; Compton, John S.] Univ Cape Town, Dept Geol Sci, Private Bag X3, ZA-7701 Rondebosch, South Africa</t>
  </si>
  <si>
    <t>University of Cape Town; University of Cape Town</t>
  </si>
  <si>
    <t>Bergh, EW (corresponding author), Iziko South African Museum, Res Dept, POB 61, ZA-8000 Cape Town, South Africa.</t>
  </si>
  <si>
    <t>eugene.bergh@alumni.uct.ac.za; john.compton@uct.ac.za</t>
  </si>
  <si>
    <t>BERGH, EUGENE/JTD-2295-2023; Bergh, Eugene/GLS-2348-2022; Compton, John S/E-1767-2013</t>
  </si>
  <si>
    <t>10.1016/j.palaeo.2020.110148</t>
  </si>
  <si>
    <t>WOS:000604584600062</t>
  </si>
  <si>
    <t>Cunen, C; Walloe, L; Konishi, K; Hjort, NL</t>
  </si>
  <si>
    <t>Cunen, Celine; Walloe, Lars; Konishi, Kenji; Hjort, Nils Lid</t>
  </si>
  <si>
    <t>Decline in body condition in the Antarctic minke whale (Balaenoptera bonaerensis) in the Southern Ocean during the 1990s</t>
  </si>
  <si>
    <t>POLAR BIOLOGY</t>
  </si>
  <si>
    <t>Antarctic minke whale; Body condition; Focused information criterion; FIC plot; Linear mixed-effects model; Model selection</t>
  </si>
  <si>
    <t>ENERGY-STORAGE; ROSS SEA; HUMPBACK; KRILL; REPRODUCTION; BLUBBER; HISTORY; GROWTH</t>
  </si>
  <si>
    <t>Changes in the body condition of Antarctic minke whales (Balaenoptera bonaerensis) have been investigated in a number of studies, but remain contested. Here we provide a new analysis of body condition measurements, with particularly careful attention to the statistical model building and to model selection issues. We analyse body condition data for a large number (4704) of minke whales caught between 1987 and 2005. The data consist of five different variables related to body condition (fat weight, blubber thickness and girth) and a number of temporal, spatial and biological covariates. The body condition variables are analysed using linear mixed-effects models, for which we provide sound biological motivation. Further, we conduct model selection with the focused information criterion (FIC), reflecting the fact that we have a clearly specified research question, which leads us to a clear focus parameter of particular interest. We find that there has been a substantial decline in body condition over the study period (the net declines are estimated to 10% for fat weight, 7% for blubber thickness and 3% for the girth). Interestingly, there seems to be some differences in body condition trends between males and females and in different regions of the Antarctic. The decline in body condition could indicate major changes in the Antarctic ecosystem, in particular, increased competition from some larger krill-eating whale species.</t>
  </si>
  <si>
    <t>[Cunen, Celine; Hjort, Nils Lid] Univ Oslo, Dept Math, Oslo, Norway; [Walloe, Lars] Univ Oslo, Inst Basic Med Sci, Oslo, Norway; [Konishi, Kenji] Inst Cetacean Res, Tokyo, Japan</t>
  </si>
  <si>
    <t>University of Oslo; University of Oslo</t>
  </si>
  <si>
    <t>Cunen, C (corresponding author), Univ Oslo, Dept Math, Oslo, Norway.</t>
  </si>
  <si>
    <t>cmlcunen@math.uio.no</t>
  </si>
  <si>
    <t>Konishi, Kenji/0000-0002-6120-9903</t>
  </si>
  <si>
    <t>Norwegian Research Council [235116]</t>
  </si>
  <si>
    <t>Norwegian Research Council(Research Council of Norway)</t>
  </si>
  <si>
    <t>Parts of this research have been funded by the Norwegian Research Council, via the five-year programme FocuStat (Grant No. 235116), Focus Driven Statistical Inference with Complex Data, led by Hjort.</t>
  </si>
  <si>
    <t>0722-4060</t>
  </si>
  <si>
    <t>1432-2056</t>
  </si>
  <si>
    <t>POLAR BIOL</t>
  </si>
  <si>
    <t>Polar Biol.</t>
  </si>
  <si>
    <t>10.1007/s00300-020-02783-3</t>
  </si>
  <si>
    <t>QH5GC</t>
  </si>
  <si>
    <t>hybrid, Green Published</t>
  </si>
  <si>
    <t>WOS:000608180200001</t>
  </si>
  <si>
    <t>Wu, L; Wilson, DJ; Wang, RJ; Passchier, S; Krijgsman, W; Yu, X; Wen, TY; Xiao, WS; Liu, ZF</t>
  </si>
  <si>
    <t>Wu, Li; Wilson, David J.; Wang, Rujian; Passchier, Sandra; Krijgsman, Wout; Yu, Xun; Wen, Tingyu; Xiao, Wenshen; Liu, Zhifei</t>
  </si>
  <si>
    <t>Late Quaternary dynamics of the Lambert Glacier-Amery Ice Shelf system, East Antarctica</t>
  </si>
  <si>
    <t>QUATERNARY SCIENCE REVIEWS</t>
  </si>
  <si>
    <t>Quaternary; Glaciology; Antarctica; Prydz Bay; Lambert Glacier-Amery Ice Shelf System; Ice sheet dynamics; Clay minerals; Iceberg rafted debris</t>
  </si>
  <si>
    <t>PRYDZ BAY-REGION; PRINCE CHARLES MOUNTAINS; CLAY-MINERAL ASSEMBLAGES; SOUTH CHINA SEA; OCEAN CIRCULATION; SURFACE SEDIMENTS; CONTINENTAL RISE; NORTH-ATLANTIC; ODP SITE-1165; ABYSSAL-PLAIN</t>
  </si>
  <si>
    <t>The Lambert Glacier-Amery Ice Shelf system (LGAISS) is the largest outlet glacier system in East Antarctica but its response to past climate variability is poorly constrained. In this study, we explore its dynamics over the last similar to 520 thousand years using new high-resolution sedimentary records retrieved off Prydz Bay. Episodic occurrences of iceberg rafted debris indicate a dynamic ice sheet throughout this interval, while changes in clay mineral compositions provide detailed evidence on the waxing and waning of the LGAISS. Our data indicate that advance and retreat of the LGAISS was sensitive to oceanic forcing, but also responded to local summer insolation when insolation peaks combined with interglacial sea level high stands. Subglacial bed topography may have played an additional role in modulating the LGAISS behaviour, which could explain sectoral differences in the response of the East Antarctic Ice Sheet to climate change. Overall, our records indicate that the LGAISS advanced more extensively during previous late Quaternary glacial periods than during Marine Isotope Stages 2 and 4. Furthermore, the LGAISS retreated more significantly than present during Marine Isotope Stage 13, and only moderately during Marine Isotope Stage 7, which suggests that the duration of warm climatic states could be a key factor affecting the dynamics of the East Antarctic Ice Sheet. (C) 2020 Elsevier Ltd. All rights reserved.</t>
  </si>
  <si>
    <t>[Wu, Li; Wang, Rujian; Yu, Xun; Wen, Tingyu; Xiao, Wenshen; Liu, Zhifei] Tongji Univ, State Key Lab Marine Geol, 1239 Siping Rd, Shanghai 200092, Peoples R China; [Wilson, David J.] Univ London, Univ Coll London &amp; Birkbeck, Inst Earth &amp; Planetary Sci, London, England; [Passchier, Sandra] Montclair State Univ, Dept Earth &amp; Environm Studies, Montclair, NJ 07043 USA; [Krijgsman, Wout] Univ Utrecht, Dept Earth Sci, Utrecht, Netherlands</t>
  </si>
  <si>
    <t>Tongji University; University of London; Birkbeck University London; University College London; Montclair State University; Utrecht University</t>
  </si>
  <si>
    <t>Wang, RJ (corresponding author), Tongji Univ, State Key Lab Marine Geol, 1239 Siping Rd, Shanghai 200092, Peoples R China.</t>
  </si>
  <si>
    <t>rjwang@tongji.edu.cn</t>
  </si>
  <si>
    <t>Passchier, Sandra/GYU-2381-2022; WU, Li/KHX-2389-2024; Passchier, Sandra/AAQ-2243-2021; Wilson, David/AAA-9939-2019</t>
  </si>
  <si>
    <t>Passchier, Sandra/0000-0001-7204-7025; Wilson, David/0000-0003-2786-4688; WU, Li/0000-0001-8560-8223</t>
  </si>
  <si>
    <t>National Natural Science Foundation of China; Postdoctoral Research Foundation of China [41806223, 2018M632158, 42030401, 41776191, 41676191]; Ministry of Natural Resources of China; RFSOCC2020-2022 Project of the National Oceanic Administration's Polar Expedition Office [16, 17]</t>
  </si>
  <si>
    <t>National Natural Science Foundation of China(National Natural Science Foundation of China (NSFC)); Postdoctoral Research Foundation of China(China Postdoctoral Science Foundation); Ministry of Natural Resources of China; RFSOCC2020-2022 Project of the National Oceanic Administration's Polar Expedition Office</t>
  </si>
  <si>
    <t>We thank the 29th and the 30th Chinese Antarctic Expedition cruise members for retrieving the sediments, and are grateful to authors who have provided us with data on request or via online repositories. Thanks also go to Dr. Lingmin Zhang from State Key Laboratory of Marine Geology, Tongji University for her kind technical support with scanning electronic microscope and energydispersive spectroscopy analyses. We would particularly like to acknowledge two anonymous reviewers for their detailed and insightful reviews that helped us to significantly improve the final version of this paper. This work was jointly supported by National Natural Science Foundation of China, Postdoctoral Research Foundation of China (Grants No. 41806223, 2018M632158, 42030401, 41776191 and 41676191), the Ministry of Natural Resources of China and the RFSOCC2020-2022-No.16 &amp; 17 Project of the National Oceanic Administration's Polar Expedition Office.</t>
  </si>
  <si>
    <t>0277-3791</t>
  </si>
  <si>
    <t>1873-457X</t>
  </si>
  <si>
    <t>QUATERNARY SCI REV</t>
  </si>
  <si>
    <t>Quat. Sci. Rev.</t>
  </si>
  <si>
    <t>10.1016/j.quascirev.2020.106738</t>
  </si>
  <si>
    <t>PN6DO</t>
  </si>
  <si>
    <t>Green Published, Green Submitted</t>
  </si>
  <si>
    <t>WOS:000604567600006</t>
  </si>
  <si>
    <t>Sauter, D; Werner, P; Ceuleneer, G; Manatschal, G; Rospabé, M; Tugend, J; Gillard, M; Autin, J; Ulrich, M</t>
  </si>
  <si>
    <t>Sauter, Daniel; Werner, Philippe; Ceuleneer, Georges; Manatschal, Gianreto; Rospabe, Mathieu; Tugend, Julie; Gillard, Morgane; Autin, Julia; Ulrich, Marc</t>
  </si>
  <si>
    <t>Sub-axial deformation in oceanic lower crust: Insights from seismic reflection profiles in the Enderby Basin and comparison with the Oman ophiolite</t>
  </si>
  <si>
    <t>EARTH AND PLANETARY SCIENCE LETTERS</t>
  </si>
  <si>
    <t>lower oceanic crust; oceanic accretionary processes; dipping reflectors; ocean-continent transition; Enderby Basin; Oman ophiolite</t>
  </si>
  <si>
    <t>EAST PACIFIC RISE; CONTINENTAL-MARGIN; MANTLE TRANSITION; SAMAIL OPHIOLITE; PITO DEEP; MAGMA; GENESIS; ORIGIN; MODEL; GEOCHEMISTRY</t>
  </si>
  <si>
    <t>We analyzed high-quality seismic reflection profiles across the ocean-continent transition in the Enderby Basin between the Kerguelen Plateau and the Antarctic margin. There, we observe numerous high-amplitude dipping reflections in the lower oceanic crust which was accreted at a magmatic spreading center as testified by the almost uniform 6.4-7 km thick crust and its unfaulted, flat top basement. The deep reflections are rooting onto the Moho and are dipping both ridgeward and continentward. They occur in dense networks in mature oceanic crust as well as close to the continentward termination of oceanic crust and in the ocean-continent transition zone. The comparison with field observations in the Oman ophiolite suggests that these lower crustal dipping reflectors could correspond to syn-magmatic faults. In Oman, very high temperature (up to syn-magmatic), high temperature (sub-solidus plastic deformation) and low temperature (brittle) deformation coexist along the same fault over distances of a few hundred meters at Moho level. This very high temperature gradient may be explained by the sudden and intense interaction between crystallizing magmas and hydrothermal fluids induced by the episodic nucleation of faults in a context of continuous magmatic spreading. The igneous layering becomes extremely irregular compared to its monotonous sub-horizontal orientation away from the faults which, together with enhanced hydrothermal alteration restricted to the fault zones, might change the physical properties (velocity, density) and increase the reflectivity of syn-magmatic faults. We further speculate that these processes could explain the brightness of the lower crustal dipping reflectors observed in our seismic reflection data. Both the seismic reflection profiles of the Enderby Basin and the Oman ophiolite show evidence for syn-accretion tectonism at depth together with the systematic rotation of originally horizontal lava flows or originally vertical dikes, pre-dating cessation of magmatic activity. This indicates ubiquitous deformation processes within the axial zone of magmatic spreading centers. (C) 2020 Elsevier B.V. All rights reserved.</t>
  </si>
  <si>
    <t>[Sauter, Daniel; Werner, Philippe; Manatschal, Gianreto; Autin, Julia; Ulrich, Marc] Univ Strasbourg, Inst Phys Globe Strasbourg IPGS, UMR7516 CNRS, 1 Rue Blessig, F-67084 Strasbourg, France; [Ceuleneer, Georges] Univ Toulouse, Observ Midi Pyrenees, CNRS, Geosci Environm Toulouse GET,IRD, 14 Ave E Belin, F-31400 Toulouse, France; [Rospabe, Mathieu] Japan Agcy Marine Earth Sci &amp; Technol JAMSTEC, Res Inst Marine Geodynam IMG, 2-15 Natsushima, Yokosuka, Kanagawa 2370061, Japan; [Tugend, Julie; Gillard, Morgane] Sorbonne Univ, Inst Sci Terre Paris ISTeP, CNRS, UMR 7193, 4 Pl Jussieu, F-75005 Paris, France</t>
  </si>
  <si>
    <t>Universites de Strasbourg Etablissements Associes; Universite de Strasbourg; Universite de Toulouse; Universite Toulouse III - Paul Sabatier; Centre National de la Recherche Scientifique (CNRS); Institut de Recherche pour le Developpement (IRD); Japan Agency for Marine-Earth Science &amp; Technology (JAMSTEC); Centre National de la Recherche Scientifique (CNRS); CNRS - National Institute for Earth Sciences &amp; Astronomy (INSU); Sorbonne Universite</t>
  </si>
  <si>
    <t>Sauter, D (corresponding author), Univ Strasbourg, Inst Phys Globe Strasbourg IPGS, UMR7516 CNRS, 1 Rue Blessig, F-67084 Strasbourg, France.</t>
  </si>
  <si>
    <t>daniel.sauter@unistra.fr</t>
  </si>
  <si>
    <t>Rospabé, Mathieu/AHD-5295-2022; Autin, Julia/GXG-5741-2022; sauter, daniel/K-6532-2014</t>
  </si>
  <si>
    <t>Rospabé, Mathieu/0000-0002-6089-3475; sauter, daniel/0000-0003-3651-8090; Ulrich, Marc/0000-0002-1052-1817; Autin, Julia/0000-0003-2875-5766</t>
  </si>
  <si>
    <t>French Institut National des Sciences de l'Univers INSU-CNRS</t>
  </si>
  <si>
    <t>Seismic sections of the AGSO surveys GA-228 and GA-229 have been provided by Geoscience Australia and are published with the permission of Geoscience Australia. These seismic data are freely available from Geoscience Australia upon request. We would like to acknowledge the support and kindness of Aaron Rockey and the other employees of Geoscience Australia. Gravity grid of Sandwell etal. (2014) is freely available from the website of the UCSD (topex.ucsd.edu/cgi-bin/get_data.cgi). We thank Alexander Golynsky for providing the magnetic grid of the Antarctic margin. We also gratefully acknowledge Jeffrey Karson and the Editor, JeanPhilippe Avouac, for their review and helpful comments. Support was provided by the French Institut National des Sciences de l'Univers INSU-CNRS.</t>
  </si>
  <si>
    <t>0012-821X</t>
  </si>
  <si>
    <t>1385-013X</t>
  </si>
  <si>
    <t>EARTH PLANET SC LETT</t>
  </si>
  <si>
    <t>Earth Planet. Sci. Lett.</t>
  </si>
  <si>
    <t>10.1016/j.epsl.2020.116698</t>
  </si>
  <si>
    <t>PN6JE</t>
  </si>
  <si>
    <t>hybrid, Green Submitted</t>
  </si>
  <si>
    <t>WOS:000604582500042</t>
  </si>
  <si>
    <t>Shuttleworth, R; Bostock, HC; Chalk, TB; Calvo, E; Jaccard, SL; Pelejero, C; Martínez-García, A; Foster, GL</t>
  </si>
  <si>
    <t>Shuttleworth, R.; Bostock, H. C.; Chalk, T. B.; Calvo, E.; Jaccard, S. L.; Pelejero, C.; Martinez-Garcia, A.; Foster, G. L.</t>
  </si>
  <si>
    <t>Early deglacial CO2 release from the Sub-Antarctic Atlantic and Pacific oceans</t>
  </si>
  <si>
    <t>deglaciation; Heinrich Stadial 1; CO2 flux; boron isotopes; Southern Ocean; Sub-Antarctic</t>
  </si>
  <si>
    <t>DEEP SOUTHERN-OCEAN; ATMOSPHERIC CO2; BORON ISOTOPE; CARBON-DIOXIDE; DOME C; LAST; SURFACE; SEA; PH; VENTILATION</t>
  </si>
  <si>
    <t>Over the last deglaciation there were two transient intervals of pronounced atmospheric CO2 rise; Heinrich Stadial 1 (17.5-15 kyr) and the Younger Dryas (12.9-11.5 kyr). Leading hypotheses accounting for the increased accumulation of CO2 in the atmosphere at these times invoke deep ocean carbon being released from the Southern Ocean and an associated decline in the global efficiency of the biological carbon pump. Here we present new deglacial surface seawater pH and CO2sw records from the Sub-Antarctic regions of the Atlantic and Pacific oceans using boron isotopes measured on the planktic foraminifera Globigerina bulloides. These new data support the hypothesis that upwelling of carbon-rich water in the Sub-Antarctic occurred during Heinrich Stadial 1, and contributed to the initial increase in atmospheric CO2. The increase in CO2sw is coeval with a decline in biological productivity at both the Sub-Antarctic Atlantic and Pacific sites. However, there is no evidence for a significant outgassing of deep ocean carbon from the Sub-Antarctic during the rest of the deglacial, including the second period of atmospheric CO2 rise coeval with the Younger Dryas. This suggests that the second rapid increase in atmospheric CO2 is driven by processes operating elsewhere in the Southern Ocean, or another region. (C) 2020 Elsevier B.V. All rights reserved.</t>
  </si>
  <si>
    <t>[Shuttleworth, R.; Chalk, T. B.; Foster, G. L.] Univ Southampton, Sch Ocean &amp; Earth Sci, Natl Oceanog Ctr Southampton, Waterfront Campus,European Way, Southampton SO14 3ZH, Hants, England; [Bostock, H. C.] Univ Queensland, Sch Earth &amp; Environm Sci, Brisbane, Qld, Australia; [Bostock, H. C.] Natl Inst Water &amp; Atmosphere, Wellington, New Zealand; [Calvo, E.; Pelejero, C.] ICM CSIC, Inst Ciencies Mar, Barcelona, Catalonia, Spain; [Jaccard, S. L.] Univ Bern, Inst Geol Sci, CH-3012 Bern, Switzerland; [Jaccard, S. L.] Univ Bern, Oeschger Ctr Climate Change Res, CH-3012 Bern, Switzerland; [Jaccard, S. L.] Univ Lausanne, Inst Earth Sci, CH-1015 Lausanne, Switzerland; [Pelejero, C.] Inst Catalana Recerca &amp; Estudis Avancats ICREA, Barcelona, Catalonia, Spain; [Martinez-Garcia, A.] Max Planck Inst Chem, Otto Hahn Inst, Hahn Meitner Weg 1, D-55128 Mainz, Germany</t>
  </si>
  <si>
    <t>NERC National Oceanography Centre; University of Southampton; University of Queensland; National Institute of Water &amp; Atmospheric Research (NIWA) - New Zealand; Consejo Superior de Investigaciones Cientificas (CSIC); CSIC - Centro Mediterraneo de Investigaciones Marinas y Ambientales (CMIMA); CSIC - Instituto de Ciencias del Mar (ICM); University of Bern; University of Bern; University of Lausanne; ICREA; Max Planck Society</t>
  </si>
  <si>
    <t>Foster, GL (corresponding author), Univ Southampton, Sch Ocean &amp; Earth Sci, Natl Oceanog Ctr Southampton, Waterfront Campus,European Way, Southampton SO14 3ZH, Hants, England.</t>
  </si>
  <si>
    <t>g.foster@soton.ac.uk</t>
  </si>
  <si>
    <t>Calvo, Eva/C-2618-2014; Martinez-Garcia, Alfredo/A-6244-2010; Foster, Gavin/CAF-4654-2022; Pelejero, Carles/AAF-4550-2019; Foster, Gavin/W-5968-2019; Bostock, Helen/A-6834-2013; Chalk, Thomas/AAA-4964-2022; Jaccard, Samuel/G-3447-2014</t>
  </si>
  <si>
    <t>Calvo, Eva/0000-0003-3659-4499; Martinez-Garcia, Alfredo/0000-0002-7206-5079; Foster, Gavin/0000-0003-3688-9668; Pelejero, Carles/0000-0002-7763-7769; Bostock, Helen/0000-0002-8903-8958; Chalk, Thomas/0000-0002-2880-3847; Jaccard, Samuel/0000-0002-5793-0896</t>
  </si>
  <si>
    <t>Coasts and Oceans Physical Resources program [COPR1703]; AINSE [ALNGRA15502]; Natural Environment Research Council [NE/L002531/1, NE/J021075/1]; Spanish Ministry of Science and Innovation [CGL2015-68194-R]; Swiss National Science Foundation (SNSF) [PP00P2_172915]; Max Planck Society; NERC [NE/J021075/1] Funding Source: UKRI</t>
  </si>
  <si>
    <t>Coasts and Oceans Physical Resources program; AINSE; Natural Environment Research Council(UK Research &amp; Innovation (UKRI)Natural Environment Research Council (NERC)); Spanish Ministry of Science and Innovation(Spanish Government); Swiss National Science Foundation (SNSF)(Swiss National Science Foundation (SNSF)); Max Planck Society(Max Planck Society); NERC(UK Research &amp; Innovation (UKRI)Natural Environment Research Council (NERC))</t>
  </si>
  <si>
    <t>We would like to thank the captains, crew and scientists that were involved in collecting the cores used in this study, specifically captain Doug Monks and the crew of the RV Tangaroa who helped collect the TAN1106-28 core. The funding for the TAN1106 voyage was from the Coasts and Oceans Physical Resources program awarded to the National Institute of Water and Atmospheric Research, New Zealand (grant number COPR1703). We thank Bryn Taiapa and Geraldine Jacobsen (ANSTO) for additional radiocarbon data for core TAN1106-28, this work was funded by AINSE grant number ALNGRA15502 and Dr Samuel Toucanne (Ifremer) for providing a further radiocarbon date to improve the age modelling of the deglaciation. We also thank Andy Milton, Matt Cooper, and Megan Spencer as well as the rest of the Foster lab for laboratory assistance. This project was supported by the Natural Environment Research Council[NE/L002531/1] to R.S. and [NE/J021075/1] to G.L.F., Spanish Ministry of Science and Innovation [CGL2015-68194-R] to E.C. and C.P., S.L.J. acknowledges financial support from the Swiss National Science Foundation (SNSF grant PP00P2_172915), and A.M.-G. acknowledges funding from the Max Planck Society.</t>
  </si>
  <si>
    <t>10.1016/j.epsl.2020.116649</t>
  </si>
  <si>
    <t>WOS:000604582500008</t>
  </si>
  <si>
    <t>Wang, ZX; Zhang, Z; Huang, CJ; Shen, JM; Sui, Y; Qian, ZQ</t>
  </si>
  <si>
    <t>Wang, Zhixiang; Zhang, Ze; Huang, Chunju; Shen, Jiangming; Sui, Yu; Qian, Zhiqi</t>
  </si>
  <si>
    <t>Astronomical forcing of lake evolution in the Lanzhou Basin during early Miocene period</t>
  </si>
  <si>
    <t>Lanzhou Basin; East Asian summer monsoon; astronomical forcing; magnetostratigraphy; early Miocene</t>
  </si>
  <si>
    <t>ANTARCTIC ICE-SHEET; NORTHERN TIBETAN PLATEAU; EAST EQUATORIAL PACIFIC; MONSOON RECORDS; WEATHERING RESPONSE; ASIAN MONSOONS; RB/SR RECORD; SOUTH CHINA; TARIM BASIN; CLIMATE</t>
  </si>
  <si>
    <t>Orbital-scale East Asian summer monsoon (EASM) variability has been extensively investigated in Pliocene-Quaternary loess and marine sediments. In recent years, middle-late Miocene orbital-scale EASM variability has been depicted in lacustrine deposits from NE Tibetan basins, showing a dominant cyclicity of similar to 100 kyr eccentricity. However, EASM variability during the early Miocene time remains poorly understood. Here, we investigate the sedimentary record of the early Miocene Xianshuihe Formation, Lanzhou Basin, in order to further constrain the NE Tibetan hydrological evolution and link it to orbital-scale monsoonal variability. By analyzing the lithology, magnetostratigraphy and cyclostratigraphic records of a 270-m section, we show that Lanzhou lake expansion cycles were consistently dominated by similar to 100 kyr eccentricity forcing in early Miocene, except for the similar to 20.8-19.8 Ma interval showing dominant obliquity control. These records are in agreement with deep-sea oxygen isotopic records, and are potentially linked to Antarctic ice sheet modulations related the precession amplitude modulation by eccentricity. A weakening of weathering intensity in Lanzhou Basin after 20.8 Ma may be attributed to orogenic barriers for westerly moisture and weakened surface temperature resulted from the rapid uplift of NE Tibet and surrounding mountains in the time interval of late Oligocene-early Miocene. (C) 2020 Elsevier B.V. All rights reserved.</t>
  </si>
  <si>
    <t>[Wang, Zhixiang; Zhang, Ze; Huang, Chunju; Shen, Jiangming; Qian, Zhiqi] China Univ Geosci, Sch Earth Sci, State Key Lab Biogeol &amp; Environm Geol, Wuhan 430074, Peoples R China; [Sui, Yu] Hubei Univ Sci &amp; Technol, Sch Resources Environm Sci &amp; Technol, Xianning 437100, Peoples R China</t>
  </si>
  <si>
    <t>China University of Geosciences; Hubei University of Science &amp; Technology</t>
  </si>
  <si>
    <t>Huang, CJ (corresponding author), China Univ Geosci, Sch Earth Sci, State Key Lab Biogeol &amp; Environm Geol, Wuhan 430074, Peoples R China.</t>
  </si>
  <si>
    <t>Huangcj@cug.edu.cn</t>
  </si>
  <si>
    <t>Zhang, yuxuan/JXM-9935-2024</t>
  </si>
  <si>
    <t>National Natural Science Foundation of China [41772029, 41322013]; 111 Project of China [BP0820004]; Fundamental Research Funds for the Central Universities, China University of Geosciences (Wuhan) [CUGCJ1703]</t>
  </si>
  <si>
    <t>National Natural Science Foundation of China(National Natural Science Foundation of China (NSFC)); 111 Project of China(Ministry of Education, China - 111 Project); Fundamental Research Funds for the Central Universities, China University of Geosciences (Wuhan)(Fundamental Research Funds for the Central Universities)</t>
  </si>
  <si>
    <t>We thank Zongmin Zhu and Junliang Ji for help in experiment. We are grateful to two reviewers for their constructive reviews of this paper. This work was supported by the National Natural Science Foundation of China (41772029, 41322013), and the 111 Project of China (grant no. BP0820004) and supported by the Fundamental Research Funds for the Central Universities, China University of Geosciences (Wuhan; CUGCJ1703). The data supporting our conclusions are available in the supporting information.</t>
  </si>
  <si>
    <t>10.1016/j.epsl.2020.116648</t>
  </si>
  <si>
    <t>WOS:000604582500007</t>
  </si>
  <si>
    <t>Yu, WS; Yao, TD; Thompson, LG; Jouzel, J; Zhao, HB; Xu, BQ; Jing, ZW; Wang, NL; Wu, GJ; Ma, YM; Gao, J; Yang, XX; Zhang, JY; Qu, DM</t>
  </si>
  <si>
    <t>Yu, Wusheng; Yao, Tandong; Thompson, Lonnie G.; Jouzel, Jean; Zhao, Huabiao; Xu, Baiqing; Jing, Zhaowei; Wang, Ninglian; Wu, Guangjian; Ma, Yaoming; Gao, Jing; Yang, Xiaoxin; Zhang, Jingyi; Qu, Dongmei</t>
  </si>
  <si>
    <t>Temperature signals of ice core and speleothem isotopic records from Asian monsoon region as indicated by precipitation δ18O</t>
  </si>
  <si>
    <t>inverted delta O-18 records; temperature; ice core; speleothem; Asian monsoon region</t>
  </si>
  <si>
    <t>TIBETAN PLATEAU; STABLE-ISOTOPES; OXYGEN ISOTOPES; WATER ISOTOPE; CLIMATE; RESOLUTION; HOLOCENE; SOUTH; CAVE; INSTABILITY</t>
  </si>
  <si>
    <t>Ice cores and speleothem delta O-18 records from Asia have been widely used as a proxy to reconstruct paleoclimate changes. However, whether those delta O-18 records are a proxy of temperature or monsoon intensity has remained a great controversy. Generally, ice core delta O-18 records from non-monsoon and transition regions indicate temperature, but ice core and speleothem delta O-18 records from monsoon regions have been regarded as proxies for monsoon intensity or precipitation. Here, we address the controversy by showing three 20-yr long daily precipitation delta O-18 (delta O-18(p)) series and 120 monthly sisop series based on 17461 precipitation samples throughout Asia. We find that the delta O-18 p signals preserved in precipitation are consistent with those in ice cores, both in the non-monsoon and monsoon regions. The results confirm previous research that ice core delta O-18 records in the non-monsoon region provide reliable histories of surface temperature. However, ice core delta O-18 records can still directly indicate surface temperature in the monsoon domain if winter/spring precipitation is heavy. When winter/spring precipitation is sparse, inverted ice core records show good agreement with surface temperature records. This may be due to the effect of cloud-top temperatures (which differ from surface temperatures) on summer delta O-18(p) values. Similarly, inverted speleothem delta O-18 records in the monsoon regions are similar to Greenland/Antarctic ice core delta O-18/delta D time series and other paleotemperature records. Our findings provide a reinterpretation of Asian ice core and speleothem delta O-18 records, and demonstrate that temperature signals have been preserved in those archives from the Asian monsoon region. (C) 2020 Elsevier B.V. All rights reserved.</t>
  </si>
  <si>
    <t>[Yu, Wusheng; Yao, Tandong; Zhao, Huabiao; Xu, Baiqing; Jing, Zhaowei; Wu, Guangjian; Ma, Yaoming; Gao, Jing; Yang, Xiaoxin; Zhang, Jingyi; Qu, Dongmei] Chinese Acad Sci, Inst Tibetan Plateau Res, Key Lab Tibetan Environm Changes &amp; Land Surface P, Beijing 100101, Peoples R China; [Yu, Wusheng; Yao, Tandong; Zhao, Huabiao; Xu, Baiqing; Wu, Guangjian; Ma, Yaoming; Gao, Jing; Yang, Xiaoxin] CAS Ctr Excellence Tibetan Plateau Earth Sci, Beijing 100101, Peoples R China; [Thompson, Lonnie G.] Ohio State Univ, Byrd Polar &amp; Climate Res Ctr, Columbus, OH 43210 USA; [Jouzel, Jean] CEA CNRS UVSQ, Lab Sci Climat &amp; Environm IPSL, UMR 8212, Gif Sur Yvette, France; [Wang, Ninglian] Northwest Univ, Coll Urban &amp; Environm Sci, Xian 710127, Peoples R China</t>
  </si>
  <si>
    <t>Chinese Academy of Sciences; Institute of Tibetan Plateau Research, CAS; University System of Ohio; Ohio State University; Centre National de la Recherche Scientifique (CNRS); CNRS - National Institute for Earth Sciences &amp; Astronomy (INSU); CEA; Universite Paris Saclay; Northwest University Xi'an</t>
  </si>
  <si>
    <t>Yu, WS (corresponding author), Chinese Acad Sci, Inst Tibetan Plateau Res, Key Lab Tibetan Environm Changes &amp; Land Surface P, Beijing 100101, Peoples R China.</t>
  </si>
  <si>
    <t>yuws@itpcas.ac.cn</t>
  </si>
  <si>
    <t>Yu, Wusheng/P-1123-2015</t>
  </si>
  <si>
    <t>Jing, Zhaowei/0000-0002-1049-4505; Yu, Wusheng/0000-0002-3089-0820</t>
  </si>
  <si>
    <t>CAS [XDA20060200]; National Key R&amp;D Program of China [2017YFA0603303]; NSFC [41671054, 41771085]</t>
  </si>
  <si>
    <t>CAS(Chinese Academy of Sciences); National Key R&amp;D Program of China; NSFC(National Natural Science Foundation of China (NSFC))</t>
  </si>
  <si>
    <t>This research is supported by the CAS (XDA20060200), the National Key R&amp;D Program of China (2017YFA0603303), and the NSFC (41671054, 41771085). Thanks go to Dr. Mary E. Davis (The Ohio State University, USA) for her valuable editing and comments. The authors acknowledge Dr. Sebastian G. Mutz (University of Tuebingen, Germany) for providing ECHAM5-wiso simulated isotopic data. Special thanks are given to two anonymous reviewers for their constructive comments. Some observed isotopic data used in this paper are from the IAEA/WMO Global Network of Isotopes in Precipitation (GNIP). Water vapor isotopic data derived from Tropospheric Emission Spectrometer (TES), onboard the NASA Aura satellite, were provided by NASA Langley Research Center Atmospheric Science Data Center. Some meteorological data were obtained from the Climatic Data Center, National Meteorological Information Center, China Meteorological Administration. NCEP reanalysis-derived data were obtained from the NOAA/OAR/ESRL PSD, Boulder, Colorado, USA. The TMPA data were provided by the NASA/Goddard Space Flight Center's Mesoscale Atmospheric Processes Laboratory and PPS, which develop and compute the TMPA as a contribution to TRMM. The ISCCP D1 and D2 products (cloud-top temperature, CTT) were obtained from NASA Goddard Institute for Space Studies. The data of the northern hemisphere temperature (CRUTEM4) were obtained from the Climatic Research Unit (University of East Anglia) and the Hadley Centre (UK Met Office).</t>
  </si>
  <si>
    <t>10.1016/j.epsl.2020.116665</t>
  </si>
  <si>
    <t>WOS:000604582500018</t>
  </si>
  <si>
    <t>Travers, T; Lea, MA; Alderman, R; Terauds, A; Shaw, J</t>
  </si>
  <si>
    <t>Travers, Toby; Lea, Mary-Anne; Alderman, Rachael; Terauds, Aleks; Shaw, Justine</t>
  </si>
  <si>
    <t>Bottom-up effect of eradications: The unintended consequences for top-order predators when eradicating invasive prey</t>
  </si>
  <si>
    <t>JOURNAL OF APPLIED ECOLOGY</t>
  </si>
  <si>
    <t>apex predator; breeding decline; eradication; invasive species; Oryctolagus cuniculus; prey-loss; secondary poisoning; stable isotope analysis</t>
  </si>
  <si>
    <t>BREEDING DISTRIBUTION; ISLANDS; DIET; FRAMEWORK; PATTERNS; RECOVERY; IMPACTS; SKUA</t>
  </si>
  <si>
    <t>The eradication of invasive species from islands yields significant conservation returns. However, novel challenges continue to arise as projects expand in their scope, complexity and scale. Prey-loss and secondary poisoning were historically considered to have limited impact on native top-order predators when planning eradications, but this has rarely been tested quantitatively. We used a 10-year timeseries of Brown Skua Stercorarius antarcticus lonnbergi breeding surveys and isotopic dietary analysis on Macquarie Island to investigate how prey-loss and secondary poisoning deaths resulting from the eradication of an abundant invasive prey species, European rabbits Oryctolagus cuniculus, affected a top-order predator. Skua nest density declined from 7.14 nests/km(2) (95% CI: 6.01-8.27) in the presence of rabbits (pre-eradication) to 3.73 nests/km(2) (95% CI: 2.96-4.51) in the first 3 years after the eradication of rabbits, before showing signs of recovery in the 4 years thereafter. However, breeding success dropped from 1.01 chicks/nest (95% CI: 0.76-1.26) to as low as 0.38 chicks/nest (95% CI: 0.23-0.53) with little evidence of recovery. Secondary poisoning affected a greater number of skuas than anticipated prior to the eradication, including skuas nesting in areas where rabbits were not typically hunted as prey. We highlight that invasive prey often replace native prey in the diet of native predators rather than provide an additional source of food, and rapid eradication of non-native prey can have long-term impacts for predators, particularly when recovery of native prey is slow. Synthesis and applications. Monitoring programmes that complement large-scale eradication projects and address (a) trophic-driven declines in predator populations and (b) population-level impacts of secondary poisoning are integral to ensuring bottom-up effects of eradications are anticipated and adequately quantified. If prey deficits caused by eradication of invasive prey are expected to be severe but short-lived, supplementary feeding programmes may buffer against increased predation pressure on native prey and reduced breeding success of native predators. Alternatively, if the rapid recovery of native prey is not expected to occur naturally, breeding programmes and translocation of native prey prior to assist recovery of native predators should be considered to support ecosystem restoration.</t>
  </si>
  <si>
    <t>[Travers, Toby; Lea, Mary-Anne] Univ Tasmania, Inst Marine &amp; Antarct Studies, Hobart, Tas, Australia; [Alderman, Rachael] Dept Primary Ind Pk Water &amp; Environm, Hobart, Tas, Australia; [Terauds, Aleks] Australian Antarctic Div, Dept Agr Water &amp; Environm, Kingston, Tas, Australia; [Shaw, Justine] Univ Queensland, Sch Biol Sci, Ctr Biodivers &amp; Conservat Sci, St Lucia, Qld, Australia</t>
  </si>
  <si>
    <t>University of Tasmania; Australian Antarctic Division; University of Queensland</t>
  </si>
  <si>
    <t>Travers, T (corresponding author), Univ Tasmania, Inst Marine &amp; Antarct Studies, Hobart, Tas, Australia.</t>
  </si>
  <si>
    <t>toby.travers@utas.edu.au</t>
  </si>
  <si>
    <t>Terauds, Aleks/A-4991-2010; Lea, Mary-Anne/E-9054-2013</t>
  </si>
  <si>
    <t>Terauds, Aleks/0000-0001-7804-6648; Lea, Mary-Anne/0000-0001-8318-9299; Shaw, Justine/0000-0002-9603-2271</t>
  </si>
  <si>
    <t>Australian Antarctic Division [AAS4305]; Holsworth Wildlife Research Endowment; Threatened Species Recovery Hub, National Environmental Science Programme, Australian Government; University of Tasmania Animal Ethics Committee (AEC) [A0016085]; Department for Primary Industries, Parks, Water and Environment [16/2008-09, 14/2015-16]</t>
  </si>
  <si>
    <t>Australian Antarctic Division; Holsworth Wildlife Research Endowment; Threatened Species Recovery Hub, National Environmental Science Programme, Australian Government; University of Tasmania Animal Ethics Committee (AEC); Department for Primary Industries, Parks, Water and Environment</t>
  </si>
  <si>
    <t>Australian Antarctic Division, Grant/Award Number: AAS4305; Holsworth Wildlife Research Endowment; Threatened Species Recovery Hub, National Environmental Science Programme, Australian Government; University of Tasmania Animal Ethics Committee (AEC), Grant/Award Number: A0016085; Department for Primary Industries, Parks, Water and Environment, Grant/Award Number: 16/2008-09 and 14/2015-16</t>
  </si>
  <si>
    <t>0021-8901</t>
  </si>
  <si>
    <t>1365-2664</t>
  </si>
  <si>
    <t>J APPL ECOL</t>
  </si>
  <si>
    <t>J. Appl. Ecol.</t>
  </si>
  <si>
    <t>10.1111/1365-2664.13828</t>
  </si>
  <si>
    <t>RJ3IY</t>
  </si>
  <si>
    <t>WOS:000607717000001</t>
  </si>
  <si>
    <t>Clarke, LJ; Suter, L; King, R; Bissett, A; Bestley, S; Deagle, BE</t>
  </si>
  <si>
    <t>Clarke, Laurence J.; Suter, Leonie; King, Rob; Bissett, Andrew; Bestley, Sophie; Deagle, Bruce E.</t>
  </si>
  <si>
    <t>Bacterial epibiont communities of panmictic Antarctic krill are spatially structured</t>
  </si>
  <si>
    <t>MOLECULAR ECOLOGY</t>
  </si>
  <si>
    <t>bacteria; crustaceans; fisheries management; microbial biology; population dynamics</t>
  </si>
  <si>
    <t>RIBOSOMAL-RNA SEQUENCES; GROWTH; GENETICS; INSIGHTS; ECOLOGY; GENES; AGE</t>
  </si>
  <si>
    <t>Antarctic krill (Euphausia superba) are amongst the most abundant animals on Earth, with a circumpolar distribution in the Southern Ocean. Genetic and genomic studies have failed to detect any population structure for the species, suggesting a single panmictic population. However, the hyper-abundance of krill slows the rate of genetic differentiation, masking potential underlying structure. Here we use high-throughput sequencing of bacterial 16S rRNA genes to show that krill bacterial epibiont communities exhibit spatial structuring, driven mainly by distance rather than environmental factors, especially for strongly krill-associated bacteria. Estimating the ecological processes driving bacterial community turnover indicated this was driven by bacterial dispersal limitation increasing with geographic distance. Furthermore, divergent epibiont communities generated from a single krill swarm split between aquarium tanks under near-identical conditions suggests physical isolation in itself can cause krill-associated bacterial communities to diverge. Our findings show that Antarctic krill-associated bacterial communities are geographically structured, in direct contrast with the lack of structure observed for krill genetic and genomic data.</t>
  </si>
  <si>
    <t>[Clarke, Laurence J.; Suter, Leonie; King, Rob; Deagle, Bruce E.] Australian Antarctic Div, Kingston, Tas 7050, Australia; [Clarke, Laurence J.; Bestley, Sophie] Univ Tasmania, Inst Marine &amp; Antarctic Studies, Hobart, Tas, Australia; Univ Tasmania, Antarctic Climate &amp; Ecosyst Cooperat Res Ctr, Hobart, Tas, Australia; [Bissett, Andrew; Deagle, Bruce E.] CSIRO, Hobart, Tas, Australia</t>
  </si>
  <si>
    <t>Australian Antarctic Division; University of Tasmania; Antarctic Climate &amp; Ecosystems Cooperative Research Centre (ACE CRC); University of Tasmania; Commonwealth Scientific &amp; Industrial Research Organisation (CSIRO)</t>
  </si>
  <si>
    <t>Clarke, LJ (corresponding author), Australian Antarctic Div, Kingston, Tas 7050, Australia.</t>
  </si>
  <si>
    <t>laurence.clarke@utas.edu.au</t>
  </si>
  <si>
    <t>Bestley, Sophie/AAN-2483-2021; Deagle, Bruce E/R-2999-2019; Bissett, Andrew/AFR-3887-2022; Suter, Leonie/A-3157-2017</t>
  </si>
  <si>
    <t>Bestley, Sophie/0000-0001-9342-669X; Deagle, Bruce E/0000-0001-7651-3687; Bissett, Andrew/0000-0001-7396-1484; King, Robert/0000-0002-4650-2335; Suter, Leonie/0000-0002-6434-1766</t>
  </si>
  <si>
    <t>Australian Antarctic Science Program [AAS-4015, 4313]; Bioplatforms Industry Access Voucher; Australia Research Council Discovery Early Career Researcher Award [DE180100828]; Early Postdoc Mobility fellowship from the Swiss National Science Foundation [P2EZP3_162241]; Swiss National Science Foundation (SNF) [P2EZP3_162241] Funding Source: Swiss National Science Foundation (SNF); Australian Research Council [DE180100828] Funding Source: Australian Research Council</t>
  </si>
  <si>
    <t>Australian Antarctic Science Program; Bioplatforms Industry Access Voucher; Australia Research Council Discovery Early Career Researcher Award(Australian Research Council); Early Postdoc Mobility fellowship from the Swiss National Science Foundation(Swiss National Science Foundation (SNSF)); Swiss National Science Foundation (SNF)(Swiss National Science Foundation (SNSF)); Australian Research Council</t>
  </si>
  <si>
    <t>This work is supported by the Australian Antarctic Science Program (AAS-4015 and 4313 to BED), a Bioplatforms Industry Access Voucher (to BED and LJC), an Australia Research Council Discovery Early Career Researcher Award (DE180100828 to SB) and an Early Postdoc Mobility fellowship from the Swiss National Science Foundation (P2EZP3_162241 to LS). The funders had no role in study design, data collection and analysis, decision to publish or preparation of the manuscript.</t>
  </si>
  <si>
    <t>0962-1083</t>
  </si>
  <si>
    <t>1365-294X</t>
  </si>
  <si>
    <t>MOL ECOL</t>
  </si>
  <si>
    <t>Mol. Ecol.</t>
  </si>
  <si>
    <t>10.1111/mec.15771</t>
  </si>
  <si>
    <t>Biochemistry &amp; Molecular Biology; Ecology; Evolutionary Biology</t>
  </si>
  <si>
    <t>Biochemistry &amp; Molecular Biology; Environmental Sciences &amp; Ecology; Evolutionary Biology</t>
  </si>
  <si>
    <t>QG5SL</t>
  </si>
  <si>
    <t>WOS:000607631400001</t>
  </si>
  <si>
    <t>Oyarzún-Salazar, R; Rojas, JJ; Pontigo, JP; Mardones, O; Muñoz, JLP; Dantagnan, P; Vargas-Chacoff, L</t>
  </si>
  <si>
    <t>Oyarzun-Salazar, R.; Rojas, J. J.; Pontigo, J. P.; Mardones, O.; Munoz, J. L. P.; Dantagnan, P.; Vargas-Chacoff, L.</t>
  </si>
  <si>
    <t>Long-term effects of temperatures on the physiological response of juveniles of the eurythermal sub-antarctic notothenioid Eleginops maclovinus</t>
  </si>
  <si>
    <t>AQUACULTURE</t>
  </si>
  <si>
    <t>Eleginops maclovinus; Long-term high temperature; Mortality; Growth; Energy substrates; Fatty acids; Serotonin; Catecholamines</t>
  </si>
  <si>
    <t>ARACHIDONIC-ACID; RAINBOW-TROUT; AMMONIA TOXICITY; STRESS-RESPONSE; CLIMATE-CHANGE; FISH; GROWTH; BRAIN; PERFORMANCE; METABOLISM</t>
  </si>
  <si>
    <t>Eleginops maclovinus is a subantartic notothenic with eurythermal characteristics and potential for Chilean aquaculture. However, the information regarding their physiological response to long-term temperatures and optimum temperature range for physiological process is unknown. In the present study, we evaluated under experimental conditions, the long-term effects (60 days) of temperatures of 15 degrees C and high temperatures of 20 and 25 degrees C, (10 degrees C as control) on the physiology of E. maclovinus juveniles. At the end of the experimental period, survival was 36% at 25 degrees C and mortality started after 30 days, while at the other temperatures the survival was 100%. The growth and food intake did not present significant differences at 10, 15 and 20 degrees C, while at 25 degrees C growth decreased at day 15, to subsequently present a compensatory growth at day 30 and finally a decrease in growth and food intake at day 60. In general, the energy substrates in liver, gills, serum, and spleen showed a significant decrease at 25 degrees C, with a marked decrease in triglycerides, while white muscle presented an opposite pattern with an increase in total lipids and glycogen at 25 degrees C. Serum cortisol and ammonium increased at the higher temperature suggesting an increased metabolism. In the brain, high temperatures had a marked effect on monoamine neurotransmitters, with increased levels of serotonin (5-HT) and norepinephrine (NAd). Fatty acids in white muscle were modulated by high temperatures. In general, saturated fatty acids were significantly decreased at higher temperatures, while for monounsaturated fatty acids only C20:1n9 showed a decrease at 25 degrees C. The most abundant polyunsaturated fatty acids in white muscle were C22:6n3 (DHA) and C20:5n3 (EPA), which did not change at a higher temperature, while C20:4n6 (ARA) and C18:3n3 (ALA) showed an increase and a decrease at 25 degrees C, respectively. In conclusion, we suggest that E. maclovinus juveniles tolerate up to 20 degrees C, increasing their metabolism without negatively affecting their physiology, while a temperature of 25 degrees C or higher could be lethal in a long-term scenario.</t>
  </si>
  <si>
    <t>[Oyarzun-Salazar, R.; Rojas, J. J.; Pontigo, J. P.; Vargas-Chacoff, L.] Univ Austral Chile, Inst Marine &amp; Limnol Sci, Valdivia, Chile; [Oyarzun-Salazar, R.] Univ Austral Chile, Grad Sch, Doctorate Program Aquaculture Sci, Puerto Montt, Chile; [Oyarzun-Salazar, R.; Vargas-Chacoff, L.] Univ Austral Chile, Acronym Spanish, Fondap Ctr Res High Latitudes IDEAL, Valdivia, Chile; [Pontigo, J. P.] Univ San Sebastian, Fac Med Vet, Lab Biotecnol Aplicada, Puerto Montt, Chile; [Mardones, O.; Munoz, J. L. P.] Univ Lakes, Ctr I Mar, Puerto Montt, Chile; [Dantagnan, P.] Catholic Univ Temuco, Fac Nat Resources, Dept Agr &amp; Aquaculture Sci, Temuco, Chile</t>
  </si>
  <si>
    <t>Universidad Austral de Chile; Universidad Austral de Chile; Universidad Austral de Chile; Universidad San Sebastian; Universidad Catolica de Temuco</t>
  </si>
  <si>
    <t>Oyarzún-Salazar, R; Vargas-Chacoff, L (corresponding author), Univ Austral Chile, Inst Marine &amp; Limnol Sci, Valdivia, Chile.</t>
  </si>
  <si>
    <t>ricardo.oyarzun.salazar@alumnos.uach.cl; luis.vargas@uach.cl</t>
  </si>
  <si>
    <t>Pontigo, Juan Pablo/AAS-2367-2021; Vargas-Chacoff, Luis LVCh/A-5855-2012; Oyarzún-Salazar, Ricardo/HGU-6035-2022; Perez, Jose Luis JLP munoz Muñoz/D-7774-2013</t>
  </si>
  <si>
    <t>Pontigo, Juan Pablo/0000-0003-0084-0862; Dantagnan, Patricio/0000-0001-8455-1448; Munoz Perez, Jose Luis/0000-0002-4645-0176; Oyarzun-Salazar, Ricardo/0000-0003-3177-399X</t>
  </si>
  <si>
    <t>Fondap-Ideal Grant [15150003]; Fondecyt [1160877]; Conicyt-PCHA/Doctorado nacional [21160204]; VIDCA of the Universidad Austral de Chile</t>
  </si>
  <si>
    <t>Fondap-Ideal Grant; Fondecyt(Comision Nacional de Investigacion Cientifica y Tecnologica (CONICYT)CONICYT FONDECYT); Conicyt-PCHA/Doctorado nacional; VIDCA of the Universidad Austral de Chile</t>
  </si>
  <si>
    <t>This study was funded by Fondap-Ideal Grant No 15150003, Fondecyt Regular No 1160877, Conicyt-PCHA/Doctorado nacional/2016-21160204 and the VIDCA of the Universidad Austral de Chile.</t>
  </si>
  <si>
    <t>0044-8486</t>
  </si>
  <si>
    <t>1873-5622</t>
  </si>
  <si>
    <t>Aquaculture</t>
  </si>
  <si>
    <t>10.1016/j.aquaculture.2020.735797</t>
  </si>
  <si>
    <t>OG9BI</t>
  </si>
  <si>
    <t>WOS:000582169700045</t>
  </si>
  <si>
    <t>Siqueira, RG; Schaefer, CEGR; Fernandes, EI; Corrêa, GR; Francelino, MR; de Souza, JJLL; Rocha, PD</t>
  </si>
  <si>
    <t>Siqueira, Rafael G.; Schaefer, Carlos Ernesto G. R.; Fernandes Filho, Elpidio, I; Correa, Guilherme R.; Francelino, Marcio R.; de Souza, Jose Joao L. L.; Rocha, Pablo de A.</t>
  </si>
  <si>
    <t>Weathering and pedogenesis of sediments and basaltic rocks on Vega Island, Antarctic Peninsula</t>
  </si>
  <si>
    <t>GEODERMA</t>
  </si>
  <si>
    <t>Antarctica; Cryosol; Sulfate minerals; Salinization; Fe-oxides</t>
  </si>
  <si>
    <t>JAMES-ROSS-ISLAND; SOUTH-SHETLAND ISLANDS; KING-GEORGE ISLAND; MARITIME ANTARCTICA; ORNITHOGENIC SOILS; WRIGHT VALLEY; WEDDELL SEA; CAPE LAMB; HOPE BAY; LANDSCAPE</t>
  </si>
  <si>
    <t>Vega Island in the Weddell Sea is characterized by a semiarid climate and peculiar soil formation due to its transitional location between warmer and wetter Maritime Antarctica (MA) and drier colder Continental Antarctica (CA). We investigated the main factors and processes involved in soil genesis at Cape Lamb on Vega Island. Thirty pedons were sampled, described and analyzed for morphological, physical, geochemical and mineralogical properties. Twenty-two pedons were classified as Gelisols/Cryosols. Three soil groups were identified: (1) mixed substrates soils (2), acid sulfate soils and (3) basaltic soils. Acid sulfate soils showed the greatest degree of weathering with pronounced acidity due to sulfurization. Basaltic soils were the least developed and presented shallow pedons of skeletic character and high alkalinity. Parent material was the main factor in the differentiation of the studied soils. Climate and landforms were also important. Desert pavement, salinization and ahumic features induced by the semiarid climate, oppose acidification and cryoturbation, characterizing the transitional location of Vega Island. Patterned ground dominates on periglacial highlands, while desert pavements are more common on paraglacial surfaces. Despite the semiarid climate, pedogenesis is active in the studied soils, with clay minerals, sulfate minerals and pedogenic Fe-oxides formation.</t>
  </si>
  <si>
    <t>[Siqueira, Rafael G.; Schaefer, Carlos Ernesto G. R.; Fernandes Filho, Elpidio, I; Francelino, Marcio R.; de Souza, Jose Joao L. L.] Univ Fed Vicosa, Dept Solos, Av PH Rolfs S-N, Vicosa, MG, Brazil; [Correa, Guilherme R.] Univ Fed Uberlandia, Inst Geog, Av Joao Naves Avila 2121, Uberlandia, MG, Brazil; [Rocha, Pablo de A.] Univ Fed Espirito Santo, Dept Geog, Av Fernando Ferrari 514, Vitoria, ES, Brazil</t>
  </si>
  <si>
    <t>Universidade Federal de Vicosa; Universidade Federal de Uberlandia; Universidade Federal do Espirito Santo</t>
  </si>
  <si>
    <t>Siqueira, RG (corresponding author), Univ Fed Vicosa, Dept Solos, Av PH Rolfs S-N, Vicosa, MG, Brazil.</t>
  </si>
  <si>
    <t>rafael.geo.siqueira@gmail.com</t>
  </si>
  <si>
    <t>Souza, José João Lelis Leal de/G-5960-2018; de Souza, José João Lelis Leal/AAL-7291-2021; Filho, Elpídio Inácio Fernandes/AAE-7315-2019; Schaefer, Carlos Ernesto/AAY-4977-2020; Francelino, Marcio Rocha/AAS-4224-2020</t>
  </si>
  <si>
    <t>Souza, José João Lelis Leal de/0000-0003-4670-6626; de Souza, José João Lelis Leal/0000-0003-4670-6626; Filho, Elpídio Inácio Fernandes/0000-0002-9484-1411; Francelino, Marcio Rocha/0000-0001-8837-1372; Siqueira, Rafael Gomes/0000-0003-2779-136X</t>
  </si>
  <si>
    <t>Coordenacao de Aperfeicoamento de Pessoal de Nivel Superior - Brasil (CAPES) [001]; Conselho Nacional de Desenvolvimento Cientifico e Tecnologico (CNPq); Programa Brasileiro Antartico (PROANTAR)</t>
  </si>
  <si>
    <t>Coordenacao de Aperfeicoamento de Pessoal de Nivel Superior - Brasil (CAPES)(Coordenacao de Aperfeicoamento de Pessoal de Nivel Superior (CAPES)); Conselho Nacional de Desenvolvimento Cientifico e Tecnologico (CNPq)(Conselho Nacional de Desenvolvimento Cientifico e Tecnologico (CNPQ)); Programa Brasileiro Antartico (PROANTAR)</t>
  </si>
  <si>
    <t>This study was financed in part by the Coordenacao de Aperfeicoamento de Pessoal de Nivel Superior - Brasil (CAPES) Finance Code 001. We also acknowledge Conselho Nacional de Desenvolvimento Cientifico e Tecnologico (CNPq) and Programa Brasileiro Antartico (PROANTAR) for financial support. This work is a contribution of Institute of Science and Technology of the Cryosphere TERRANTAR group.</t>
  </si>
  <si>
    <t>0016-7061</t>
  </si>
  <si>
    <t>1872-6259</t>
  </si>
  <si>
    <t>Geoderma</t>
  </si>
  <si>
    <t>10.1016/j.geoderma.2020.114707</t>
  </si>
  <si>
    <t>Soil Science</t>
  </si>
  <si>
    <t>Agriculture</t>
  </si>
  <si>
    <t>OT3JV</t>
  </si>
  <si>
    <t>WOS:000590747200007</t>
  </si>
  <si>
    <t>Cannings, T; Balmer, EM; Coletti, G; Ickert, RB; Kroon, D; Raffi, I; Robertson, AHF</t>
  </si>
  <si>
    <t>Cannings, Torin; Balmer, Elizabeth M.; Coletti, Giovanni; Ickert, Ryan B.; Kroon, Dick; Raffi, Isabella; Robertson, Alastair H. F.</t>
  </si>
  <si>
    <t>Microfossil and strontium isotope chronology used to identify the controls of Miocene reefs and related facies in NW Cyprus</t>
  </si>
  <si>
    <t>JOURNAL OF THE GEOLOGICAL SOCIETY</t>
  </si>
  <si>
    <t>MESSINIAN SALINITY CRISIS; PLEISTOCENE CALCAREOUS NANNOFOSSILS; CORALLINE-ALGAL ASSEMBLAGES; SEA-SURFACE TEMPERATURES; CARBONATE PLATFORM; MUT BASIN; ERATOSTHENES SEAMOUNT; SALENTO PENINSULA; SOUTHERN CYPRUS; TROODOS MASSIF</t>
  </si>
  <si>
    <t>The existing chronostratigraphic framework in NW Cyprus of two-phase, Early and Late Miocene reef and associated facies development is tested and improved using a combination of calcareous nannofossil, benthic and planktonic foraminiferal, and also Sr isotope dating. Following localized Late Oligocene neritic carbonate deposition (e.g. benthic foraminiferal shoals), reefs and related facies (Terra Member) began to develop c. 24 Ma (Aquitanian) and terminated c. 16 Ma (end-Burdigalian). Early Miocene reef and marginal facies were then extensively redeposited as multiple debris-flow deposits until c. 13.7 Ma, influenced by a combination of global sea-level fall (related to growth of the East Antarctic Ice Sheet) and local- to regional-scale tectonics. Reef growth and related deposition resumed (Koronia Member) c. 9.1 Ma (Tortonian), then terminated by c. 6.1 Ma (Middle Messinian), followed by the Messinian salinity crisis. Neritic accumulation in NW Cyprus began earlier (Late Oligocene), than in southern Cyprus (Early Miocene). The Early Miocene reefs developed on a roughly north-south-trending structural high in the west (Akamas Peninsula area) whereas the Late Miocene reefs developed on both flanks of the neotectonic Polis graben. The two-phase reef development is mirrored in SE Cyprus and in some other Mediterranean areas (e.g. southern Turkey, Israel, Italy, southern Spain).</t>
  </si>
  <si>
    <t>[Cannings, Torin; Balmer, Elizabeth M.; Kroon, Dick; Robertson, Alastair H. F.] Univ Edinburgh, Sch GeoSci, Grant Inst, James Hutton Rd, Edinburgh EH9 3FE, Midlothian, Scotland; [Coletti, Giovanni] Univ Milano Bicocca, Dipartimento Sci Ambiente &amp; Terr &amp; Sci Terra, I-20126 Milan, Italy; [Ickert, Ryan B.] Scottish Univ Environm Res Ctr, Scottish Enterprise Technol Pk,Rankine Ave, E Kilbride G75 0QF, Lanark, Scotland; [Raffi, Isabella] CeRSGeoUniv G dAnnunzio Chieti Pescara, Dipartimento Ingn &amp; Geotecnol InGeo, Campus Univ,Via Vestini 31, I-66013 Chieti, Italy; [Ickert, Ryan B.] Purdue Univ, Dept Earth Atmospher &amp; Planetary Sci, W Lafayette, IN 47907 USA</t>
  </si>
  <si>
    <t>University of Edinburgh; University of Milano-Bicocca; Scottish Universities Research &amp; Reactor Center; G d'Annunzio University of Chieti-Pescara; Purdue University System; Purdue University</t>
  </si>
  <si>
    <t>Cannings, T (corresponding author), Univ Edinburgh, Sch GeoSci, Grant Inst, James Hutton Rd, Edinburgh EH9 3FE, Midlothian, Scotland.</t>
  </si>
  <si>
    <t>torin.cannings@ed.ac.uk</t>
  </si>
  <si>
    <t>; Ickert, Ryan/B-4573-2008</t>
  </si>
  <si>
    <t>Cannings, Torin/0000-0001-8416-0340; Ickert, Ryan/0000-0003-4171-7676</t>
  </si>
  <si>
    <t>GEOLOGICAL SOC PUBL HOUSE</t>
  </si>
  <si>
    <t>BATH</t>
  </si>
  <si>
    <t>UNIT 7, BRASSMILL ENTERPRISE CENTRE, BRASSMILL LANE, BATH BA1 3JN, AVON, ENGLAND</t>
  </si>
  <si>
    <t>0016-7649</t>
  </si>
  <si>
    <t>2041-479X</t>
  </si>
  <si>
    <t>J GEOL SOC LONDON</t>
  </si>
  <si>
    <t>J. Geol. Soc.</t>
  </si>
  <si>
    <t>jgs2020-081</t>
  </si>
  <si>
    <t>10.1144/jgs2020-081</t>
  </si>
  <si>
    <t>RA6XQ</t>
  </si>
  <si>
    <t>WOS:000614227300001</t>
  </si>
  <si>
    <t>Knazková, M; Nyvlt, D; Hrbácek, F</t>
  </si>
  <si>
    <t>Knazkova, Michaela; Nyvlt, Daniel; Hrbacek, Filip</t>
  </si>
  <si>
    <t>Slope processes connected with snow patches in semi-arid ice-free areas of James Ross Island, Antarctic Peninsula</t>
  </si>
  <si>
    <t>GEOMORPHOLOGY</t>
  </si>
  <si>
    <t>Holocene; Antarctica; Nivation; Landscape modelling</t>
  </si>
  <si>
    <t>LANDSCAPE EVOLUTION; ULU PENINSULA; NIVATION; TEMPERATURES; TRANSPORT; LANDFORMS; SITE; MAP</t>
  </si>
  <si>
    <t>In this study, we aim to describe geomorphological processes related to snow patches in the ice-free environment of James Ross Island located in Maritime Antarctica. The area of interest for this study is situated on Cape Lachman and consists of an approximately 1500 m long and 300 m wide oval-shaped depression with two shallow lakes at the bottom. Due to the varied aspect of the slopes, large snow accumulations form in the southern part of the depression, where the slopes exhibit a lee aspect towards the prevailing southwestern wind. Within the semi-arid conditions of James Ross Island, the redistribution of snow by wind and the availability of moisture from the melting snow play a key role in shaping of the landscape. Via repeated UAV surveys, field campaigns and construction of a digital terrain model of the study area, we were able to identify the specific landforms that have been shaped by nival processes, such as winnowing of the fine material and its subsequent transport downslope; and mass wasting, resulting from slumping of the meltwater-saturated active layer. We developed a three-step model of landscape evolution throughout the Holocene, which helps to explain how snow-related processes contribute to landscape shaping within the ice-free environment of James Ross Island. (C) 2020 Elsevier B.V. All rights reserved.</t>
  </si>
  <si>
    <t>[Knazkova, Michaela; Nyvlt, Daniel; Hrbacek, Filip] Masaryk Univ, Dept Geog, Polar Geolab, Brno, Czech Republic</t>
  </si>
  <si>
    <t>Masaryk University Brno</t>
  </si>
  <si>
    <t>Knazková, M (corresponding author), Dept Geog, Kotlarska 2, Brno 61137, Czech Republic.</t>
  </si>
  <si>
    <t>michaelaknazkova@mail.muni.cz</t>
  </si>
  <si>
    <t>Hrbacek, Filip/ABG-4319-2020; Nyvlt, Daniel/D-5708-2011</t>
  </si>
  <si>
    <t>Hrbacek, Filip/0000-0001-5032-9216; Nyvlt, Daniel/0000-0002-6876-490X</t>
  </si>
  <si>
    <t>Ministry of Education, Youth and Sports of the Czech Republic projects [LM2015078, CZ.02.1.01/0.0/0.0/16_013/0001708, VAN 2020/1]; Masaryk University project [MUNI/A/1576/2018]</t>
  </si>
  <si>
    <t>Ministry of Education, Youth and Sports of the Czech Republic projects(Ministry of Education, Youth &amp; Sports - Czech Republic); Masaryk University project</t>
  </si>
  <si>
    <t>Research was supported by The Ministry of Education, Youth and Sports of the Czech Republic projects LM2015078, CZ.02.1.01/0.0/0.0/16_013/0001708, VAN 2020/1 and by the Masaryk University project MUNI/A/1576/2018. We thank the colleagues and the crew of the J.G. Mendel Station during Antarctic expeditions of 2017, 2018 and 2020 for their help during the field work. We would further like to thank Cliff Atkins and an anonymous reviewer for their valuable suggestions and comments.</t>
  </si>
  <si>
    <t>0169-555X</t>
  </si>
  <si>
    <t>1872-695X</t>
  </si>
  <si>
    <t>Geomorphology</t>
  </si>
  <si>
    <t>10.1016/j.geomorph.2020.107479</t>
  </si>
  <si>
    <t>PC7NX</t>
  </si>
  <si>
    <t>WOS:000597184500013</t>
  </si>
  <si>
    <t>Ponti, S; Pezza, M; Guglielmin, M</t>
  </si>
  <si>
    <t>Ponti, S.; Pezza, M.; Guglielmin, M.</t>
  </si>
  <si>
    <t>The development of Antarctic tafoni: Relations between differential weathering rates and spatial distribution of thermal events, salts concentration and mineralogy</t>
  </si>
  <si>
    <t>Tafoni; Granite weathering; Infrared thermography; Thermal stress; Salt weathering</t>
  </si>
  <si>
    <t>Tafoni are one of the most interesting weathering features developed in many areas of the world from tropical areas to polar ones such as Antarctica. Here, we present the results on 4 tafoni in similar conditions (aspect, slope, distance from the sea, elevation) and in the same granite close to the Italian Antarctic station at Mario Zucchelli Station (74 degrees 42S). These tafoni were thermally monitored through infrared thermography and in situ thermistors for an austral summer (2018/19). They were also mineralogically characterized through the image analyses in each tafone sectors (Top, Ceiling, Side and Floor). Salts concentration on the weathered material removed through the scratching was also detected through chemical analyses. Moreover, the weathering rate was calculated through periodic sample weightings of the scratched material from the different tafone sectors. Our results confirmed the importance of the fractures inclination that seem to favor the vertical development of the cavities where basal fractures occurred and the backward development where fractures are vertical. The weathering rates shown that vertical development was always faster than the backward (except for O4) and that the former is statistically linked with the size of the tafone. At mineralogical scale, the higher weathered removal of the quartz concentration could be more closely related to the higher cryogenic weathering of intra-crystal fractures that occur at very low temperatures (-20 degrees C) in winter than to the thermal stress, thermal shock, or potential freeze-thaw cycles during the summer. Among the different salts, the strong relationship between weathering removals and chlorides suggests that chlorides in this climate are more effective than sulphates. The seasonal trend of weathering matches well with the breaking up of sea ice towards the Tethys Bay and can provide a supply of sea spray that is richer in chlorides (halite) than in sulphates (thenardite, mirabilite). From the analyses of the spatial thermal variability, we could argue that the thermal stress during the summer is not relevant except for the tafone O4. The fact that higher weathering removal were recorded in the innermost (C and S) of the tafoni where thermal variability and AMP were lower suggests that higher moisture content is the crucial factor for a high evaporation flux that can enhance the salt action. (C) 2020 Elsevier B.V. All rights reserved.</t>
  </si>
  <si>
    <t>[Ponti, S.; Guglielmin, M.] Insubria Univ, Dept Theoret &amp; Appl Sci, I-21100 Varese, Italy; [Pezza, M.] Italian Natl Agcy New Technol Energy &amp; Sustainabl, SSPT PROTER OEM, I-00123 Rome, Italy</t>
  </si>
  <si>
    <t>University of Insubria; Italian National Agency New Technical Energy &amp; Sustainable Economics Development</t>
  </si>
  <si>
    <t>Guglielmin, M (corresponding author), Insubria Univ, Dept Theoret &amp; Appl Sci, I-21100 Varese, Italy.</t>
  </si>
  <si>
    <t>mauro.guglielmin@uninsubria.it</t>
  </si>
  <si>
    <t>Ponti, Stefano/AAB-3484-2021</t>
  </si>
  <si>
    <t>Ponti, Stefano/0000-0002-4718-165X</t>
  </si>
  <si>
    <t>Italian PNRA grant [PNRA16_00194]</t>
  </si>
  <si>
    <t>Italian PNRA grant</t>
  </si>
  <si>
    <t>This project was funded by Italian PNRA grant PNRA16_00194 Valutazione degli impatti del cambiamento climatico sulla vegetazione e il permafrost in Antartide. Wewould like to thank all the people from PNRA who provided the logistical support needed to carry out the research. We also are grateful to thank dr. John Bills and dr. Eleanor Jones for her help in the manuscript phrasing.</t>
  </si>
  <si>
    <t>10.1016/j.geomorph.2020.107475</t>
  </si>
  <si>
    <t>WOS:000597184500011</t>
  </si>
  <si>
    <t>Vallelonga, P; de Gois, JS; Borges, DLG; Costas-Rodríguez, M; Gkinis, V; Lannuzel, D; Spolaor, A; Vanhaecke, F</t>
  </si>
  <si>
    <t>Vallelonga, Paul; de Gois, Jefferson S.; Borges, Daniel L. G.; Costas-Rodriguez, Marta; Gkinis, Vasileios; Lannuzel, Delphine; Spolaor, Andrea; Vanhaecke, Frank</t>
  </si>
  <si>
    <t>Concentration and isotopic composition of bromine and chlorine in Antarctic sea ice</t>
  </si>
  <si>
    <t>Sea ice; Halogen isotopes; Antarctic; Trace elements; SIPEX-2; Chlorophyll-a; Brine; Multi-collector ICP-MS</t>
  </si>
  <si>
    <t>PLASMA-MASS SPECTROMETRY; IODINE; SALT; MONOXIDE; RECORD; SNOW</t>
  </si>
  <si>
    <t>This work presents the results from the first investigation of Br and Cl isotopic partitioning in Southern Ocean sea ice. The sea ice samples were collected during the Australian-led Sea Ice Physics and Ecosystem eXperiment-2 (SIPEX-2) marine voyage in austral spring of 2012 (26 Sept - 10 Nov), within the area bounded by 115-125 degrees E and 62-66 degrees S off the East Antarctic coast. Multicollector inductively coupled plasma mass spectrometry was used to provide isotopic data for bromine and chlorine. Bromine concentrations ranged from 710 +/- 20 mu g L-1 to 31440 +/- 570 mu g L-1 and chlorine concentrations ranged from 218 +/- 12 mg L-1 to 7945 +/- 351 mg L-1. Bromine and chlorine concentrations were positively correlated with a slope of 0.0038, consistent with the seawater Br/Cl ratio of 0.0035. Bromine isotopic compositions (denoted delta Br-81 with respect to SMOB isotopic reference) varied from -0.64 to 0.10 parts per thousand with a mean of -0.16 parts per thousand and standard deviation of 0.04 parts per thousand. Chlorine isotopic compositions (denoted delta Cl-37 with respect to SMOC isotopic reference) varied from -1.10 parts per thousand to 0.43 parts per thousand with a mean of -0.26 parts per thousand and standard deviation of 0.10 parts per thousand. Despite their strong concentration correlation, there was a much less consistent relation between Br and Cl isotopic compositions and great variability within individual sea ice cores. The samples showing the largest degree of fractionation in their Br and Cl isotopic compositions were found deepest in the sea ice samples. Multiple parameters may influence isotopic fractionation processes in sea ice, including ice texture, age, salt content, and algal biomass content (represented by chlorophyll-a concentrations), although no single factor was found to consistently correlate with the bromine or chlorine isotopic signature. We consider the possibility of isotopic fractionation resulting from brine rejection and desalinization processes. (C) 2020 Elsevier Ltd. All rights reserved.</t>
  </si>
  <si>
    <t>[Vallelonga, Paul; Gkinis, Vasileios] Univ Copenhagen, Niels Bohr Inst, Phys Ice Climate &amp; Earth, Tagensvej 16, DK-2200 Copenhagen, Denmark; [Vallelonga, Paul] Univ Western Australia, UWA Oceans Inst, M470, Crawley, WA 6009, Australia; [de Gois, Jefferson S.] Univ Estado Rio De Janeiro, Dept Analyt Chem, Rio De Janeiro, Brazil; [Borges, Daniel L. G.] Univ Fed Santa Catarina, CFM, Chem Dept, Campus Trindade, BR-88040970 Florianopolis, SC, Brazil; [Costas-Rodriguez, Marta; Vanhaecke, Frank] Univ Ghent, Dept Chem, Atom &amp; Mass Spectrometry Res Unit, Campus Sterre,Krijgslaan 281-S12, B-9000 Ghent, Belgium; [Lannuzel, Delphine] Univ Tasmania, Inst Marine &amp; Antarctic Studies, Antarctic Climate &amp; Ecosyst CRC, Private Bag 80, Hobart, Tas 7001, Australia; [Spolaor, Andrea] ISP CNR, Inst Polar Sci, Campus Sci Via Torino 155, I-30172 Venice, Italy; [Spolaor, Andrea] Ca Foscari Univ Venice, Dept Environm Sci Informat &amp; Stat, Campus Sci Via Torino 155, I-30172 Venice, Italy</t>
  </si>
  <si>
    <t>University of Copenhagen; Niels Bohr Institute; University of Western Australia; Universidade do Estado do Rio de Janeiro; Universidade Federal de Santa Catarina (UFSC); Ghent University; University of Tasmania; Consiglio Nazionale delle Ricerche (CNR); Istituto di Scienze Polari (ISP-CNR); Universita Ca Foscari Venezia</t>
  </si>
  <si>
    <t>de Gois, JS (corresponding author), Univ Estado Rio De Janeiro, Dept Analyt Chem, Rio De Janeiro, Brazil.</t>
  </si>
  <si>
    <t>jefferson.gois@uerj.br</t>
  </si>
  <si>
    <t>Costas Rodriguez, Marta/K-3862-2012; Vallelonga, Paul/I-9650-2016; Vanhaecke, Frank/AAO-4582-2020; Gkinis, Vasileios/E-8185-2011; lannuzel, delphine/J-7937-2014; Santos de Gois, Jefferson/M-2195-2014</t>
  </si>
  <si>
    <t>Costas Rodriguez, Marta/0000-0002-8159-9961; Vanhaecke, Frank/0000-0002-1884-3853; Borges, Daniel L. G./0000-0001-7829-7180; Gkinis, Vasileios/0000-0002-5910-1549; Spolaor, Andrea/0000-0001-8635-9193; lannuzel, delphine/0000-0001-6154-1837; Santos de Gois, Jefferson/0000-0002-5762-3407</t>
  </si>
  <si>
    <t>Flemish Research Foundation (FWO-Vlaanderen) [ZW15-02 -G0H6216N]; Conselho Nacional de Desenvolvimento Cienti'fico e Tecnologico (CNPq) [248868/2013-6, 304869/2019-8]; Coordenacao de Aperfeicoamento de Pessoal de Nivel Superior -Brazil (CAPES) [001]; Fundac ao de Amparo a Pesquisa no Rio de Janeiro (FAPERJ) [E26/202.755/2019]; CNPq; UERJ (Programa Pro-Ciencia); COST-INTIMATE for Short Term Scientific Meetings (STSM); Danish National Research Foundation (DNRF) Centre for Ice and Climate; Villum Investigator Project IceFlow [16572]</t>
  </si>
  <si>
    <t>Flemish Research Foundation (FWO-Vlaanderen)(FWO); Conselho Nacional de Desenvolvimento Cienti'fico e Tecnologico (CNPq)(Conselho Nacional de Desenvolvimento Cientifico e Tecnologico (CNPQ)); Coordenacao de Aperfeicoamento de Pessoal de Nivel Superior -Brazil (CAPES)(Coordenacao de Aperfeicoamento de Pessoal de Nivel Superior (CAPES)); Fundac ao de Amparo a Pesquisa no Rio de Janeiro (FAPERJ)(Fundacao Carlos Chagas Filho de Amparo a Pesquisa do Estado do Rio De Janeiro (FAPERJ)); CNPq(Conselho Nacional de Desenvolvimento Cientifico e Tecnologico (CNPQ)); UERJ (Programa Pro-Ciencia); COST-INTIMATE for Short Term Scientific Meetings (STSM); Danish National Research Foundation (DNRF) Centre for Ice and Climate; Villum Investigator Project IceFlow</t>
  </si>
  <si>
    <t>The Flemish Research Foundation (FWO-Vlaanderen) is acknowledged for providing the funding for the acquisition of MC-ICP-MS instrumentation (ZW15-02 -G0H6216N). JSG and DLGB are thankful to Conselho Nacional de Desenvolvimento Cienti ' fico e Tecnologico (CNPq) (248868/2013-6 and 304869/2019-8), Coordenacao de Aperfeicoamento de Pessoal de Nivel Superior -Brazil (CAPES) -FinanceCode 001, and Fundac ao de Amparo a Pesquisa no Rio de Janeiro (FAPERJ) (E26/202.755/2019) for their financial support. JSG and DLGB have research scholarships from CNPq. JSG has reaseach grant from UERJ (Programa Pro ' -Cie&lt;^&gt;ncia. MCR is a postdoctoral fellow from FWO-Vlaanderen. AS and PV acknowledges financial support from COST-INTIMATE for Short Term Scientific Meetings (STSM) related to this research. PV received financial support from the Danish National Research Foundation (DNRF) Centre for Ice and Climate. This work was supported by the Villum Investigator Project IceFlow (16572).</t>
  </si>
  <si>
    <t>10.1016/j.gca.2020.10.020</t>
  </si>
  <si>
    <t>PH6WK</t>
  </si>
  <si>
    <t>WOS:000600550100002</t>
  </si>
  <si>
    <t>Paquet, M; Day, JMD; Udry, A; Hattingh, R; Ben Kumler; Rahib, RR; Tait, KT; Neal, CR</t>
  </si>
  <si>
    <t>Paquet, Marine; Day, James M. D.; Udry, Arya; Hattingh, Ruan; Ben Kumler; Rahib, Rachel R.; Tait, Kimberly T.; Neal, Clive R.</t>
  </si>
  <si>
    <t>Highly siderophile elements in shergottite sulfides and the sulfur content of the martian mantle</t>
  </si>
  <si>
    <t>Shergottite; Sulfide; Mars; Highly siderophile elements; Sulfur; Bulk silicate mars</t>
  </si>
  <si>
    <t>ND ISOTOPIC SYSTEMATICS; PLATINUM-GROUP ELEMENTS; ALLAN HILLS 77005; LHERZOLITIC SHERGOTTITE; LATE ACCRETION; GEOCHEMICAL CONSTRAINTS; SHOCK METAMORPHISM; HIGH-TEMPERATURES; HSE SYSTEMATICS; OXYGEN FUGACITY</t>
  </si>
  <si>
    <t>Shergottite meteorites are ultramafic to mafic igneous rocks derived from partial melting of distinct regions of the martian mantle. As such, they trace magmatic processes, including fractional crystallization and mixing processes in Mars. New chalcophile (Cu, Se, Zn, Pb), siderophile (Ni, Co, W), and highly siderophile element (HSE: Au, Re, Pd, Rh, Pt, Ru, Ir, Os) abundance data are reported for sulfide assemblages in a suite of thirteen incompatible trace-element depleted, intermediate and enriched shergottites, along with new whole-rock HSE abundance and Os-187/Os-188 data for seven shergottites. Sulfide grains in depleted and intermediate shergottites typically have the highest absolute abundances of HSE, with broadly flat CIchondrite normalized patterns. Enriched shergottite sulfide grains typically have highly variable Au, elevated Pd and Rh and are relatively depleted in Zn, Ir and Os. The new HSE whole-rock data for enriched (Northwest Africa [NWA] 7397, NWA 7755, NWA 11043), and intermediate shergottites (NWA 10961, NWA 11065, NWA 12241, and NWA 12536) are generally consistent with existing Os-187/Os-188 and HSE abundance data for these geochemical groupings. Enriched shergottites with &gt;1 ppb bulk rock Os have measured Os-187/Os-188 ranging between 0.1296 and 0.1471, with variable Pd and Pt contents. Intermediate shergottites with &gt;1 ppb bulk rock Os have chondrite-relative proportions of the HSE at similar to 0.01 to 0.001 x CI chondrites and Os-187/Os-188 from 0.1284 and 0.1295. Sulfides are the major host of the HSE, and they control the behavior of the HSE during petrogenetic processes in shergottite magmas, enabling the determination of HSE compatibility for martian magmatism in the order: Os &gt; Ir &gt;= Ru &gt;=&gt;= Rh &gt;= Pd &gt;= Re &gt;= Pt &gt;= Au. Fractionation models of removal of an olivinedominated cumulate recreate HSE patterns for the whole-rock shergottites. Enriched shergottites are best reproduced by 25 to 30% of fractionation from a degassed parent melt (250 +/- 50 ppm of S), whereas depleted and intermediate shergottites can be explained by slightly lower fractionation (10 to 15%) from higher S content parent melts (350 +/- 100 ppm of S). Sulfur contents in the melt that are similar to 50% higher than these estimates yield earlier S-saturation during fractional crystallization, leading to an abrupt decrease of the more compatible HSE (Ru, Ir, Os), which is not observed. These results indicate that the martian mantle and partial melts derived from it, are probably not anomalously enriched in S, and instead are similar to slightly higher than those of the terrestrial mantle and its partial melts. (C) 2020 Elsevier Ltd. All rights reserved.</t>
  </si>
  <si>
    <t>[Paquet, Marine; Day, James M. D.; Hattingh, Ruan; Ben Kumler] Univ Calif San Diego, Scripps Inst Oceanog, La Jolla, CA 92093 USA; [Udry, Arya; Rahib, Rachel R.] Univ Nevada, Dept Geosci, 4505 S Maryland Pkwy, Las Vegas, NV 89154 USA; [Tait, Kimberly T.] Royal Ontario Museum, Dept Nat Hist, 100 Queens Pk, Toronto, ON M5S 2C6, Canada; [Neal, Clive R.] Univ Notre Dame, Dept Civil &amp; Environm Engn &amp; Earth Sci, Notre Dame, IN 46556 USA</t>
  </si>
  <si>
    <t>University of California System; University of California San Diego; Scripps Institution of Oceanography; Nevada System of Higher Education (NSHE); University of Nevada Las Vegas; Royal Ontario Museum; University of Notre Dame</t>
  </si>
  <si>
    <t>Paquet, M (corresponding author), Univ Paris Diderot, Univ Sorbonne Paris Cite, Inst Phys Globe Paris, CNRS,UMR 7154, F-75005 Paris, France.</t>
  </si>
  <si>
    <t>mpaquet@ucsd.edu</t>
  </si>
  <si>
    <t>Day, James MD/A-5099-2010</t>
  </si>
  <si>
    <t>PAQUET, Marine/0000-0001-6274-5559; Udry, Arya/0000-0002-0074-8110; udry, Stephane/0000-0001-7576-6236</t>
  </si>
  <si>
    <t>Solar System Workings program [NNX16AR95G]; NSF; NASA</t>
  </si>
  <si>
    <t>Solar System Workings program; NSF(National Science Foundation (NSF)); NASA(National Aeronautics &amp; Space Administration (NASA))</t>
  </si>
  <si>
    <t>This work was supported by the Solar System Workings program (NNX16AR95G).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Jacques Lyakov for preparing the LA-ICP-MS corrections program. We thank Amy Riches and David van Acken, and Associate Editor Christopher Herd for their constructive comments that improved the manuscript. All data referred to in this article can be found in the tables or cited references.</t>
  </si>
  <si>
    <t>10.1016/j.gca.2020.10.024</t>
  </si>
  <si>
    <t>WOS:000600550100020</t>
  </si>
  <si>
    <t>Suttle, MD; Folco, L; Genge, MJ; Franchi, IA; Campanale, F; Mugnaioli, E; Zhao, X</t>
  </si>
  <si>
    <t>Suttle, M. D.; Folco, L.; Genge, M. J.; Franchi, I. A.; Campanale, F.; Mugnaioli, E.; Zhao, X.</t>
  </si>
  <si>
    <t>The aqueous alteration of GEMS-like amorphous silicate in a chondritic micrometeorite by Antarctic water</t>
  </si>
  <si>
    <t>Aqueous alteration; Micrometeorites; GEMS; Antarctica; Weathering</t>
  </si>
  <si>
    <t>INTERPLANETARY DUST; OXYGEN-ISOTOPE; CM CHONDRITES; CARBONACEOUS CHONDRITES; PARIS METEORITE; ORGANIC-MATTER; MINERALOGY; ORIGIN; CR; CLASSIFICATION</t>
  </si>
  <si>
    <t>We analysed the heterogenous fine-grained (sub-mu m) matrix of a small (58 x 93 mu m), unmelted and minimally heated (&lt;350 degrees C) micrometeorite (CP94-050-052) recovered from Antarctic blue ice. This particle contains some unaltered highly primitive phases, including refractory anhydrous high-Mg silicates and submicron crystalline needle-shaped acicular grains interpreted as enstatite whiskers. The particle also contains an abundance of micron-sized Fe-rich grains, which span a compositional and textural continuum between amorphous oxygen-rich silicate and poorly crystalline Fe-rich phyllosilicate (cronstedtite). These Fe-rich grains are here interpreted as secondary phases formed by aqueous alteration. Their inferred anhydrous precursors were likely primitive GEMS-like amorphous Fe-Mg-silicates. This micrometeorite's bulk chemical composition and mineralogy suggest either a carbonaceous chondrite or cometary origin. However, the particle's average O-isotope composition (delta O-17: -12.4% [+/- 5.0%], delta O-18: -24.0% [+/- 2.3%] and Delta O-17 at +0.1% [+/- 4.8%] is distinct from all previously measured chondritic materials. Instead this value is intermediate between primitive chondritic materials and the composition of Antarctic water-strongly implying that the particle was heavily affected by Antarctic alteration. Analysis of the micrometeorite's H-isotopes reveals low deuterium abundances (delta D: -217% to -173%[+/- 43-47%]) paired with high H abundances (and thus high water contents [&lt;25 wt.%]). Although both water contents and H-isotope compositions overlap with those reported in CM chondrites, the datapoints measured from CP94-050-052 extend to more extreme values. Further supporting the idea that the aqueous alteration that affected this micrometeorite operated under different environmental conditions to asteroidal settings. These data collectively demonstrate partial isotopic exchange with light (delta O-18-poor, delta D-poor) terrestrial fluids whilst the micrometeorite resided in Antarctica. Although this micrometeorite may have been aqueously altered whilst on its parent body this cannot be conclusively demonstrated due to the extent of the weathering overprint. Antarctic alteration operated at significantly higher water-to-rock ratios than chondritic settings. Despite these differences the extent of secondary replacement and the duration of alteration were limited with mafic silicates remaining unaffected. The combined alteration conditions for this particle likely operated over short timescales (&lt;24 h), under mildly alkaline conditions (similar to pH 8) and at low temperatures (&lt;50 degrees C), this could have occurred during the micrometeorite's extraction from blue ice. (C) 2020 Elsevier Ltd. All rights reserved.</t>
  </si>
  <si>
    <t>[Suttle, M. D.; Genge, M. J.] Nat Hist Museum, Planetary Mat Grp, Dept Earth Sci, Cromwell Rd, London SW7 5BD, England; [Suttle, M. D.; Folco, L.; Campanale, F.] Univ Pisa, Dipartimento Sci Terra, I-56126 Pisa, Italy; [Suttle, M. D.; Genge, M. J.] Imperial Coll London, Impacts &amp; Astromat Res Ctr, Dept Earth Sci &amp; Engn, London SW7 2AZ, England; [Folco, L.] Univ Pisa, CISUP, Ctr Integraz Strumentaz, Lungarno Pacinotti 43, I-56126 Pisa, Italy; [Franchi, I. A.; Zhao, X.] Open Univ, Sch Phys Sci, Walton Hall, Milton Keynes MK7 6AA, Bucks, England; [Campanale, F.; Mugnaioli, E.] Ist Italiano Tecnol IIT, Ctr Nanotechnol Innovat NEST, Piazza San Silvestro 12, I-56127 Pisa, Italy</t>
  </si>
  <si>
    <t>Natural History Museum London; University of Pisa; Imperial College London; Natural History Museum London; University of Pisa; Open University - UK; Istituto Italiano di Tecnologia - IIT</t>
  </si>
  <si>
    <t>Suttle, MD (corresponding author), Nat Hist Museum, Planetary Mat Grp, Dept Earth Sci, Cromwell Rd, London SW7 5BD, England.</t>
  </si>
  <si>
    <t>martindavid.suttle@dst.unipi.it; luigi.folco@unipi.it; m.genge@ic.ac.uk; ian.franchi@open.ac.uk; fabrizio.campanale@dst.unipi.it; enrico.mugnaioli@iit.it; xuchao.zhao@open.ac.uk</t>
  </si>
  <si>
    <t>Folco, Luigi/AAB-8586-2021; Mugnaioli, Enrico/E-6237-2011</t>
  </si>
  <si>
    <t>Suttle, Martin/0000-0001-7165-2215; Mugnaioli, Enrico/0000-0001-9543-9064; Campanale, Fabrizio/0000-0002-5295-1209</t>
  </si>
  <si>
    <t>UK's Science and Technology Facilities Council (STFC) [ST/R000727/1]; MIUR [PNRA16_00029, CUP I52F17001050005, PRIN2015_20158W4JZ7, CUP I52F15000310001]; STFC [ST/M503526/1, ST/J001260/1]; Europlanet2020 transnational access grant - European Union's Horizon 2020 research and innovation programme [18-EPN5-044, 654208]; STFC [ST/R000727/1, ST/J001260/1, ST/N000803/1] Funding Source: UKRI</t>
  </si>
  <si>
    <t>UK's Science and Technology Facilities Council (STFC)(UK Research &amp; Innovation (UKRI)Science &amp; Technology Facilities Council (STFC)); MIUR(Ministry of Education, Universities and Research (MIUR)); STFC(UK Research &amp; Innovation (UKRI)Science &amp; Technology Facilities Council (STFC)); Europlanet2020 transnational access grant - European Union's Horizon 2020 research and innovation programme; STFC(UK Research &amp; Innovation (UKRI)Science &amp; Technology Facilities Council (STFC))</t>
  </si>
  <si>
    <t>At the NHM, research into aqueous alteration on asteroids and comets is facilitated through the UK's Science and Technology Facilities Council (STFC), grant: ST/R000727/1 (MDS &amp; SR). Micrometeorite research at the University of Pisa is facilitated by two Italian research grants MIUR: PNRA16_00029 [Programma Nazionale delle Ricerche in Antartide -CUP I52F17001050005] and PRIN2015_20158W4JZ7 [CUP I52F15000310001 for the ``Meteoriti Antartiche] (MDS &amp; LF). Initial research performed at Imperial College London was funded through the STFC grants: ST/M503526/1 (MDS) and ST/J001260/1 (MJG). NanoSIMS analyses were funded through a Europlanet2020 transnational access grant (18-EPN5-044) -itself funded by the European Union's Horizon 2020 research and innovation programme under grant agreement No 654208. We thank Randa Ishak at Pisa University for expertise imparted in high-resolution imaging techniques. We also thank Cecile Engrand for her helpful insights into the nature of GEMS and GEMS-like phases.</t>
  </si>
  <si>
    <t>10.1016/j.gca.2020.11.006</t>
  </si>
  <si>
    <t>WOS:000600550100021</t>
  </si>
  <si>
    <t>Zhu, K; Moynier, F; Schiller, M; Alexander, CMO; Barrat, JA; Bischoff, A; Bizzarro, M</t>
  </si>
  <si>
    <t>Zhu, Ke; Moynier, Frederic; Schiller, Martin; Alexander, Conel M. O'D; Barrat, Jean-Alix; Bischoff, Addi; Bizzarro, Martin</t>
  </si>
  <si>
    <t>Mass-independent and mass-dependent Cr isotopic composition of the Rumuruti (R) chondrites: Implications for their origin and planet formation</t>
  </si>
  <si>
    <t>Rumuruti Chondrites; Mn-53-Cr-53 chronometry; Cr-54 nucleosynthetic anomalies; Cr stable isotopes; Chondritic clast</t>
  </si>
  <si>
    <t>EARLY SOLAR-SYSTEM; OXYGEN-ISOTOPE; MN-53-CR-53 CHRONOMETRY; CHEMICAL-COMPOSITION; QUANTITATIVE MODELS; CHONDRULES; FRACTIONATION; METEORITE; EARTH; CR-54</t>
  </si>
  <si>
    <t>Chromium (Cr) isotopes play an important role in cosmochemistry and planetary science because they are powerful tools for dating (Mn-53-Cr-53 short-lived chronometry), tracing (Cr-54 nucleosynthetic anomalies) the origins of the materials, and studying the processes involved in volatile element fractionation and planetary differentiation (Cr stable isotopic fractionation). To use Cr isotopes for these purposes, it is essential to precisely know the compositions of the various chondritic reservoirs. However, the Cr isotope composition of Rumuruti (R) chondrites remains unknown. Here, we report high-precision mass-independent (average 2SE uncertainty of similar to 0.02 and similar to 0.06 for epsilon Cr-53 and epsilon Cr-54, respectively; epsilon indicates 10,000 deviation) and mass-dependent (uncertainty of average 0.03 parts per thousand for delta Cr-53; .delta indicates 1000 deviation) Cr isotope data for 12 bulk R chondrites of petrologic types 3-6 (including R chondrite breccias), and one R chondrite-like clast (MS-CH) in the Almahata Sitta polymict ureilite. All the R chondrites show homogeneous bulk epsilon Cr-54 values, -0.06 +/- 0.08 (2SD), similar only to those of the Earth-Moon system and enstatite chondrites. This first epsilon Cr-54 dataset for R chondrites provides significant addition to the epsilon Cr-54-A, Delta O-17 diagram, and positions them as a potential endmember for planetary precursors. The R chondrites possess a higher Mn-55/Cr-52 of 0.68 +/- 0.04 relative to most of carbonaceous chondrites and higher epsilon Cr-53 values 0.23 +/- 0.05 (2SD) relative to most of chondrite groups. This likely results from the lower chondrule abundance in R chondrites compared to that of ordinary and enstatite chondrites. The stable Cr isotope composition of R chondrites is homogeneous with a delta Cr-53 = -0.12 +/- 0.03%e (2SD). Combined with previous data of other groups of chondrites, we show that the stable Cr isotopic composition of all the chondrites is homogeneous with delta Cr-53 of -0.12 +/- 0.04%e (2SD, N = 42) and is independent of the petrologic type and redox conditions. The lack of mass-dependent fractionation between all groups of chondrites suggests that the average chondrite delta Cr-53 value is also representative for the initial composition of all differentiated planets in the Solar System. Finally, the MS-CH clast in Almahata Sitta has a Cr isotopic composition (epsilon Cr-53 = 0.18 +/- 0.04, epsilon Cr-54 = 0.16 +/- 0.07, and delta Cr-53 = -0.11 +/- 0.05%e) that is consistent (within error) with it being an R chondrite-like clast. (C) 2020 Elsevier Ltd. All rights reserved.</t>
  </si>
  <si>
    <t>[Zhu, Ke; Moynier, Frederic; Bizzarro, Martin] Univ Paris, Inst Phys Globe Paris, CNRS, UMR 7154, 1 Rue Jussieu, F-75005 Paris, France; [Schiller, Martin; Bizzarro, Martin] Univ Copenhagen, Ctr Star &amp; Planet Format, Globe Inst, Oster Voldgade 5-7, DK-1350 Copenhagen, Denmark; [Alexander, Conel M. O'D] Carnegie Inst Sci, Earth &amp; Planetary Lab, 5241 Broad Branch Rd, Washington, DC 20015 USA; [Barrat, Jean-Alix] Univ Brest, CNRS, Lab Sci Environm Marin, LIA BeBEST,Inst Univ Europeen Mer IUEM,UMR 6539, Pl Nicolas Copernic, F-29280 Plouzane, France; [Bischoff, Addi] Westfalische Wilhelms Univ Munster, Inst Planetol, Wilhelm Klemm Str 10, D-48149 Munster, Germany</t>
  </si>
  <si>
    <t>Universite Paris Cite; Centre National de la Recherche Scientifique (CNRS); CNRS - National Institute for Earth Sciences &amp; Astronomy (INSU); University of Copenhagen; Carnegie Institution for Science; Centre National de la Recherche Scientifique (CNRS); CNRS - Institute of Ecology &amp; Environment (INEE); Universite de Bretagne Occidentale; Institut Universitaire Europeen de la Mer (IUEM); Ifremer; Institut de Recherche pour le Developpement (IRD); University of Munster</t>
  </si>
  <si>
    <t>Zhu, K (corresponding author), Univ Paris, Inst Phys Globe Paris, CNRS, UMR 7154, 1 Rue Jussieu, F-75005 Paris, France.</t>
  </si>
  <si>
    <t>zhu@ipgp.fr</t>
  </si>
  <si>
    <t>Bizzarro, Martin/M-7474-2019; Schiller, Martin/E-8054-2010; Moynier, Frederic/AAH-1235-2022; Moynier, Frederic/AFL-9257-2022; ZHU, Ke/P-4849-2019; Alexander, Conel M. O'D./N-7533-2013; Barrat, Jean Alix/C-8416-2017</t>
  </si>
  <si>
    <t>Bizzarro, Martin/0000-0001-9966-2124; Schiller, Martin/0000-0003-4149-0627; Moynier, Frederic/0000-0003-4321-5581; Moynier, Frederic/0000-0003-4321-5581; ZHU, Ke/0000-0003-3613-7239; Alexander, Conel M. O'D./0000-0002-8558-1427; Barrat, Jean Alix/0000-0003-3158-3109</t>
  </si>
  <si>
    <t>NSF; NASA; European Research Council [637503-PRISTINE]; UnivEarthS Labex program at Universite de Paris [ANR-10LABX-0023, ANR-11-IDEX-0005-02]; IPGP platform PARI; Region Ile-de-France Sesame grant [12015908]; Villum Fonden [00025333]; Carlsberg Foundation [CF18-1105]; Danish National Research Foundation [DNRF97]; European Research Council (ERC) [833275-DEEPTIME]; Deutsche Forschungsgemeinschaft (DFG, German Research Foundation) [263649064]; China Scholarship Council (CSC) [201706340161]; IPGP</t>
  </si>
  <si>
    <t>NSF(National Science Foundation (NSF)); NASA(National Aeronautics &amp; Space Administration (NASA)); European Research Council(European Research Council (ERC)); UnivEarthS Labex program at Universite de Paris; IPGP platform PARI; Region Ile-de-France Sesame grant(Region Ile-de-France); Villum Fonden(Villum Fonden); Carlsberg Foundation(Carlsberg Foundation); Danish National Research Foundation(Danmarks Grundforskningsfond); European Research Council (ERC)(European Research Council (ERC)Spanish Government); Deutsche Forschungsgemeinschaft (DFG, German Research Foundation)(German Research Foundation (DFG)); China Scholarship Council (CSC)(China Scholarship Council); IPGP</t>
  </si>
  <si>
    <t>Three anonymous reviewers, Associate Editor Prof. Yuri Amelin and Executive Editor Prof. Jeffrey G. Catalano are deeply thanked for constructive comments which greatly improved the quality of this paper. We thank the Meteorite Working Group (NASA), and the Museum fur Naturkunde (Berlin; A. Greshake) for providing additional samples of Rumuruti chondrites.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F. M. acknowledges funding from the European Research Council under the H2020 framework program/ERC grant agreement (ERC starting grant, #637503-PRISTINE) and financial support of the UnivEarthS Labex program at Universite ' de Paris (#ANR-10LABX-0023 and #ANR-11-IDEX-0005-02), and the IPGP platform PARI, and the Region I &lt;^&gt; le-de-France Sesame grant no. 12015908. M. S. acknowledges funding from the Villum Fonden (#00025333). M. B. acknowledges funding from the Carlsberg Foundation (#CF18-1105), the Danish National Research Foundation (#DNRF97) and the European Research Council (ERC Advanced Grant Agreement, #833275-DEEPTIME). A. B. thanks the support by the Deutsche Forschungsgemeinschaft (DFG, German Research Foundation, #263649064) -TRR 170 (subproject B05). This is TRR170 Publication No. 116. K. Z. thanks the China Scholarship Council (CSC) for the PhD fellowship (#201706340161) and IPGP for the funding support of traveling, ``Aide a` la MOBILITE INTERNATIONALE des doctorants de l'IPGP(2019), to visit Earth and Planetary Laboratory, Carnegie Institution for Science. Timothy Mock and Mary Horan are appreciated for their assistance in ICP-MS analysis and clean labs respectively.</t>
  </si>
  <si>
    <t>10.1016/j.gca.2020.10.007</t>
  </si>
  <si>
    <t>WOS:000600550100030</t>
  </si>
  <si>
    <t>Liu, K; Hou, SG; Wu, SY; Pang, HX; Zhang, WB; Song, J; Yu, JH; Zou, X; Wang, JJ</t>
  </si>
  <si>
    <t>Liu, Ke; Hou, Shugui; Wu, Shuangye; Pang, Hongxi; Zhang, Wangbing; Song, Jing; Yu, Jinhai; Zou, Xiang; Wang, Jiajia</t>
  </si>
  <si>
    <t>The atmospheric iron variations during 1950-2016 recorded in snow at Dome Argus, East Antarctica</t>
  </si>
  <si>
    <t>ATMOSPHERIC RESEARCH</t>
  </si>
  <si>
    <t>Atmospheric iron fluxes; Dome A; Dissolved iron, Antarctica</t>
  </si>
  <si>
    <t>POTENTIALLY BIOAVAILABLE IRON; SOUTHERN-OCEAN; PHYTOPLANKTON BLOOMS; MINERAL DUST; DESERT DUST; ROSS SEA; ICE; FERTILIZATION; VARIABILITY; DEPOSITION</t>
  </si>
  <si>
    <t>174 snow samples were collected from a 4.5 m snow pit at Dome Argus (Dome A), East Antarctica, during the 2015-2016 austral summer. They covered a period between 1950 and 2016. These samples were measured for iron (Fe) concentrations by the inductively coupled plasma mass spectrometry (ICP-MS). Both the total dissolvable Fe (TDFe) and dissolved Fe (DFe) were measured in order to evaluate the fractional Fe solubility (FFS), an important variable to determine the Fe availability for biological activities. The results show an average TDFe flux of 0.019 mg m(-2) a(-1) and DFe flux of 2.254 x 10(-3) mg m(-2) a(-1) at Dome A. The mean FFS of 7.27% is consistent with previous studies on the Antarctic ice sheet. Based on the mean value of the TDFe fluxes from both the current and previous studies, the atmospheric TDFe flux in Antarctic modern snow was estimated at 19-140 x 10(-3) mg m(-2) a(-1), potentially supporting 10.5-76.5 Tg C a(-1) of primary production. This accounts about 1.21-8.80% of the annual primary production in the seasonal sea ice zone of Southern Ocean (SO), suggesting that atmospheric DFe is a minor component of Fe supply.</t>
  </si>
  <si>
    <t>[Liu, Ke; Hou, Shugui; Wu, Shuangye; Pang, Hongxi; Zhang, Wangbing; Song, Jing; Yu, Jinhai; Zou, Xiang; Wang, Jiajia] Nanjing Univ, Sch Geog &amp; Ocean Sci, Nanjing 210023, Peoples R China; [Liu, Ke; Hou, Shugui; Pang, Hongxi; Zhang, Wangbing; Zou, Xiang] Nanjing Univ, Minist Educ, Key Lab Coastal &amp; Isl Dev, Nanjing 210023, Peoples R China; [Wu, Shuangye] Univ Dayton, Dept Geol, Dayton, OH 45469 USA</t>
  </si>
  <si>
    <t>Nanjing University; Nanjing University; University System of Ohio; University of Dayton</t>
  </si>
  <si>
    <t>Hou, SG (corresponding author), Nanjing Univ, Sch Geog &amp; Ocean Sci, Nanjing 210023, Peoples R China.</t>
  </si>
  <si>
    <t>shugui@nju.edu.cn</t>
  </si>
  <si>
    <t>Hou, Shugui/0000-0002-0905-3542; Zou, Xiang/0000-0001-9917-6214</t>
  </si>
  <si>
    <t>Chinese Arctic and Antarctic Administration [CXPT2020012]; 333 Project of Jiangsu Province [BRA2020030]; National Natural Science Foundation of China [41830644, 91837102, 41771031, 41330526]</t>
  </si>
  <si>
    <t>Chinese Arctic and Antarctic Administration; 333 Project of Jiangsu Province(Natural Science Foundation of Jiangsu Province); National Natural Science Foundation of China(National Natural Science Foundation of China (NSFC))</t>
  </si>
  <si>
    <t>This research was supported by the Chinese Arctic and Antarctic Administration (CXPT2020012), the 333 Project of Jiangsu Province (BRA2020030), National Natural Science Foundation of China (41830644, 91837102, 41771031, 41330526). The authors gratefully acknowledge the 32nd CHINARE scientific team and staff from Chinese Arctic and Antarctic Administration, Fuhai Wei and Zhengyi Hu from Polar Research Institute of China, Zhiheng Du from Chinese Academy of Sciences and Xiaopeng Fan, Bowen Liu, Da Gong, Bing Li and Lin Yang from Jilin University.</t>
  </si>
  <si>
    <t>ELSEVIER SCIENCE INC</t>
  </si>
  <si>
    <t>STE 800, 230 PARK AVE, NEW YORK, NY 10169 USA</t>
  </si>
  <si>
    <t>0169-8095</t>
  </si>
  <si>
    <t>1873-2895</t>
  </si>
  <si>
    <t>ATMOS RES</t>
  </si>
  <si>
    <t>Atmos. Res.</t>
  </si>
  <si>
    <t>10.1016/j.atmosres.2020.105263</t>
  </si>
  <si>
    <t>OY2QX</t>
  </si>
  <si>
    <t>WOS:000594097000005</t>
  </si>
  <si>
    <t>Chen, YM; Gao, PL; Tang, X; Xu, CG</t>
  </si>
  <si>
    <t>Chen, Yimin; Gao, Peili; Tang, Xu; Xu, Changan</t>
  </si>
  <si>
    <t>Characterisation and bioactivities of an exopolysaccharide from an Antarctic bacterium Shewanella frigidimarina W32-2</t>
  </si>
  <si>
    <t>Exopolysaccharides (EPS); Antarctic; Bioactivity; Fermentation; Aquaculture sustainability</t>
  </si>
  <si>
    <t>IN-VITRO; ASTRAGALUS POLYSACCHARIDES; ANTIOXIDANT ACTIVITY; IMMUNE-RESPONSES; SULFATE CONTENT; ENZYME-ACTIVITY; BROWN ALGA; LACTOBACILLUS; GROWTH; IDENTIFICATION</t>
  </si>
  <si>
    <t>The continent of Antarctica breeds numerous special extremophiles that have adapted to the extreme variation of environment with a wide range of novel biodiversity. A cold-adapted bacterium Shewanella frigidimarina W32-2, isolated from Antarctic sediments, was identified to be a promising candidate of exopolysaccharides (EPS) production. In the present study, the physiochemistry and bioactivities of the EPS were investigated to promote its application in aquaculture. Physiological characterisation of this strain was firstly performed by means of combined API 20NE and API ZYM tests. A biochemical analysis revealed that the EPS contained a majority of carbohydrates (56.34 +/- 1.29%), uronic acids (8.23 +/- 0.55%) and high content of sulphate groups (35.43 +/- 1.84%), which were also confirmed by the FTIR spectrum showing various functional groups with potential antioxidant activities. The bioactive properties of the EPS in vitro and in vivo were both evaluated. The effect of the EPS on the non-specific immunity of red tilapia via serum injection exhibited 100% of survival rate. Improvement of activities in different serum enzymes, including AKP, ACP, SOD, CAT and LZM, was observed generally at the early stage of EPS treatment (except LZM at later stage). This study explores novel EPS from an extremophile exhibiting powerful bioactivity with immense potential in aquaculture sustainability.</t>
  </si>
  <si>
    <t>[Chen, Yimin; Gao, Peili; Tang, Xu; Xu, Changan] Minist Nat Resources, Inst Oceanog 3, Engn Technol Innovat Ctr Marine Biol Resource Exp, Xiamen 361005, Peoples R China</t>
  </si>
  <si>
    <t>Ministry of Natural Resources of the People's Republic of China; Third Institute of Oceanography, Ministry of Natural Resources</t>
  </si>
  <si>
    <t>Chen, YM; Xu, CG (corresponding author), Minist Nat Resources, Inst Oceanog 3, Engn Technol Innovat Ctr Marine Biol Resource Exp, Xiamen 361005, Peoples R China.</t>
  </si>
  <si>
    <t>chenyimin@tio.org.cn; xuchangan@tio.org.cn</t>
  </si>
  <si>
    <t>guo, peng/AAG-4052-2019</t>
  </si>
  <si>
    <t>Chen, Yimin/0000-0003-4025-6169</t>
  </si>
  <si>
    <t>China Asia-Pacific Economic Cooperation [HV180101, HV01-190101]; Scientific Research Foundation of Third Institute of Oceanography, MNR, China [2016001, 2017027]; Program of Xiamen Southern Oceanographic Center, China [14GZP004NF04, 19CZP011HJ08]; Bilateral Cooperation of Maritime Affairs from State Oceanic Administration, China</t>
  </si>
  <si>
    <t>China Asia-Pacific Economic Cooperation; Scientific Research Foundation of Third Institute of Oceanography, MNR, China; Program of Xiamen Southern Oceanographic Center, China; Bilateral Cooperation of Maritime Affairs from State Oceanic Administration, China</t>
  </si>
  <si>
    <t>The authors would like to thank the Polar Research Institute of China for providing the sample of Antarctic sediments. This research was supported by grants from China Asia-Pacific Economic Cooperation [HV180101 and HV01-190101], the Scientific Research Foundation of Third Institute of Oceanography, MNR, China [No.2016001 and No.2017027], Program of Xiamen Southern Oceanographic Center, China [14GZP004NF04 and 19CZP011HJ08] and Bilateral Cooperation of Maritime Affairs from State Oceanic Administration, China.</t>
  </si>
  <si>
    <t>10.1016/j.aquaculture.2020.735760</t>
  </si>
  <si>
    <t>WOS:000582169700003</t>
  </si>
  <si>
    <t>Condie, SA; Condie, CM</t>
  </si>
  <si>
    <t>Condie, Scott A.; Condie, Corrine M.</t>
  </si>
  <si>
    <t>Stochastic events can explain sustained clustering and polarisation of opinions in social networks</t>
  </si>
  <si>
    <t>SCIENTIFIC REPORTS</t>
  </si>
  <si>
    <t>BOUNDED CONFIDENCE; PUBLIC-OPINION; DYNAMICS; CONFLICT; ATTITUDES; EXTREME; CULTURE; LEADERS; WEATHER; PHYSICS</t>
  </si>
  <si>
    <t>Understanding the processes underlying development and persistence of polarised opinions has been one of the key challenges in social networks for more than two decades. While plausible mechanisms have been suggested, they assume quite specialised interactions between individuals or groups that may only be relevant in particular contexts. We propose that a more broadly relevant explanation might be associated with the influence of external events. An agent-based bounded-confidence model has been used to demonstrate persistent polarisation of opinions within populations exposed to stochastic events (of positive and negative influence) even when all interactions between individuals are noisy and assimilative. Events can have a large impact on the distribution of opinions because their influence acts synchronistically across a large proportion of the population, whereas an individual can only interact with small numbers of other individuals at any particular time.</t>
  </si>
  <si>
    <t>[Condie, Scott A.] CSIRO Oceans &amp; Atmosphere, GPO Box 1538, Hobart, Tas 7001, Australia; [Condie, Scott A.; Condie, Corrine M.] Univ Tasmania, Ctr Marine Socioecol, Hobart, Tas, Australia; [Condie, Corrine M.] Univ Tasmania, Inst Marine &amp; Antarctic Studies, Hobart, Tas, Australia</t>
  </si>
  <si>
    <t>Commonwealth Scientific &amp; Industrial Research Organisation (CSIRO); University of Tasmania; University of Tasmania</t>
  </si>
  <si>
    <t>Condie, SA (corresponding author), CSIRO Oceans &amp; Atmosphere, GPO Box 1538, Hobart, Tas 7001, Australia.;Condie, SA (corresponding author), Univ Tasmania, Ctr Marine Socioecol, Hobart, Tas, Australia.</t>
  </si>
  <si>
    <t>scott.condie@csiro.au</t>
  </si>
  <si>
    <t>Australian Government Research Training Program Scholarship</t>
  </si>
  <si>
    <t>Australian Government Research Training Program Scholarship(Australian GovernmentDepartment of Industry, Innovation and Science)</t>
  </si>
  <si>
    <t>C.M.C. is supported by an Australian Government Research Training Program Scholarship and would like to thank Dr Karen Alexander, Dr Katie Cresswell, Professor Fred Gale and Dr Joanna Vince for their advice and guidance. Thanks also Dr Ingrid van Puttin for providing valuable suggestions on the manuscript.</t>
  </si>
  <si>
    <t>2045-2322</t>
  </si>
  <si>
    <t>SCI REP-UK</t>
  </si>
  <si>
    <t>Sci Rep</t>
  </si>
  <si>
    <t>JAN 14</t>
  </si>
  <si>
    <t>10.1038/s41598-020-80353-7</t>
  </si>
  <si>
    <t>QT7MT</t>
  </si>
  <si>
    <t>WOS:000626774100069</t>
  </si>
  <si>
    <t>Trefault, N; De la Iglesia, R; Moreno-Pino, M; dos Santos, AL; Ribeiro, CG; Parada-Pozo, G; Cristi, A; Marie, D; Vaulot, D</t>
  </si>
  <si>
    <t>Trefault, Nicole; De la Iglesia, Rodrigo; Moreno-Pino, Mario; dos Santos, Adriana Lopes; Ribeiro, Catherine Gerikas; Parada-Pozo, Genesis; Cristi, Antonia; Marie, Dominique; Vaulot, Daniel</t>
  </si>
  <si>
    <t>Annual phytoplankton dynamics in coastal waters from Fildes Bay, Western Antarctic Peninsula</t>
  </si>
  <si>
    <t>KING-GEORGE-ISLAND; RIBOSOMAL-RNA GENE; BEAUFORT SEA; PHOTOSYNTHETIC EUKARYOTES; PHAEOCYSTIS-ANTARCTICA; COMMUNITY STRUCTURE; REFERENCE DATABASE; SOUTH SHETLAND; ADMIRALTY BAY; DIVERSITY</t>
  </si>
  <si>
    <t>Year-round reports of phytoplankton dynamics in the West Antarctic Peninsula are rare and mainly limited to microscopy and/or pigment-based studies. We analyzed the phytoplankton community from coastal waters of Fildes Bay in the West Antarctic Peninsula between January 2014 and 2015 using metabarcoding of the nuclear and plastidial 18/16S rRNA gene from both size-fractionated and flow cytometry sorted samples. Overall 14 classes of photosynthetic eukaryotes were present in our samples with the following dominating: Bacillariophyta (diatoms), Pelagophyceae and Dictyochophyceae for division Ochrophyta, Mamiellophyceae and Pyramimonadophyceae for division Chlorophyta, Haptophyta and Cryptophyta. Each metabarcoding approach yielded a different image of the phytoplankton community with for example Prymnesiophyceae more prevalent in plastidial metabarcodes and Mamiellophyceae in nuclear ones. Diatoms were dominant in the larger size fractions and during summer, while Prymnesiophyceae and Cryptophyceae were dominant in colder seasons. Pelagophyceae were particularly abundant towards the end of autumn (May). In addition of Micromonas polaris and Micromonas sp. clade B3, both previously reported in Arctic waters, we detected a new Micromonas 18S rRNA sequence signature, close to, but clearly distinct from M. polaris, which potentially represents a new clade specific of the Antarctic. These results highlight the need for complementary strategies as well as the importance of year-round monitoring for a comprehensive description of phytoplankton communities in Antarctic coastal waters.</t>
  </si>
  <si>
    <t>[Trefault, Nicole; Moreno-Pino, Mario; Ribeiro, Catherine Gerikas; Parada-Pozo, Genesis; Cristi, Antonia] Univ Mayor, Fac Sci, GEMA Ctr Genom Ecol &amp; Environm, Santiago 8580745, Chile; [De la Iglesia, Rodrigo] Pontificia Univ Catolica Chile, Dept Mol Genet &amp; Microbiol, Alameda 340, Santiago 8331150, Chile; [dos Santos, Adriana Lopes; Vaulot, Daniel] Nanyang Technol Univ, Asian Sch Environm, 50 Nanyang Ave, Singapore 639798, Singapore; [Marie, Dominique; Vaulot, Daniel] Sorbonne Univ, Stn Biol, CNRS, Ecol Marine Plankton Team,UMR7144, F-29680 Roscoff, France</t>
  </si>
  <si>
    <t>Universidad Mayor; Pontificia Universidad Catolica de Chile; Nanyang Technological University; Sorbonne Universite; Centre National de la Recherche Scientifique (CNRS); CNRS - Institute of Ecology &amp; Environment (INEE)</t>
  </si>
  <si>
    <t>Trefault, N (corresponding author), Univ Mayor, Fac Sci, GEMA Ctr Genom Ecol &amp; Environm, Santiago 8580745, Chile.;Vaulot, D (corresponding author), Nanyang Technol Univ, Asian Sch Environm, 50 Nanyang Ave, Singapore 639798, Singapore.;Vaulot, D (corresponding author), Sorbonne Univ, Stn Biol, CNRS, Ecol Marine Plankton Team,UMR7144, F-29680 Roscoff, France.</t>
  </si>
  <si>
    <t>nicole.trefault@umayor.cl; vaulot@gmail.com</t>
  </si>
  <si>
    <t>dos Santos, Adriana Lopes/J-6960-2019</t>
  </si>
  <si>
    <t>dos Santos, Adriana Lopes/0000-0002-0736-4937; Moreno-Pino, Mario/0000-0002-4332-3315; De la Iglesia, Rodrigo/0000-0002-2000-8697; Gerikas Ribeiro, Catherine/0000-0003-0531-2313; Vaulot, Daniel/0000-0002-0717-5685; Cristi, Antonia/0000-0003-1381-8170; Parada-Pozo, Genesis/0000-0003-3721-1488</t>
  </si>
  <si>
    <t>INACH [RG_31-15, RT_34-17]; FONDECYT [1190879, 3190827]; ECOS-CONICYT [C16B02]; CNRS International Research Network Diversity, Evolution and Biotechnology of Marine Algae (GDRI) [0803]; Singapore Ministry of Education [RG26/19]</t>
  </si>
  <si>
    <t>INACH; FONDECYT(Comision Nacional de Investigacion Cientifica y Tecnologica (CONICYT)CONICYT FONDECYT); ECOS-CONICYT(Comision Nacional de Investigacion Cientifica y Tecnologica (CONICYT)); CNRS International Research Network Diversity, Evolution and Biotechnology of Marine Algae (GDRI); Singapore Ministry of Education(Ministry of Education, Singapore)</t>
  </si>
  <si>
    <t>This work was funded by INACH RG_31-15, INACH RT_34-17 and FONDECYT No. 1190879 grants. Collaboration between Chile and France was funded through ECOS-CONICYT No. C16B02 and CNRS International Research Network Diversity, Evolution and Biotechnology of Marine Algae (GDRI No. 0803). Catherine Gerikas Ribeiro was supported by the FONDECYT Project No. 3190827. The authors thank Dr. Ernesto Molina for sampling during autumn and spring, as well the logistic support at the scientific station Professor Julio Escudero, INACH. Adriana Lopes dos Santos was supported by the Singapore Ministry of Education, Academic Research Fund Tier 1 (RG26/19). We thank the Roscoff ABIMS platform of the FR2424 (CNRS, Sorbonne Universite) for bioinformatics resources.</t>
  </si>
  <si>
    <t>10.1038/s41598-020-80568-8</t>
  </si>
  <si>
    <t>Green Published, gold, Green Submitted</t>
  </si>
  <si>
    <t>WOS:000626774100082</t>
  </si>
  <si>
    <t>Merino, C; Kuzyakov, Y; Godoy, K; Jofré, I; Nájera, F; Matus, F</t>
  </si>
  <si>
    <t>Merino, Carolina; Kuzyakov, Yakov; Godoy, Karina; Jofre, Ignacio; Najera, Francisco; Matus, Francisco</t>
  </si>
  <si>
    <t>Iron-reducing bacteria decompose lignin by electron transfer from soil organic matter</t>
  </si>
  <si>
    <t>Fe reducing bacteria; Peroxidase enzyme; Lignin oxidation; Anaerobic carbon cycling; Fenton and Fenton-like reactions</t>
  </si>
  <si>
    <t>CLAY-MINERALS; MICROBIAL REDUCTION; HUMIC SUBSTANCES; GAMMA-STERILIZATION; ARCTIC SOIL; DYNAMICS; OXIDATION; FE(III); SURFACE; OXIDE</t>
  </si>
  <si>
    <t>Iron-reducing bacteria (IRB) are crucial for electron transfer in anaerobic soil microsites. The utilization of the energy gathered by this mechanism by decomposers of organic matter is a challenging and fascinating issue. We hypothesized that bacteria reducing Fe(III) (oxyhydr)oxides to soluble Fe(II) obtain electrons from reduced soil organic matter (SOMr) involving lignin oxidation. Iron-reducing bacteria were isolated from topsoils of various climates (humid temperate, cold temperate, subpolar), vegetation types (mostly grasslands and forests), and derived from various parent materials treatments assigned as Granitic, Volcanic-allophanic, Fluvio-glacial, Basaltic-Antarctic and Metamorphic. After the screening of IRB by phospholipid fatty acid (PLFA) analysis and PCR identification (full-length 16S rDNA), the IRB were inoculated to 20 samples (five soils and 4 replicates) and a broad range of parallel processes were traced. Geobacter metallireducens and Geobacter lovleyi were the main Geobacteraceae-strains present in all soils and strongly increased the activity of ligninolytic enzymes: lignin peroxidase and manganese peroxidase. Carbon dioxide (CO2) released from IRB-inoculated soils was 140% higher than that produced by Fenton reactions (induced by H2O2 and Fe(II) addition) but 40% lower than in non-sterile soils. CO2 release was closely correlated with the produced Fe (II) and H2O2 consumption. The highest CO2 was released from Basaltic-Antarctic soils with the highest Fe content and was closely correlated with lignin depolymerization (detection by fluorescence images). All IRB oxidized the lignin contained in the SOM within a wide pH range and in soils from all parent materials. We present a conceptual model showing electron shuttling from SOM containing lignin (as a C and energy source) to IRB to produce energy and promote Fe(III) (oxyhydr)oxides reduction was proposed and discussed. (C) 2020 Elsevier B.V. All rights reserved.</t>
  </si>
  <si>
    <t>[Merino, Carolina; Godoy, Karina] Biotechnol Sci &amp; Technol Bioresource Nucleus BIOR, Ctr Plant Soil Interact &amp; Nat Resources, Temuco, Chile; [Merino, Carolina; Jofre, Ignacio; Matus, Francisco] Univ La Frontera, Dept Chem Sci &amp; Nat Resources, Lab Conservat &amp; Dynam Volcan Soils, Temuco, Chile; [Merino, Carolina; Kuzyakov, Yakov; Matus, Francisco] Univ La Frontera, Network Extreme Environm Res, Temuco, Chile; [Kuzyakov, Yakov] Georg August Univ Gottingen, Busgen Inst, Soil Sci Temperate Ecosyst, Gottingen, Germany; [Kuzyakov, Yakov] Kazan Fed Univ, Inst Environm Sci, Kazan, Russia; [Najera, Francisco] Univ La Frontera, PhD Program Sci Nat Resource Sci, Temco, Chile; [Kuzyakov, Yakov] RUDN, Moscow, Russia</t>
  </si>
  <si>
    <t>Universidad de La Frontera; Universidad de La Frontera; University of Gottingen; Kazan Federal University; Universidad de La Frontera; Peoples Friendship University of Russia</t>
  </si>
  <si>
    <t>Matus, F (corresponding author), Univ La Frontera, Dept Chem Sci &amp; Nat Resources, Lab Conservat &amp; Dynam Volcan Soils, Temuco, Chile.</t>
  </si>
  <si>
    <t>francisco.matus@ufrontera.cl</t>
  </si>
  <si>
    <t>Matus, Francisco/AAY-9383-2020; FERNANDEZ, IGNACIO ANDRES JOFRE/AAX-1279-2021; Kuzyakov, Yakov/D-1605-2010; Najera, Francisco/ABE-4075-2020</t>
  </si>
  <si>
    <t>Matus, Francisco/0000-0002-0534-2208; FERNANDEZ, IGNACIO ANDRES JOFRE/0000-0002-0142-2446; Kuzyakov, Yakov/0000-0002-9863-8461;</t>
  </si>
  <si>
    <t>National Commission for Scientific and Technological Research (CONICYT/FONDECYT) [11180521, 1170119]; Network for Extreme Environment Research (NEXER-Chile) [2]; Government Program of Competitive Growth of Kazan Federal University; RUDN University program 5-100</t>
  </si>
  <si>
    <t>National Commission for Scientific and Technological Research (CONICYT/FONDECYT)(Comision Nacional de Investigacion Cientifica y Tecnologica (CONICYT)CONICYT FONDECYT); Network for Extreme Environment Research (NEXER-Chile); Government Program of Competitive Growth of Kazan Federal University; RUDN University program 5-100</t>
  </si>
  <si>
    <t>This work was supported by the National Commission for Scientific and Technological Research (CONICYT/FONDECYT), Fondecyt No. 11180521, No. 1170119 and the Network for Extreme Environment Research (NEXER-Chile) N degrees o. 2. Prof. Yakov Kuzyakov is very thankful for the visiting professorship at the Universidad de la Frontera. This publication was also supported by the Government Program of Competitive Growth of Kazan Federal University and by the support of the RUDN University program 5-100.</t>
  </si>
  <si>
    <t>MAR 20</t>
  </si>
  <si>
    <t>10.1016/j.scitotenv.2020.143194</t>
  </si>
  <si>
    <t>PS2TS</t>
  </si>
  <si>
    <t>WOS:000607780900013</t>
  </si>
  <si>
    <t>Starr, A; Hall, IR; Barker, S; Rackow, T; Zhang, X; Hemming, SR; van der Lubbe, HJL; Knorr, G; Berke, MA; Bigg, GR; Cartagena-Sierra, A; Jiménez-Espejo, FJ; Gong, X; Gruetzner, J; Lathika, N; LeVay, LJ; Robinson, RS; Ziegler, M</t>
  </si>
  <si>
    <t>Starr, Aidan; Hall, Ian R.; Barker, Stephen; Rackow, Thomas; Zhang, Xu; Hemming, Sidney R.; van der Lubbe, H. J. L.; Knorr, Gregor; Berke, Melissa A.; Bigg, Grant R.; Cartagena-Sierra, Alejandra; Jimenez-Espejo, Francisco J.; Gong, Xun; Gruetzner, Jens; Lathika, Nambiyathodi; LeVay, Leah J.; Robinson, Rebecca S.; Ziegler, Martin</t>
  </si>
  <si>
    <t>Expedition 361 Sci Party</t>
  </si>
  <si>
    <t>Antarctic icebergs reorganize ocean circulation during Pleistocene glacials</t>
  </si>
  <si>
    <t>NATURE</t>
  </si>
  <si>
    <t>SOUTHERN-OCEAN; SEA-ICE; NORTH-ATLANTIC; THERMOHALINE CIRCULATION; OVERTURNING CIRCULATION; WATER CIRCULATION; WEDDELL SEA; FRESH-WATER; CLIMATE; DEEP</t>
  </si>
  <si>
    <t>Iceberg-trajectory models along with multi-proxy evidence from sediment cores from the Indian Ocean show that northward shifts in Antarctic iceberg melt redistributed freshwater in the Southern Ocean during the Pleistocene. The dominant feature of large-scale mass transfer in the modern ocean is the Atlantic meridional overturning circulation (AMOC). The geometry and vigour of this circulation influences global climate on various timescales. Palaeoceanographic evidence suggests that during glacial periods of the past 1.5 million years the AMOC had markedly different features from today(1); in the Atlantic basin, deep waters of Southern Ocean origin increased in volume while above them the core of the North Atlantic Deep Water (NADW) shoaled(2). An absence of evidence on the origin of this phenomenon means that the sequence of events leading to global glacial conditions remains unclear. Here we present multi-proxy evidence showing that northward shifts in Antarctic iceberg melt in the Indian-Atlantic Southern Ocean (0-50 degrees E) systematically preceded deep-water mass reorganizations by one to two thousand years during Pleistocene-era glaciations. With the aid of iceberg-trajectory model experiments, we demonstrate that such a shift in iceberg trajectories during glacial periods can result in a considerable redistribution of freshwater in the Southern Ocean. We suggest that this, in concert with increased sea-ice cover, enabled positive buoyancy anomalies to 'escape' into the upper limb of the AMOC, providing a teleconnection between surface Southern Ocean conditions and the formation of NADW. The magnitude and pacing of this mechanism evolved substantially across the mid-Pleistocene transition, and the coeval increase in magnitude of the 'southern escape' and deep circulation perturbations implicate this mechanism as a key feedback in the transition to the '100-kyr world', in which glacial-interglacial cycles occur at roughly 100,000-year periods.</t>
  </si>
  <si>
    <t>[Starr, Aidan; Hall, Ian R.; Barker, Stephen; van der Lubbe, H. J. L.] Cardiff Univ, Sch Earth &amp; Environm Sci, Cardiff, Wales; [Rackow, Thomas; Knorr, Gregor; Gong, Xun; Gruetzner, Jens] Helmholtz Ctr Polar &amp; Marine Res, Alfred Wegener Inst, Bremerhaven, Germany; [Zhang, Xu] Lanzhou Univ, Coll Earth &amp; Environm Sci, Ctr Pan Third Pole Environm Pan TPE, Key Lab Western Chinas Environm Syst,Minist Educ, Lanzhou, Peoples R China; [Zhang, Xu] Chinese Acad Sci, CAS Ctr Excellence Tibetan Plateau Earth Sci, Beijing, Peoples R China; [Hemming, Sidney R.] Columbia Univ, Lamont Doherty Earth Observ, Dept Earth &amp; Environm Sci, Palisades, NY USA; [van der Lubbe, H. J. L.] Vrije Univ, Fac Sci, Amsterdam, Netherlands; [Berke, Melissa A.; Cartagena-Sierra, Alejandra] Univ Notre Dame, Dept Civil &amp; Environm Engn &amp; Earth Sci, Notre Dame, IN 46556 USA; [Bigg, Grant R.] Univ Sheffield, Dept Geog, Sheffield, S Yorkshire, England; [Jimenez-Espejo, Francisco J.] Inst Andaluz Ciencias Tierra CSIC UGR, Armilla, Spain; [Jimenez-Espejo, Francisco J.] JAMSTEC, Res Inst Marine Resources Utilizat, Biogeochem Program, Yokosuka, Kanagawa, Japan; [Gong, Xun] China Univ Geosci, Hubei Key Lab Marine Geol Resources, Wuhan, Peoples R China; [Lathika, Nambiyathodi] Minist Earth Sci, Natl Ctr Polar &amp; Ocean Res, Vasco Da Gama, Goa, India; [LeVay, Leah J.] Texas A&amp;M Univ, Int Ocean Discovery Program, College Stn, TX USA; [Robinson, Rebecca S.] Univ Rhode Isl, Grad Sch Oceanog, Narragansett, RI 02882 USA; [Ziegler, Martin] Univ Utrecht, Dept Earth Sci, Utrecht, Netherlands</t>
  </si>
  <si>
    <t>Cardiff University; Helmholtz Association; Alfred Wegener Institute, Helmholtz Centre for Polar &amp; Marine Research; Lanzhou University; Chinese Academy of Sciences; Columbia University; Vrije Universiteit Amsterdam; University of Notre Dame; University of Sheffield; University of Granada; Consejo Superior de Investigaciones Cientificas (CSIC); CSIC - Instituto Andaluz de Ciencias de la Tierra (IACT); Japan Agency for Marine-Earth Science &amp; Technology (JAMSTEC); China University of Geosciences; Ministry of Earth Sciences (MoES) - India; National Centre for Polar and Ocean Research (NCPOR); Texas A&amp;M University System; Texas A&amp;M University College Station; University of Rhode Island; Utrecht University</t>
  </si>
  <si>
    <t>Starr, A; Hall, IR (corresponding author), Cardiff Univ, Sch Earth &amp; Environm Sci, Cardiff, Wales.</t>
  </si>
  <si>
    <t>StarrA1@Cardiff.ac.uk; Hall@Cardiff.ac.uk</t>
  </si>
  <si>
    <t>Jimenez-Espejo, Francisco J/F-4486-2016; Rackow, Thomas/AAP-2735-2020; Stephen, Barker/C-2770-2009; Bigg, Grant/GXW-2219-2022; Koutsodendris, Andreas/G-8966-2013; Zhang, Xu/AFX-8847-2022; Simon, Margit/AAB-7420-2021; Kubota, Kaoru/I-1071-2014; Hall, Ian R/C-2755-2009; Berke, Melissa A/H-3819-2016; Ziegler, Martin/N-9699-2013</t>
  </si>
  <si>
    <t>Jimenez-Espejo, Francisco J/0000-0002-0335-8580; Rackow, Thomas/0000-0002-5468-575X; Koutsodendris, Andreas/0000-0003-4236-7508; Zhang, Xu/0000-0003-1833-9689; Simon, Margit/0000-0002-3150-3220; Kubota, Kaoru/0000-0001-6659-4284; Caley, Thibaut/0000-0001-8249-7054; Hemming, Sidney/0000-0001-8117-2303; Starr, Aidan/0000-0003-1854-4412; Yamane, Masako/0000-0002-5063-0719; Tangunan, Deborah/0000-0002-1078-5767; Bigg, Grant/0000-0002-1910-0349; van der Lubbe, Jeroen/0000-0001-7545-6502; N, Lathika/0000-0001-7617-6377; Gruetzner, Jens/0000-0001-5445-2393</t>
  </si>
  <si>
    <t>Grants-in-Aid for Scientific Research [20H01978] Funding Source: KAKEN; NERC [NE/P000037/1] Funding Source: UKRI</t>
  </si>
  <si>
    <t>Grants-in-Aid for Scientific Research(Ministry of Education, Culture, Sports, Science and Technology, Japan (MEXT)Japan Society for the Promotion of ScienceGrants-in-Aid for Scientific Research (KAKENHI)); NERC(UK Research &amp; Innovation (UKRI)Natural Environment Research Council (NERC))</t>
  </si>
  <si>
    <t>0028-0836</t>
  </si>
  <si>
    <t>1476-4687</t>
  </si>
  <si>
    <t>Nature</t>
  </si>
  <si>
    <t>+</t>
  </si>
  <si>
    <t>10.1038/s41586-020-03094-7</t>
  </si>
  <si>
    <t>PS5BN</t>
  </si>
  <si>
    <t>Green Published, Green Accepted</t>
  </si>
  <si>
    <t>WOS:000607936500012</t>
  </si>
  <si>
    <t>Rosat, S; Gillet, N; Boy, JP; Couhert, A; Dumberry, M</t>
  </si>
  <si>
    <t>Rosat, S.; Gillet, N.; Boy, J-P; Couhert, A.; Dumberry, M.</t>
  </si>
  <si>
    <t>Interannual variations of degree 2 from geodetic observations and surface processes</t>
  </si>
  <si>
    <t>GEOPHYSICAL JOURNAL INTERNATIONAL</t>
  </si>
  <si>
    <t>Core; Global change from geodesy; Loading of the Earth; Satellite geodesy; Satellite gravity; Time-series analysis</t>
  </si>
  <si>
    <t>ANTARCTIC ICE-SHEET; CORE; GRACE; FIELD; DEFORMATION; MODEL; VARIABILITY; ALTIMETRY; DYNAMICS; MOTION</t>
  </si>
  <si>
    <t>Geodetic observations from space continuously record surface deformation and global mass redistribution with an increasing accuracy. In parallel, surficial processes (oceanic, atmospheric and hydrological loading) are more and more precisely modelled. We propose a confrontation of the geodetic Global Positioning System (GPS) and gravity-field satellite laser ranging (SLR) observations at decadal and interannual timescales, in terms of resolution, correlation and comparison with surficial loading models. We focus on the largest global scale signals of degree 2. At interannual periods, surface deformations retrieved from GPS time-series do not exceed 0.8 mm. Our analysis does not reveal the presence of a dominant signal at a specific period, except perhaps for a signal of approximately 3 yr likely connected to the loading response to El Niflo/Southern Oscillations. Contrary to the results of previous studies, we do not find in GPS time-series a clear 6-yr oscillation associated with a degree-2 order-2 pattern. Interannual variations in the degree-2 Stokes coefficients of the gravity field do not exceed 2 x 10(-11). We do not detect a dominant gravity signal at one specific period but instead a broad spectnun of frequencies. The comparison between the degree-2 deformations built from GPS time-series with a prediction from SLR-derived gravity variations reveals some correlations, though their differences remain important. This highlights the present day limitations of these techniques in their ability to characterize global scale interannual variations. Hydrological loading models show some correlations with both GPS and SLR signals, but we cannot firmly establish that continental hydrology is dominantly responsible for the observed variations. Given the current limits in the resolution of both gravity and surface deformation and in the modelling of surface processes, we conclude that it will be a challenge to retrieve a geodetic signal of subdecadal period originating in the Earth's core.</t>
  </si>
  <si>
    <t>[Rosat, S.; Boy, J-P] Univ Strasbourg, CNRS, EOST, IPGS UMR 7516, F-67000 Strasbourg, France; [Gillet, N.] Univ Grenoble Alpes, Univ Savoie Mt Blanc, CNRS, IFSTTAR,ISTerre,IRD, F-38000 Grenoble, France; [Couhert, A.] Ctr Natl Etud Spatiales, 18 Ave Edouard Belin, F-31401 Toulouse, France; [Dumberry, M.] Univ Alberta, Dept Phys, Edmonton, AB T6G 2E1, Canada</t>
  </si>
  <si>
    <t>Universites de Strasbourg Etablissements Associes; Universite de Strasbourg; Centre National de la Recherche Scientifique (CNRS); CNRS - National Institute for Earth Sciences &amp; Astronomy (INSU); Communaute Universite Grenoble Alpes; Universite Grenoble Alpes (UGA); Centre National de la Recherche Scientifique (CNRS); Institut de Recherche pour le Developpement (IRD); Universite Gustave-Eiffel; Universite Savoie Mont Blanc; University of Alberta</t>
  </si>
  <si>
    <t>Rosat, S (corresponding author), Univ Strasbourg, CNRS, EOST, IPGS UMR 7516, F-67000 Strasbourg, France.</t>
  </si>
  <si>
    <t>severine.rosat@unistra.fr</t>
  </si>
  <si>
    <t>Boy, Jean-Paul/ABH-9420-2020; Rosat, Severine/P-3438-2014; Couhert, Alexandre/HLV-8105-2023</t>
  </si>
  <si>
    <t>Boy, Jean-Paul/0000-0003-0259-209X; Rosat, Severine/0000-0003-4606-2170;</t>
  </si>
  <si>
    <t>French Centre National d'Etudes Spatiales (CNES) through the TOSCA program; French Centre National d'Etudes Spatiales (CNES); NSERC/CRSNG</t>
  </si>
  <si>
    <t>French Centre National d'Etudes Spatiales (CNES) through the TOSCA program; French Centre National d'Etudes Spatiales (CNES)(Centre National D'etudes Spatiales); NSERC/CRSNG(Natural Sciences and Engineering Research Council of Canada (NSERC))</t>
  </si>
  <si>
    <t>We thank the reviewers H. Dobslaw, R. Gross and the editor R. Holme for their comments on our manuscript. We are grateful to Paul Rebischung for sharing the IGS Repro2 GNSS time-series and Kristel Chanard for fruitful discussions on GNSS data analysis. SR also thanks Benjamin F. Chao and Hao Ding for useful clarifications and discussions about their work. SR acknowledges financial support by the French Centre National d'Etudes Spatiales (CNES) through the TOSCA program. NG was partially supported by the French Centre National d'Etudes Spatiales (CNES) for the study of Earth's core dynamics in the context of the Swarm mission of ESA. MD is supported by a Discovery grant from NSERC/CRSNG.</t>
  </si>
  <si>
    <t>0956-540X</t>
  </si>
  <si>
    <t>1365-246X</t>
  </si>
  <si>
    <t>GEOPHYS J INT</t>
  </si>
  <si>
    <t>Geophys. J. Int.</t>
  </si>
  <si>
    <t>10.1093/gji/ggaa590</t>
  </si>
  <si>
    <t>RW9UC</t>
  </si>
  <si>
    <t>WOS:000646864000013</t>
  </si>
  <si>
    <t>Shan, GQ; Qian, X; Chen, X; Feng, XM; Cai, MH; Yang, LP; Chen, M; Zhu, LY; Zhang, SF</t>
  </si>
  <si>
    <t>Shan, Guoqiang; Qian, Xiang; Chen, Xin; Feng, Xuemin; Cai, Minghong; Yang, Liping; Chen, Meng; Zhu, Lingyan; Zhang, Shufeng</t>
  </si>
  <si>
    <t>Legacy and emerging per- and poly-fluoroalkyl substances in surface seawater from northwestern Pacific to Southern Ocean: Evidences of current and historical release</t>
  </si>
  <si>
    <t>JOURNAL OF HAZARDOUS MATERIALS</t>
  </si>
  <si>
    <t>Open ocean; Surface seawater; PFASs; PFOS; Distribution</t>
  </si>
  <si>
    <t>Knowledge on distribution of per- and poly-fluoroalkyl substances (PFASs) in open oceans is limited. By taking part in the 32nd Chinese Antarctic Research Expedition, 41 surface seawater samples were collected in the northwestern Pacific Ocean (NW-PO), eastern Indian Ocean (E-IO) and Southern Ocean (SO), and 23 PFASs comprised of legacy perfluoroalkyl carboxylic acids, perfluoroalkyl sulfonate acids and some new emerging homologs such as 6:2 chlorinated polyfluorinated ether sulfonate (6:2 Cl-PFESA) were measured. The concentrations of the total PFASs decreased in the order of NW-PO E-IO&gt;SO. Perfluorooctanoic acid (PFOA) was the most dominant, followed by perfluorooctane sulfonate (PFOS). The PFOA concentration declined exponentially with the offshore distance, while such trend was not obvious for PFOS and other legacy PFASs, suggesting that PFOA was mainly derived from the ongoing land-based emissions, while PFOS was mainly from historical residues. 6:2 Cl-PFESA was identified (&lt; 11.1?170 pg/L) in the oceanic waters with relatively high level at the sites near Australia. Multiple receptor models indicated that PFASs in the SO were mainly contributed by atmosphere input, while those in the NW-PO and E-IO were originated from land sources. Isomeric profiles of PFOA showed that telomere-based source became more outstanding than electrochemical fluorinated production in recent years.</t>
  </si>
  <si>
    <t>[Shan, Guoqiang; Qian, Xiang; Chen, Xin; Feng, Xuemin; Yang, Liping; Chen, Meng; Zhu, Lingyan] Nankai Univ, Tianjin Key Lab Environm Remediat &amp; Pollut Contro, Key Lab Pollut Proc &amp; Environm Criteria, Minist Educ,Coll Environm Sci &amp; Engn, Tianjin 300350, Peoples R China; [Cai, Minghong] Polar Res Inst China, SOA Key Lab Polar Sci, Shanghai 200136, Peoples R China; [Zhang, Shufeng] Unit 124 65735 Troop, Dandong 118000, Peoples R China</t>
  </si>
  <si>
    <t>Nankai University; Polar Research Institute of China</t>
  </si>
  <si>
    <t>Zhu, LY (corresponding author), Nankai Univ, Tianjin Key Lab Environm Remediat &amp; Pollut Contro, Key Lab Pollut Proc &amp; Environm Criteria, Minist Educ,Coll Environm Sci &amp; Engn, Tianjin 300350, Peoples R China.</t>
  </si>
  <si>
    <t>zhuly@nankai.edu.cn</t>
  </si>
  <si>
    <t>Zhang, Yuting/JRW-3937-2023; cheng, shu/IZE-4788-2023; wang, yue/KDO-9209-2024; chen, shuo bing/KHV-7129-2024; li, yifang/JVM-8060-2024; zhao, sheng/JWO-6127-2024; DAI, Jinjia/KCL-5110-2024; yang, liping/HPC-6457-2023</t>
  </si>
  <si>
    <t>yang, liping/0000-0002-9783-8453</t>
  </si>
  <si>
    <t>Natural Science Foundation of China (NSFC) [41991313, 21737003, 21677081]; Ministry of Science and Technology, China [2019YFC1804203, 2018YFC1801003]; 111 program, Ministry of Education, China [T2017002]; Yangtze River scholar program; Chinese Arctic and Antarctic Administration</t>
  </si>
  <si>
    <t>Natural Science Foundation of China (NSFC)(National Natural Science Foundation of China (NSFC)); Ministry of Science and Technology, China(Ministry of Science and Technology, China); 111 program, Ministry of Education, China; Yangtze River scholar program; Chinese Arctic and Antarctic Administration</t>
  </si>
  <si>
    <t>We gratefully acknowledge financial support from the Natural Science Foundation of China (NSFC 41991313, 21737003, 21677081), Ministry of Science and Technology, China (2019YFC1804203, 2018YFC1801003), the 111 program, Ministry of Education, China (T2017002), and Yangtze River scholar program. We express our sincere gratitude to Dr. Hongyuan Zheng from Tongji University and all the members of the 32nd Chinese National Antarctic Research Expedition and the support from the Chinese Arctic and Antarctic Administration.</t>
  </si>
  <si>
    <t>0304-3894</t>
  </si>
  <si>
    <t>1873-3336</t>
  </si>
  <si>
    <t>J HAZARD MATER</t>
  </si>
  <si>
    <t>J. Hazard. Mater.</t>
  </si>
  <si>
    <t>JUN 5</t>
  </si>
  <si>
    <t>10.1016/j.jhazmat.2021.125049</t>
  </si>
  <si>
    <t>Engineering, Environmental; Environmental Sciences</t>
  </si>
  <si>
    <t>Engineering; Environmental Sciences &amp; Ecology</t>
  </si>
  <si>
    <t>RK1KN</t>
  </si>
  <si>
    <t>WOS:000638062200004</t>
  </si>
  <si>
    <t>Bowen, M; Vincent, RF</t>
  </si>
  <si>
    <t>Bowen, M.; Vincent, R. F.</t>
  </si>
  <si>
    <t>An assessment of the spatial extent of polar dust using satellite thermal data</t>
  </si>
  <si>
    <t>MINERAL-DUST; INFRARED CHANNELS; AMPLIFICATION; AEROSOLS; OCEAN; SNOW; ANTARCTICA; DEPOSITION; DESERT; TRENDS</t>
  </si>
  <si>
    <t>The effect of mineral dust aerosols and subsequent deposition in polar regions has historically been underestimated in climate models. Dust aerosols increase melt rates by reducing surface albedo and modifying atmospheric radiative properties. In this study 127,413 satellite images covering the Arctic and Antarctic from 2007 to 2019 were assessed for dust content using thermal infrared wavelengths. The results show a strong linear trend in which the relative spatial extent of dust (RSED) increased annually by 0.31% in the Arctic (8.5% to 12.1%) and 0.19% in the Antarctic (5.2% to 7.5%). Seasonally, the maximum aggregated average RSED occurred in the Arctic during boreal winter (11.2%), while the Antarctic peaked in austral spring (9.5%). Maximum RSED rates occurred in boreal winter/austral summer (Dec-Jan-Feb) for both polar regions. The data suggests that finer dust particles are more efficiently distributed by aeolian processes leading to higher RSED values that are not necessarily reflective of polar dust loading models.</t>
  </si>
  <si>
    <t>[Bowen, M.; Vincent, R. F.] Royal Mil Coll Canada, Dept Phys &amp; Space Sci, Kingston, ON K7K 7B4, Canada</t>
  </si>
  <si>
    <t>Royal Military College - Canada</t>
  </si>
  <si>
    <t>Vincent, RF (corresponding author), Royal Mil Coll Canada, Dept Phys &amp; Space Sci, Kingston, ON K7K 7B4, Canada.</t>
  </si>
  <si>
    <t>Ron.Vincent@rmc.ca</t>
  </si>
  <si>
    <t>JAN 13</t>
  </si>
  <si>
    <t>10.1038/s41598-020-79825-7</t>
  </si>
  <si>
    <t>QM4QN</t>
  </si>
  <si>
    <t>WOS:000621765000054</t>
  </si>
  <si>
    <t>Heuzé, C</t>
  </si>
  <si>
    <t>Heuze, Celine</t>
  </si>
  <si>
    <t>Antarctic Bottom Water and North Atlantic Deep Water in CMIP6 models</t>
  </si>
  <si>
    <t>EARTH SYSTEM MODEL; SOUTHERN-OCEAN; SEA-ICE; CLIMATE SENSITIVITY; CONVECTION; VERSION; VARIABILITY; SIMULATION; TRANSPORT; COASTAL</t>
  </si>
  <si>
    <t>Deep and bottom water formation are crucial components of the global ocean circulation, yet they were poorly represented in the previous generation of climate models. We here quantify biases in Antarctic Bottom Water (AABW) and North Atlantic Deep Water (NADW) formation, properties, transport, and global extent in 35 climate models that participated in the latest Climate Model Intercomparison Project (CMIP6). Several CMIP6 models are correctly forming AABW via shelf processes, but 28 models in the Southern Ocean and all 35 models in the North Atlantic form deep and bottom water via open-ocean deep convection too deeply, too often, and/or over too large an area. Models that convect the least form the most accurate AABW but the least accurate NADW. The four CESM2 models with their overflow parameterisation are among the most accurate models. In the Atlantic, the colder the AABW, the stronger the abyssal overturning at 30 degrees S, and the further north the AABW layer extends. The saltier the NADW, the stronger the Atlantic Meridional Overturning Circulation (AMOC), and the further south the NADW layer extends. In the Indian and Pacific oceans in contrast, the fresher models are the ones which extend the furthest regardless of the strength of their abyssal overturning, most likely because they are also the models with the weakest fronts in the Antarctic Circumpolar Current. There are clear improvements since CMIP5: several CMIP6 models correctly represent or parameterise Antarctic shelf processes, fewer models exhibit Southern Ocean deep convection, more models convect at the right location in the Labrador Sea, bottom density biases are reduced, and abyssal overturning is more realistic. However, more improvements are required, e.g. by generalising the use of overflow parameterisations or by coupling to interactive ice sheet models, before deep and bottom water formation, and hence heat and carbon storage, are represented accurately.</t>
  </si>
  <si>
    <t>[Heuze, Celine] Univ Gothenburg, Dept Earth Sci, Gothenburg, Sweden</t>
  </si>
  <si>
    <t>University of Gothenburg</t>
  </si>
  <si>
    <t>Heuzé, C (corresponding author), Univ Gothenburg, Dept Earth Sci, Gothenburg, Sweden.</t>
  </si>
  <si>
    <t>celine.heuze@gu.se</t>
  </si>
  <si>
    <t>Heuzé, Céline/U-5058-2017</t>
  </si>
  <si>
    <t>Heuzé, Céline/0000-0002-8850-5868</t>
  </si>
  <si>
    <t>Swedish Research Council [2018-03859]; Swedish Research Council [2018-03859] Funding Source: Swedish Research Council</t>
  </si>
  <si>
    <t>Swedish Research Council(Swedish Research Council); Swedish Research Council(Swedish Research Council)</t>
  </si>
  <si>
    <t>This research has been supported by the Swedish Research Council (grant no. 2018-03859).</t>
  </si>
  <si>
    <t>1812-0792</t>
  </si>
  <si>
    <t>10.5194/os-17-59-2021</t>
  </si>
  <si>
    <t>PW8OX</t>
  </si>
  <si>
    <t>WOS:000610928600001</t>
  </si>
  <si>
    <t>Luis, AJ; Tomar, KS; Prasad, A</t>
  </si>
  <si>
    <t>Luis, Alvarinho J.; Tomar, Kiledar S.; Prasad, Ashutosh</t>
  </si>
  <si>
    <t>Hydrodynamics of the choke point between Cape Town and Antarctica during the austral summer of 2019</t>
  </si>
  <si>
    <t>DEEP-SEA RESEARCH PART I-OCEANOGRAPHIC RESEARCH PAPERS</t>
  </si>
  <si>
    <t>Southern ocean; Hydrological fronts; Water mass; Heat content; Baroclinic transport</t>
  </si>
  <si>
    <t>CIRCUMPOLAR CURRENT SOUTH; GLOBAL OCEAN CIRCULATION; WATER MASSES; INDIAN-OCEAN; THERMOHALINE STRUCTURE; PRYDZ BAY; WEDDELL GYRE; POLAR FRONT; VARIABILITY; TRANSPORT</t>
  </si>
  <si>
    <t>This study addresses the hydrodynamics inferred from the expendable conductivity-temperature-depth (XCTD) observations carried out in the southwestern Indian Ocean sector of the Southern Ocean along two transects: the Lazarev Sea to Cape Town (track-1) and Cape Town to Prydz bay (track-2) during the austral summer of 2019. The vertical temperature and salinity structures revealed an eddy extending up to 44 degrees S (45?S) on track-1 (track2). South of the eddy, we encountered frontal zones extending to 53 degrees S (59 degrees S) on track-1(track-2). The frontal locations identified from XCTD and satellite-based sea surface temperature and absolute dynamic topography coincided, with the latter placed within the latitudinal limits identified from the XCTD data. Meandering of the Polar front (PF), the southern Antarctic Circumpolar Current (ACC) Front, and the Southern Boundary of the ACC was observed from 90 to 550 km southward. The Winter Water which was confined to the south of 50?S was detected at deeper depth (similar to 350 m) on track-1, compared to a depth of 100 m on track-2, and its thickness varied from zero to 1.2 m on track-1 and from 0.5 to 2.5 m on track-2. The vertical thermohaline structure revealed the northward subduction of a mixture of Antarctic Surface Water and Subantarctic Surface Water up to 45.5?S and down to 500 (320) m on track-1 (track-2). The volume transport (relative to 1000 m) accounted for 87% of that estimated in the literature (90 +/- 2.4 Sv) and 34.7 Sv across track-1 and-2, respectively. It was found that 70% of the volume transport was confined to the ACC frontal region and 26% of the total transport occurred in the 100-500 m slab. The cumulative heat and salt content was 2% and 1.2% higher between 39 degrees and 66 degrees S, compared to that estimated from 2008 data along track-1. We used a satellite-based absolute dynamic topography field, to trace out Agulhas current (AC) and its retroflection current, and eddies detached from the meanders. A higher dynamic topography gradient across the polar front facilitates enhanced transport. Sea surface temperature fields revealed that the meanders in the AC propagate southwest with an offshore extent of 30-300 km.</t>
  </si>
  <si>
    <t>[Luis, Alvarinho J.; Tomar, Kiledar S.; Prasad, Ashutosh] Minist Earth Sci, Natl Ctr Polar &amp; Ocean Res, Headland Sada 403804, Goa, India</t>
  </si>
  <si>
    <t>Ministry of Earth Sciences (MoES) - India; National Centre for Polar and Ocean Research (NCPOR)</t>
  </si>
  <si>
    <t>Luis, AJ (corresponding author), Minist Earth Sci, Natl Ctr Polar &amp; Ocean Res, Headland Sada 403804, Goa, India.</t>
  </si>
  <si>
    <t>alvluis@ncpor.res.in</t>
  </si>
  <si>
    <t>Prasad, Ashutosh Venkatesh/0000-0003-2132-9457; Luis, Dr Alvarinho J./0000-0002-3425-8048</t>
  </si>
  <si>
    <t>Ministry of Earth Sciences; New Delhi, India; NASA Physical Oceanography Program</t>
  </si>
  <si>
    <t>Ministry of Earth Sciences; New Delhi, India; NASA Physical Oceanography Program(National Aeronautics &amp; Space Administration (NASA))</t>
  </si>
  <si>
    <t>We acknowledge the Ministry of Earth Sciences, Govt. of India, New Delhi, India for funding the XCTD probes. NCPOR Director, Dr. M. Ravichandran is acknowledged for infrastructural facilities, and Mr. Javed Beg, Group Director, for Antarctic logistic support. MADT was downloaded from https://las.aviso.oceanobs.com/las/, and merged microwave Ts data are produced by Remote Sensing Systems and sponsored by NASA Physical Oceanography Program. GrADS was used to make 2-D plots. Two anonymous reviewers offered constructive comments which improved the first draft version. We also thank Prof. Igor Belkin, editor-in-chief for his suggestions for improvement of the manuscript.</t>
  </si>
  <si>
    <t>0967-0637</t>
  </si>
  <si>
    <t>1879-0119</t>
  </si>
  <si>
    <t>DEEP-SEA RES PT I</t>
  </si>
  <si>
    <t>Deep-Sea Res. Part I-Oceanogr. Res. Pap.</t>
  </si>
  <si>
    <t>10.1016/j.dsr.2020.103424</t>
  </si>
  <si>
    <t>Oceanography</t>
  </si>
  <si>
    <t>PY6QI</t>
  </si>
  <si>
    <t>WOS:000612167000005</t>
  </si>
  <si>
    <t>Khan, AL; Dierssen, HM; Scambos, TA; Höfer, J; Cordero, RR</t>
  </si>
  <si>
    <t>Khan, Alia L.; Dierssen, Heidi M.; Scambos, Ted A.; Hofer, Juan; Cordero, Raul R.</t>
  </si>
  <si>
    <t>Spectral characterization, radiative forcing and pigment content of coastal Antarctic snow algae: approaches to spectrally discriminate red and green communities and their impact on snowmelt</t>
  </si>
  <si>
    <t>CLIMATE-CHANGE; SURFACE; ICE; MODEL; PHOTOSYNTHESIS; CHLOROPHYTA; REFLECTANCE; PENINSULA; MICROBES; ALBEDO</t>
  </si>
  <si>
    <t>Here, we present radiative forcing (RF) estimates by snow algae in the Antarctic Peninsula (AP) region from multi-year measurements of solar radiation and ground-based hyperspectral characterization of red and green snow algae collected during a brief field expedition in austral summer 2018. Our analysis includes pigment content from samples at three bloom sites. Algal biomass in the snow and albedo reduction are well-correlated across the visible spectrum. Relative to clean snow, visibly green patches reduce snow albedo by similar to 40 % and red patches by similar to 20 %. However, red communities absorb considerably more light per milligram of pigment compared to green communities, particularly in green wavelengths. Based on our study results, it should be possible to differentiate red and green algae using Sentinel-2 bands in blue, green and red wavelengths. Instantaneous RF averages were double for green (180 W m(-2)) vs. red communities (88 W m(-2)), with a maximum of 228 W m(-2). Based on multi-year solar radiation measurements at Palmer Station, this translated to a mean daily RF of similar to 26 W m(-2) (green) and similar to 13 W m(-2) (red) during peak growing season - on par with midlatitude dust attributions capable of advancing snowmelt. This results in similar to 2522 m(3) of snow melted by green-colored algae and similar to 1218 m(3) of snow melted by red-colored algae annually over the summer, suggesting snow algae play a significant role in snowmelt in the AP regions where they occur. We suggest impacts of RF by snow algae on snowmelt be accounted for in future estimates of Antarctic ice-free expansion in the AP region.</t>
  </si>
  <si>
    <t>[Khan, Alia L.] Western Washington Univ, Huxley Coll Environm, Dept Environm Sci, Bellingham, WA 98225 USA; [Khan, Alia L.] Univ Colorado, Natl Snow &amp; Ice Data Ctr, Cooperat Inst Res Environm Sci, Boulder, CO 80309 USA; [Dierssen, Heidi M.] Univ Connecticut, Dept Marine Sci &amp; Geog, Groton, CT USA; [Scambos, Ted A.] Univ Colorado, Earth Sci &amp; Observat Ctr, Cooperat Inst Res Environm Sci, Boulder, CO 80309 USA; [Hofer, Juan] Pontificia Univ Catolica Valparaiso, Escuela Ciencias Mar, Valparaiso, Chile; [Hofer, Juan] Ctr FONDAP Invest Dinam Ecosistemas Marinos Altas, Valdivia, Chile; [Cordero, Raul R.] Univ Santiago, Dept Phys, Av Bernardo OHiggins 3363, Santiago, Chile</t>
  </si>
  <si>
    <t>Western Washington University; University of Colorado System; University of Colorado Boulder; University of Connecticut; University of Colorado System; University of Colorado Boulder; Pontificia Universidad Catolica de Valparaiso; Universidad de Santiago de Chile</t>
  </si>
  <si>
    <t>Khan, AL (corresponding author), Western Washington Univ, Huxley Coll Environm, Dept Environm Sci, Bellingham, WA 98225 USA.;Khan, AL (corresponding author), Univ Colorado, Natl Snow &amp; Ice Data Ctr, Cooperat Inst Res Environm Sci, Boulder, CO 80309 USA.</t>
  </si>
  <si>
    <t>alia.khan@wwu.edu</t>
  </si>
  <si>
    <t>Hofer, Juan/0000-0002-5887-4929; Khan, Alia/0000-0002-4425-1528; SCAMBOS, Ted A./0000-0003-4268-6322; Cordero, Raul R./0000-0001-7607-7993</t>
  </si>
  <si>
    <t>Fulbright U.S. Scholar Program (Chilean Antarctic Institute); United States Geological Survey [140G0118C0005]; NASA; Consejo Nacional de Ciencia y Tecnologia (CONICYT) [1191932, 1171690]; Chilean Antarctic Institute (INACH) [RT32-15, RT70-18]; CONICYT [15150003, 3180152]</t>
  </si>
  <si>
    <t>Fulbright U.S. Scholar Program (Chilean Antarctic Institute); United States Geological Survey(United States Geological Survey); NASA(National Aeronautics &amp; Space Administration (NASA)); Consejo Nacional de Ciencia y Tecnologia (CONICYT)(Consejo Nacional de Ciencia y Tecnologia (CONACyT)Comision Nacional de Investigacion Cientifica y Tecnologica (CONICYT)); Chilean Antarctic Institute (INACH); CONICYT(Comision Nacional de Investigacion Cientifica y Tecnologica (CONICYT))</t>
  </si>
  <si>
    <t>This research has been supported by the Fulbright U.S. Scholar Program (Chilean Antarctic Institute), the United States Geological Survey (grant no. 140G0118C0005), NASA (grant no. Ocean Biology and Biogeochemistry PACE Science Team), the Consejo Nacional de Ciencia y Tecnologia (CONICYT) (grant nos. 1191932 and 1171690), the Chilean Antarctic Institute (INACH) (grant nos. RT32-15 and RT70-18) and the CONICYT (grant nos. 15150003 and 3180152).</t>
  </si>
  <si>
    <t>10.5194/tc-15-133-2021</t>
  </si>
  <si>
    <t>PW8QM</t>
  </si>
  <si>
    <t>WOS:000610932700001</t>
  </si>
  <si>
    <t>van der Boog, CG; Koetsier, JO; Dijkstra, HA; Pietrzak, JD; Katsman, CA</t>
  </si>
  <si>
    <t>van der Boog, Carine G.; Koetsier, J. Otto; Dijkstra, Henk A.; Pietrzak, Julie D.; Katsman, Caroline A.</t>
  </si>
  <si>
    <t>Global dataset of thermohaline staircases obtained from Argo floats and Ice-Tethered Profilers</t>
  </si>
  <si>
    <t>EARTH SYSTEM SCIENCE DATA</t>
  </si>
  <si>
    <t>ANTARCTIC INTERMEDIATE WATER; DIFFUSIVE STAIRCASES; OCEAN MODEL; SALT; CIRCULATION; TEMPERATURE; INTRUSIONS; FLUXES; HEAT</t>
  </si>
  <si>
    <t>Thermohaline staircases are associated with double-diffusive mixing. They are characterized by stepped structures consisting of mixed layers of typically tens of metres thick that are separated by much thinner interfaces. Through these interfaces enhanced diapycnal salt and heat transport take place. In this study, we present a global dataset of thermohaline staircases derived from observations of Argo profiling floats and Ice-Tethered Profilers using a novel detection algorithm. To establish the presence of thermohaline staircases, the algorithm detects subsurface mixed layers and analyses the interfaces in between. Of each detected staircase, the conservative temperature, absolute salinity, depth, and height, as well as some other properties of the mixed layers and interfaces, are computed. The algorithm is applied to 487 493 quality-controlled temperature and salinity profiles to obtain a global dataset. The performance of the algorithm is verified through an analysis of independent regional observations. The algorithm and global dataset are available at https://doi.org/10.5281/zenodo.4286170.</t>
  </si>
  <si>
    <t>[van der Boog, Carine G.; Koetsier, J. Otto; Pietrzak, Julie D.; Katsman, Caroline A.] Delft Univ Technol, Environm Fluid Mech, Civil Engn &amp; Geosci, Delft, Netherlands; [Dijkstra, Henk A.] Univ Utrecht, Inst Marine &amp; Atmospher Res Utrecht, Utrecht, Netherlands</t>
  </si>
  <si>
    <t>Delft University of Technology; Utrecht University</t>
  </si>
  <si>
    <t>van der Boog, CG (corresponding author), Delft Univ Technol, Environm Fluid Mech, Civil Engn &amp; Geosci, Delft, Netherlands.</t>
  </si>
  <si>
    <t>c.g.vanderboog@tudelft.nl</t>
  </si>
  <si>
    <t>Dijkstra, Henk A./H-2559-2016</t>
  </si>
  <si>
    <t>Delft University of Technology Delft Technology Fellowship</t>
  </si>
  <si>
    <t>This research has been supported by the Delft University of Technology Delft Technology Fellowship awarded to Caroline A. Katsman.</t>
  </si>
  <si>
    <t>1866-3508</t>
  </si>
  <si>
    <t>1866-3516</t>
  </si>
  <si>
    <t>EARTH SYST SCI DATA</t>
  </si>
  <si>
    <t>Earth Syst. Sci. Data</t>
  </si>
  <si>
    <t>10.5194/essd-13-43-2021</t>
  </si>
  <si>
    <t>PW8MT</t>
  </si>
  <si>
    <t>WOS:000610922900001</t>
  </si>
  <si>
    <t>Deng, JJ; Gao, Y; Zhu, JL; Li, LJ; Yu, S; Kawamura, K; Fu, PQ</t>
  </si>
  <si>
    <t>Deng, Junjun; Gao, Yuan; Zhu, Jialei; Li, Linjie; Yu, Shun; Kawamura, Kimitaka; Fu, Pingqing</t>
  </si>
  <si>
    <t>Molecularmarkers for fungal spores and biogenic SOA over the Antarctic Peninsula: Field measurements and modeling results</t>
  </si>
  <si>
    <t>Antarctica; Primary organic aerosols; Secondary organic aerosols; Fungal spore; Isoprene SOA</t>
  </si>
  <si>
    <t>SECONDARY ORGANIC AEROSOL; SEASONAL-VARIATIONS; OXIDATION-PRODUCTS; MARINE ATMOSPHERE; DIMETHYL SULFIDE; PRIMARY EMISSION; ALPHA-PINENE; MEGAN MODEL; ISOPRENE; TRACERS</t>
  </si>
  <si>
    <t>Biogenic organic aerosols are important components of atmospheric organic aerosols and play vital roles in atmospheric chemistry, global climate, and biogeochemical cycles of carbon. However, studies on biogenic organic aerosols in the vast regions of the Southern Ocean and over the coastal waters of the Antarctic, especially Antarctic Peninsula, are still extremely limited. To understand the concentrations, molecular composition and seasonality of biogenic organic aerosols in Antarctica, atmospheric aerosols were collected at the Palmer Station on the west Antarctic Peninsula experiencing dramatic climate warming. Molecular marker compounds of fungal spores and secondary organic aerosols formed from the photooxidation of isoprene and monoterpene were analyzed using gas chromatography/mass spectrometry. Concentrations of sugar alcohols and biogenic SOA tracers both presented seasonal patterns with higher average concentrations in summer (90.7 and 122 pgm(-3)) than in winter (8.88 and 57.2 pgm(-3)). Sugar alcohols and biogenic SOA tracers were predominated by mannitol and isoprene oxidation products. Relative contributions of fungal-spore organic carbon (OC), isoprene-derived secondary OC (SOC) and monoterpene-derived SOC estimated with tracer-based methods were 26.2%, 55.6% and 18.2%, respectively. The observed seasonality of total biogenic SOA and some molecular species at the Antarctic Peninsula was further supported by the results from the global model CESM/IMPACT. Model results also suggest higher biogenic SOA in East Antarctica than that in West Antarctica, which is attributed to the influence of vertical atmospheric circulation. Our results of air-mass trajectory indicate the potential influence of marine emissions on the biogenic organic aerosols over the Antarctic Peninsula. (C) 2020 Elsevier B.V. All rights reserved.</t>
  </si>
  <si>
    <t>[Deng, Junjun; Zhu, Jialei; Fu, Pingqing] Tianjin Univ, Sch Earth Syst Sci, Inst Surface Earth Syst Sci, Tianjin 300072, Peoples R China; [Gao, Yuan; Yu, Shun] Rutgers State Univ, Dept Earth &amp; Environm Sci, Newark, NJ 07102 USA; [Li, Linjie] Chinese Acad Sci, Inst Atmospher Phys, LAPC, Beijing 100029, Peoples R China; [Kawamura, Kimitaka] Chubu Univ, Chubu Inst Adv Studies, Kasugai, Aichi 4878501, Japan; [Li, Linjie] Univ Gothenburg, Dept Chem &amp; Mol Biol, S-41296 Gothenburg, Sweden</t>
  </si>
  <si>
    <t>Tianjin University; Rutgers University System; Rutgers University Newark; Rutgers University New Brunswick; Chinese Academy of Sciences; Institute of Atmospheric Physics, CAS; Chubu University; University of Gothenburg</t>
  </si>
  <si>
    <t>Fu, PQ (corresponding author), Tianjin Univ, Sch Earth Syst Sci, Inst Surface Earth Syst Sci, Tianjin 300072, Peoples R China.;Gao, Y (corresponding author), Rutgers State Univ, Dept Earth &amp; Environm Sci, Newark, NJ 07102 USA.</t>
  </si>
  <si>
    <t>yuangaoh@newark.rutgers.edu; fupingqing@tju.edu.cn</t>
  </si>
  <si>
    <t>Kawamura, Kimitaka/B-3839-2011; Fu, Pingqing/G-4863-2013; Deng, Junjun/D-9056-2012</t>
  </si>
  <si>
    <t>Kawamura, Kimitaka/0000-0003-1190-3726; Fu, Pingqing/0000-0001-6249-2280; Deng, Junjun/0000-0001-6942-5742; Li, Linjie/0000-0003-0508-4947</t>
  </si>
  <si>
    <t>US National Science Foundation [OPP-1341494]; Rutgers University; Natural Science Foundation of China [41625014]</t>
  </si>
  <si>
    <t>US National Science Foundation(National Science Foundation (NSF)); Rutgers University; Natural Science Foundation of China(National Natural Science Foundation of China (NSFC))</t>
  </si>
  <si>
    <t>This research was supported by the US National Science Foundation Grant OPP-1341494 and Rutgers University's Global Program Travel Award to Y.G. P.F. thanks the financial support fromtheNational Natural Science Foundation of China (grant no 41625014). We are grateful to Pami Mukherjee, Rafael Jusino-Atresino and Guojie Xu for assistance with fieldwork preparation in the lab before field sampling. This work would not have become possible without the dedication and support from the staff at Palmer Station and with the US Antarctic Program.</t>
  </si>
  <si>
    <t>MAR 25</t>
  </si>
  <si>
    <t>10.1016/j.scitotenv.2020.143089</t>
  </si>
  <si>
    <t>PS4RL</t>
  </si>
  <si>
    <t>WOS:000607910300024</t>
  </si>
  <si>
    <t>McQuillan, RV; Stevens, GW; Mumford, KA</t>
  </si>
  <si>
    <t>McQuillan, Rebecca, V; Stevens, Geoffrey W.; Mumford, Kathryn A.</t>
  </si>
  <si>
    <t>Assessment of the electro-Fenton pathway for the removal of naphthalene from contaminated waters in remote regions</t>
  </si>
  <si>
    <t>Wastewater treatment; Advanced oxidation; Kinetic model; Remediation technology</t>
  </si>
  <si>
    <t>ADVANCED OXIDATION PROCESSES; PETROLEUM-HYDROCARBON CONTAMINATION; WASTE-WATER; ORGANIC POLLUTANTS; ACTIVATED CARBON; HYDROGEN-PEROXIDE; HYDROXYL RADICALS; OXYGEN REDUCTION; CATHODE MATERIAL; AZO-DYE</t>
  </si>
  <si>
    <t>This work investigates the effectiveness of the electro-Fenton reaction for the treatment of wastewaters contaminated with petroleum hydrocarbons. More specific attention was given to field deployment applications in remote regions, such as the sub-Antarctic, where there is a need for low-cost technologies that can aid in remediation efforts. Naphthalene, a high priority pollutant for removal within these regions, was chosen as a model contaminant and treated with inexpensive graphite electrodes to promote the electro-Fenton pathway. Results show that naphthalene can be fully removed from a near-saturated solution, 20 mg/L, in less than 3 h of treatment. The underlying removal mechanisms were identified, and a kinetic model is presented that can accurately predict treatment outcomes at varying operating conditions of applied electric currents, 0-5 mA, and iron(II) concentrations, 0-2.0 mM. Optimal operating conditions for the electro-Fenton pathway were found to be at an applied current of 5 mA and an iron(II) concentration of 0.06 mM; this resulted in a specific energy consumption of 5.6 kWhr/kg of naphthalene removed, low enough to be operated in remote regions via sustainable energy sources. (C) 2020 Elsevier B.V. All rights reserved.</t>
  </si>
  <si>
    <t>[McQuillan, Rebecca, V; Stevens, Geoffrey W.; Mumford, Kathryn A.] Univ Melbourne, Dept Chem Engn, Parkville, Vic 3010, Australia</t>
  </si>
  <si>
    <t>University of Melbourne</t>
  </si>
  <si>
    <t>Mumford, KA (corresponding author), Univ Melbourne, Dept Chem Engn, Parkville, Vic 3010, Australia.</t>
  </si>
  <si>
    <t>mumfordk@unimelb.edu.au</t>
  </si>
  <si>
    <t>Mumford, Kathryn A/M-6566-2015</t>
  </si>
  <si>
    <t>McQuillan, Rebecca/0000-0003-4147-8353</t>
  </si>
  <si>
    <t>Australian Antarctic Science Project [[4036]]</t>
  </si>
  <si>
    <t>Australian Antarctic Science Project</t>
  </si>
  <si>
    <t>This work was financially supported by the Australian Antarctic Science Project [4036].</t>
  </si>
  <si>
    <t>10.1016/j.scitotenv.2020.143155</t>
  </si>
  <si>
    <t>WOS:000607910300080</t>
  </si>
  <si>
    <t>Buskowiak, D; Janussen, D</t>
  </si>
  <si>
    <t>Buskowiak, Daniel; Janussen, Dorte</t>
  </si>
  <si>
    <t>An exceptional occurrence of deep-sea sponges in the region of former Larsen Ice Shelves, Antarctic Peninsula, with the description of two new species</t>
  </si>
  <si>
    <t>MARINE BIODIVERSITY</t>
  </si>
  <si>
    <t>Antarctic Ocean; Marine fauna; New species; Hexactinellida; Carnivorous sponges; Caulophacus; Abyssocladia</t>
  </si>
  <si>
    <t>Two new species of deep-sea sponges from the Weddell Sea are described. Both are new to science: a carnivorous Demospongiae species Abyssocladia antarctica sp. nov. and a Hexactinellida species Caulophacus leonieae sp. nov., the latter characterized by a new type of microscleres. Both were sampled at the former Larsen Ice Shelf region, Antarctic Peninsula, that was covered by ice until recent breakup events started in 1995. Abyssocladia Levi, 1964 and Caulophacus Schulze, 1886 are well-known genera in the deep sea but were discovered here at only 200-300 m depths. The findings support the hypothesis that deep-sea and sub-shelf environments provide similar life conditions. These discoveries should urge us to further investigate areas of disintegrated Antarctic shelf ice as soon as possible, since new trophic conditions may have a severe impact on biodiversity and faunal composition.</t>
  </si>
  <si>
    <t>[Buskowiak, Daniel; Janussen, Dorte] Senckenberg Res Inst &amp; Nat Museum, Senckenberganlage 25, D-60325 Frankfurt, Germany</t>
  </si>
  <si>
    <t>Senckenberg Gesellschaft fur Naturforschung (SGN)</t>
  </si>
  <si>
    <t>Buskowiak, D (corresponding author), Senckenberg Res Inst &amp; Nat Museum, Senckenberganlage 25, D-60325 Frankfurt, Germany.</t>
  </si>
  <si>
    <t>daniel.buskowiak@stud.uni-frankfurt.de; dorte.janussen@senckenberg.de</t>
  </si>
  <si>
    <t>Projekt DEAL</t>
  </si>
  <si>
    <t>Open Access funding enabled and organized by Projekt DEAL.</t>
  </si>
  <si>
    <t>1867-1616</t>
  </si>
  <si>
    <t>1867-1624</t>
  </si>
  <si>
    <t>MAR BIODIVERS</t>
  </si>
  <si>
    <t>Mar. Biodivers.</t>
  </si>
  <si>
    <t>10.1007/s12526-020-01134-z</t>
  </si>
  <si>
    <t>Biodiversity Conservation; Marine &amp; Freshwater Biology</t>
  </si>
  <si>
    <t>Biodiversity &amp; Conservation; Marine &amp; Freshwater Biology</t>
  </si>
  <si>
    <t>PV6EW</t>
  </si>
  <si>
    <t>WOS:000610080400001</t>
  </si>
  <si>
    <t>Wang, YM; Qi, D; Wu, YX; Gao, ZY; Sun, H; Lin, HM; Pan, JM; Han, ZB; Gao, LB; Zhang, YH; Chen, LQ</t>
  </si>
  <si>
    <t>Wang, Yanmin; Qi, Di; Wu, Yingxu; Gao, Zhongyong; Sun, Heng; Lin, Hongmei; Pan, Jianming; Han, Zhengbin; Gao, Libao; Zhang, Yuanhui; Chen, Liqi</t>
  </si>
  <si>
    <t>Biological and physical controls of pCO2 and air-sea CO2 fluxes in the austral summer of 2015 in Prydz Bay, East Antarctica</t>
  </si>
  <si>
    <t>pCO(2); Air-sea CO2 fluxes; Prydz Bay; East Antarctica</t>
  </si>
  <si>
    <t>DISSOLVED INORGANIC CARBON; SOUTHERN-OCEAN; GAS-EXCHANGE; ANNUAL CYCLE; WIND-SPEED; WATER; SATURATION; DIOXIDE; IRON; ICE</t>
  </si>
  <si>
    <t>The Southern Ocean is the most important carbon sink in the world because of its relatively cold seawater temperature and unique overturning circulation which provides a conduit for atmospheric CO2 to enter into the deep ocean. However, it remains less clear how physical-biogeochemical processes control the carbon source/sink status because of the sparse spatiotemporal coverage of observations in the Southern Ocean, particularly in its coastal areas. The sea surface partial pressure of CO2 (pCO(2)) and related carbonate system parameters were measured in Prydz Bay during the 31st Chinese National Antarctic Research Expedition (CHINARE) cruise in February 2015. Our results showed a contrast spatial pattern of sea surface pCO(2) in the southern and northern regions of the Antarctic Slope Front (ASF), corresponding to their different hydrographic settings. The surface waters over the continental shelf south of the shelf break served as a strong CO2 sink (-35.1 +/- 32.1 mmol C m(-2) d(-1)) due to the enhanced net primary production when sea-ice was absent. The surface waters north of the shelf break were found to be a moderate CO2 sink (-7.0 +/- 5.9 mmol C m(-2) d(-1)) despite the upwelling of CO2-rich subsurface waters. The high wind velocities have contributed to the overall large magnitude of CO2 sink although the average atmospheric pCO(2) was only slightly higher than the sea surface pCO(2) (similar to 237-380 mu atm). Our results also indicated that Prydz Bay has become a stronger sink of atmospheric CO2 in summer of 2015 (average flux of -21.4 +/- 27.3 mmol C m(-)(2) d(-1)) than that observed in summer of 2000 (average flux of -3.23 mmol C m(-)(2) d(-1)) as well as other reported fluxes in the continental shelf waters around the Antarctic.</t>
  </si>
  <si>
    <t>[Wang, Yanmin; Qi, Di; Wu, Yingxu; Gao, Zhongyong; Sun, Heng; Lin, Hongmei; Zhang, Yuanhui; Chen, Liqi] Third Inst Oceanog TTO, Key Lab Global Change &amp; Marine Atmospher Chem GCM, Minist Nat Resources MNR, MNR, Xiamen 361005, Peoples R China; [Wang, Yanmin] Xiamen Univ, State Key Lab Marine Environm Sci, Xiamen, Fujian, Peoples R China; [Gao, Libao] First Inst Oceanog, Ctr Ocean &amp; Climate Res, Minist Nat Resources MNR, Qingdao, Peoples R China; [Gao, Libao] Qingdao Natl Lab Marine Sci &amp; Technol, Lab Reg Oceanog &amp; Numer Modeling, Qingdao, Peoples R China; [Pan, Jianming; Han, Zhengbin] Second Inst Oceanog, Key Lab Marine Ecosyst &amp; Biogeochem, Minist Nat Resources MNR, Hangzhou, Peoples R China</t>
  </si>
  <si>
    <t>Third Institute of Oceanography, Ministry of Natural Resources; Ministry of Natural Resources of the People's Republic of China; Xiamen University; First Institute of Oceanography, Ministry of Natural Resources; Ministry of Natural Resources of the People's Republic of China; Laoshan Laboratory; Ministry of Natural Resources of the People's Republic of China; Second Institute of Oceanography, Ministry of Natural Resources</t>
  </si>
  <si>
    <t>Qi, D (corresponding author), Third Inst Oceanog TTO, Key Lab Global Change &amp; Marine Atmospher Chem GCM, Minist Nat Resources MNR, MNR, Xiamen 361005, Peoples R China.</t>
  </si>
  <si>
    <t>qidi@tio.org.cn; chenliqi@tio.org.cn</t>
  </si>
  <si>
    <t>Wu, Yingxu/HDO-0449-2022</t>
  </si>
  <si>
    <t>Gao, Libao/0000-0002-0402-9340; Wu, Yingxu/0000-0002-7847-6215</t>
  </si>
  <si>
    <t>Scientific Research Foundation of Third Institute of Oceanography, MNR [2019032, 2017029]; National Natural Science Foundation of China [41806222, 41630969, 41876231]; Chinese Projects for Investigations and Assessments of the Arctic and Antarctic [CHINARE2017-2020]; Bilateral Cooperation of Maritime Affairs [2200207]; Basic Scientific Fund for National Public Research Institutes of China [2018S02]; Response and feedback of the Southern Ocean to climate change [RFSOCC2020-2025]</t>
  </si>
  <si>
    <t>Scientific Research Foundation of Third Institute of Oceanography, MNR; National Natural Science Foundation of China(National Natural Science Foundation of China (NSFC)); Chinese Projects for Investigations and Assessments of the Arctic and Antarctic; Bilateral Cooperation of Maritime Affairs; Basic Scientific Fund for National Public Research Institutes of China; Response and feedback of the Southern Ocean to climate change</t>
  </si>
  <si>
    <t>This work was supported by the Scientific Research Foundation of Third Institute of Oceanography, MNR, No. (2019032, 2017029), National Natural Science Foundation of China (41806222, 41630969 and 41876231), the Chinese Projects for Investigations and Assessments of the Arctic and Antarctic (CHINARE2017-2020), Bilateral Cooperation of Maritime Affairs (2200207), the Basic Scientific Fund for National Public Research Institutes of China (2018S02) and the Response and feedback of the Southern Ocean to climate change (RFSOCC2020-2025). We would like to thank the officers and crew of the research vessel Xuelong for their dedication and assistance. We also thank Baoshan Chen and Haixia Guo for their help on processing the remote sensing data.</t>
  </si>
  <si>
    <t>10.1016/j.marchem.2020.103897</t>
  </si>
  <si>
    <t>WOS:000608138600001</t>
  </si>
  <si>
    <t>Haug, T; Biuw, M; Gjosæter, H; Knutsen, T; Lindstrom, U; MacKenzie, KM; Meier, S; Nilssen, KT</t>
  </si>
  <si>
    <t>Haug, Tore; Biuw, Martin; Gjosaeter, Harald; Knutsen, Tor; Lindstrom, Ulf; MacKenzie, Kirsteen M.; Meier, Sonnich; Nilssen, Kjell T.</t>
  </si>
  <si>
    <t>Harp seal body condition and trophic interactions with prey in Norwegian high Arctic waters in early autumn</t>
  </si>
  <si>
    <t>PROGRESS IN OCEANOGRAPHY</t>
  </si>
  <si>
    <t>Harp seals; Condition; Diet; Stable isotopes; Fatty acids</t>
  </si>
  <si>
    <t>MARGINAL ICE-ZONE; INTER-SPECIFIC VARIATIONS; KRILL EUPHAUSIA-SUPERBA; DIEL VERTICAL MIGRATION; COD BOREOGADUS-SAIDA; PHOCA-GROENLANDICA; FATTY-ACIDS; PAGOPHILUS-GROENLANDICUS; BARENTS SEA; ANTARCTIC KRILL</t>
  </si>
  <si>
    <t>In September 2016, a marine ecosystem survey covered all trophic levels from phytoplankton to seals in the Arctic Ocean to the west and north of Svalbard. At the ice edge, 26 harp seals were sampled to assess whether recent environmental changes had affected their diets and body condition by comparing our current results with previous investigations conducted 2-3 decades ago in the northern Barents Sea, when the ice edge was located much further south. Our results suggest that the body condition was slightly but significantly lower for one year and older seals in 2016 compared with seals sampled in the early 1990s. Furthermore, we confirmed previous findings that polar cod (Boreogadus saida) and the pelagic hyperiid amphipod Themisto libellula still dominate the seal diet. One consequence of current ice edge localisation north of Svalbard is that the water depth underneath is now 500 m and deeper, which probably explains the absence of bottom associated species, and the presence of species such as Atlantic cod (Gadus morhua) and blue whiting (Micromesistius poutassou) as alternative species in addition to polar cod and T. libellula in the seal diets. Stable isotope data also suggest possible long-term importance in the seal diet of T. libellula and of low trophic level benthopelagic prey such as the squid Gonatus fabricii over mid-trophic level pelagic fishes, but with a strong component of small, benthopelagic fish such as blue whiting. The long-term importance of pelagic crustaceans was also suggested from the fatty acid analyses. Assessment of the abundance of prey showed that T. libellula was by far the most abundant prey species in the upper water layers, followed by krill (mainly Thysanoessa inermis), Atlantic cod and polar cod. Prey-preference analyses indicated that polar cod was the most preferred prey species for the seals.</t>
  </si>
  <si>
    <t>[Haug, Tore; Biuw, Martin; Lindstrom, Ulf; MacKenzie, Kirsteen M.; Nilssen, Kjell T.] Inst Marine Res, Fram Ctr, POB 6606 Langnes, N-9296 Tromso, Norway; [Gjosaeter, Harald; Knutsen, Tor; Meier, Sonnich] Inst Marine Res, POB 1870 Nordnes, N-5817 Bergen, Norway; [MacKenzie, Kirsteen M.] Norwegian Polar Res Inst, Fram Ctr, POB 6606 Langnes, N-9296 Tromso, Norway</t>
  </si>
  <si>
    <t>Institute of Marine Research - Norway; Institute of Marine Research - Norway; Norwegian Polar Institute</t>
  </si>
  <si>
    <t>Haug, T (corresponding author), Inst Marine Res, Fram Ctr, POB 6606 Langnes, N-9296 Tromso, Norway.</t>
  </si>
  <si>
    <t>tore.haug@hi.no</t>
  </si>
  <si>
    <t>Gjøsæter, Harald/V-7898-2019; MacKenzie, Kirsteen/AAZ-2065-2021</t>
  </si>
  <si>
    <t>Gjøsæter, Harald/0000-0001-7694-6503; MacKenzie, Kirsteen/0000-0003-4045-3445; Knutsen, Tor/0000-0003-3531-5611; Biuw, Martin/0000-0001-8051-3399</t>
  </si>
  <si>
    <t>Research Council of Norway [RCN 228896, RCN 276730]; Institute of Marine Research (IMR), Bergen</t>
  </si>
  <si>
    <t>Research Council of Norway(Research Council of Norway); Institute of Marine Research (IMR), Bergen</t>
  </si>
  <si>
    <t>We gratefully acknowledge the skilled assistance provided by the Captain, crew and research assistants on the RV Helmer Hanssen survey in 2016, and to Lotta Lindblom and Kristin Windsland who analyzed the contents from the gastro-intestinal tracts of the seals. Thanks to Mikaela Tilman (UiT -The Arctic University of Norway) for collecting prey samples for stable isotope analyses, and to Maite Cerezo Araujo (University of Iceland) for assistance in work with the seal tissues. The authors would also like to thank Therese Smith-Jahnsen Aase and Arve Fossen for the technical assistance with the lipid analysis. We are indebted to Dr. Maria Thomasson (now Samuelsson) for sharing measurements on the total length and wet weights of northern krill Meganyctiphanes norvegica from her earlier investigations in Gullmarsfjorden. Thanks also to Drs Astrid Cornils (Alfred-Wegener-Institut), Elke Mizdalski (formerly Alfred-Wegener-Institut) and Wilhelm Hagen (University of Bremen) to help clarify how total length of Thysanoessa macrura from the German investigations in the Weddel and Lazarev Seas were measured. Drs Kjersti Dale and Margaux Noyon are thanked for letting us use length - wet weight measurements of Themisto libellula from their earlier investigations in the Svalbard area. Dr. Gaston Ezequiel Aguirre (IMR) is thanked for his help with additional morphometric measurements on Themisto libellula. Dr. Georg Skaret (IMR) helped apply the CCAMLR accepted methods of krill biomass estimation in the Southern Ocean, to our data on krill and hyperiids in the Svalbard region. The Research Council of Norway is thanked for the financial support through the projects The Arctic Ocean Ecosystem (SI_ARCTIC, RCN 228896) and The Nansen Legacy (AeN, RCN 276730), as well as the Institute of Marine Research (IMR), Bergen.</t>
  </si>
  <si>
    <t>0079-6611</t>
  </si>
  <si>
    <t>1873-4472</t>
  </si>
  <si>
    <t>PROG OCEANOGR</t>
  </si>
  <si>
    <t>Prog. Oceanogr.</t>
  </si>
  <si>
    <t>10.1016/j.pocean.2020.102498</t>
  </si>
  <si>
    <t>QP6TT</t>
  </si>
  <si>
    <t>WOS:000623967800001</t>
  </si>
  <si>
    <t>Miller, BS; Balcazar, N; Nieukirk, S; Leroy, EC; Aulich, M; Shabangu, FW; Dziak, RP; Lee, WS; Hong, JK</t>
  </si>
  <si>
    <t>Miller, Brian S.; Balcazar, Naysa; Nieukirk, Sharon; Leroy, Emmanuelle C.; Aulich, Meghan; Shabangu, Fannie W.; Dziak, Robert P.; Lee, Won Sang; Hong, Jong Kuk</t>
  </si>
  <si>
    <t>IWC-SORP SOOS Acoustic Trends Work</t>
  </si>
  <si>
    <t>An open access dataset for developing automated detectors of Antarctic baleen whale sounds and performance evaluation of two commonly used detectors</t>
  </si>
  <si>
    <t>Since 2001, hundreds of thousands of hours of underwater acoustic recordings have been made throughout the Southern Ocean south of 60 degrees S. Detailed analysis of the occurrence of marine mammal sounds in these circumpolar recordings could provide novel insights into their ecology, but manual inspection of the entirety of all recordings would be prohibitively time consuming and expensive. Automated signal processing methods have now developed to the point that they can be applied to these data in a cost-effective manner. However training and evaluating the efficacy of these automated signal processing methods still requires a representative annotated library of sounds to identify the true presence and absence of different sound types. This work presents such a library of annotated recordings for the purpose of training and evaluating automated detectors of Antarctic blue and fin whale calls. Creation of the library has focused on the annotation of a representative sample of recordings to ensure that automated algorithms can be developed and tested across a broad range of instruments, locations, environmental conditions, and years. To demonstrate the utility of the library, we characterise the performance of two automated detection algorithms that have been commonly used to detect stereotyped calls of blue and fin whales. The availability of this library will facilitate development of improved detectors for the acoustic presence of Southern Ocean blue and fin whales. It can also be expanded upon to facilitate standardization of subsequent analysis of spatiotemporal trends in call-density of these circumpolar species.</t>
  </si>
  <si>
    <t>[Miller, Brian S.] Australian Antarctic Div, 203 Channel Highway, Kingston, Tas, Australia; [Nieukirk, Sharon; Dziak, Robert P.] Pacific Marine Environm Lab, NOAA, Newport, OR USA; [Aulich, Meghan] Curtin Univ, Ctr Marine Sci &amp; Technol, Bentley, WA, Australia; [Shabangu, Fannie W.] Dept Environm Forestry &amp; Fisheries, Fisheries Management Branch, Cape Town, South Africa; [Shabangu, Fannie W.] Univ Pretoria, Mammal Res Inst Whale Unit, Private Bag X20, ZA-0028 Pretoria, South Africa; [Lee, Won Sang; Hong, Jong Kuk] Korea Polar Res Inst, Incheon 21990, South Korea</t>
  </si>
  <si>
    <t>Australian Antarctic Division; National Oceanic Atmospheric Admin (NOAA) - USA; Curtin University; University of Pretoria; Korea Polar Research Institute (KOPRI)</t>
  </si>
  <si>
    <t>Miller, BS (corresponding author), Australian Antarctic Div, 203 Channel Highway, Kingston, Tas, Australia.</t>
  </si>
  <si>
    <t>brian.miller@aad.gov.au</t>
  </si>
  <si>
    <t>; Findlay, Ken/A-5766-2019</t>
  </si>
  <si>
    <t>Aulich, Meghan/0000-0002-4316-8642; Harris, Danielle Veronica/0000-0003-1447-1420; Stafford, Kathleen Mary/0000-0003-0039-5025; Findlay, Ken/0000-0001-7154-8805; Shabangu, Fannie W./0000-0002-3668-3566; Miller, Brian/0000-0001-7615-3044</t>
  </si>
  <si>
    <t>IWC-SORP Grant An annotated library of underwater acoustic recordings for testing and training automated algorithms for detecting Southern Ocean baleen whales; Australian Antarctic Science Projects [4101, 4102]; Korean Ministry of Oceans and Fisheries [KIMST20190361, PM20020, PE20230]; South African National Antarctic Programme [SNA 2011112500003]; IWC-SORP Grant IWC-SORP Project 5-Acoustic trends in abundance, distribution, and seasonal presence of Antarctic blue whales and fin whales in the Southern Ocean: 5-year strategic meeting</t>
  </si>
  <si>
    <t>IWC-SORP Grant An annotated library of underwater acoustic recordings for testing and training automated algorithms for detecting Southern Ocean baleen whales; Australian Antarctic Science Projects; Korean Ministry of Oceans and Fisheries; South African National Antarctic Programme; IWC-SORP Grant IWC-SORP Project 5-Acoustic trends in abundance, distribution, and seasonal presence of Antarctic blue whales and fin whales in the Southern Ocean: 5-year strategic meeting</t>
  </si>
  <si>
    <t>The annotated library was made possible with funding from: IWC-SORP Grant An annotated library of underwater acoustic recordings for testing and training automated algorithms for detecting Southern Ocean baleen whales; IWC-SORP Grant IWC-SORP Project 5-Acoustic trends in abundance, distribution, and seasonal presence of Antarctic blue whales and fin whales in the Southern Ocean: 5-year strategic meeting; Australian Antarctic Science Projects 4101, and 4102-Antarctic baleen whale habitat utilisation and linkages to environmental characteristics, and Population abundance, trend, structure and distribution of the endangered Antarctic blue whale; Research grants from the Korean Ministry of Oceans and Fisheries (KIMST20190361; PM20020; PE20230). This report is NOAA/PMEL contribution number 5005. South African National Antarctic Programme Grant/Award Number: SNA 2011112500003.</t>
  </si>
  <si>
    <t>JAN 12</t>
  </si>
  <si>
    <t>10.1038/s41598-020-78995-8</t>
  </si>
  <si>
    <t>QM6XP</t>
  </si>
  <si>
    <t>WOS:000621920400154</t>
  </si>
  <si>
    <t>van Neer, A; Gross, S; Kesselring, T; Grilo, ML; Ludes-Wehrmeister, E; Roncon, G; Siebert, U</t>
  </si>
  <si>
    <t>van Neer, Abbo; Gross, Stephanie; Kesselring, Tina; Grilo, Miguel L.; Ludes-Wehrmeister, Eva; Roncon, Giulia; Siebert, Ursula</t>
  </si>
  <si>
    <t>Assessing seal carcasses potentially subjected to grey seal predation</t>
  </si>
  <si>
    <t>In order to conduct an objective evaluation of potential ecological effects of grey seal predation on marine mammals, it is essential to establish a broad knowledge base helping in the thorough identification of such cases during post-mortem examination. The aim of this work is to report and discuss outcomes resulting from a retrospective evaluation of harbour (Phoca vitulina) and grey seal (Halichoerus grypus) stranding and necropsy data (n=3274). In addition, the results are compared to a recent case of definite grey seal predation from Germany as well as reports from other countries. Carcasses potentially subjected to grey seal predation show severe lacerations with a circular pattern leaving a smooth, linear and cut-like wound margin. Large parts of skin and underlying tissue are detached from the body and loss of blubber is common. Occurrence frequencies of encountered lesions are presented and a list of parameters to be used for the assessment of similar cases as well as a complementary decision tree are suggested. With the proposed parameters, categories and tools, a baseline can be built in order to facilitate the standardised recognition of predation cases during post-mortem examinations of seals between groups working with populations across several geographic ranges.</t>
  </si>
  <si>
    <t>[van Neer, Abbo; Gross, Stephanie; Kesselring, Tina; Grilo, Miguel L.; Ludes-Wehrmeister, Eva; Roncon, Giulia; Siebert, Ursula] Univ Vet Med Hannover, Inst Terr &amp; Aquat Wildlife Res ITAW, Werftstr 6, D-25761 Busum, Germany; [Grilo, Miguel L.] Univ Lisbon, CIISA Ctr Interdisciplinary Res Anim Hlth, Lisbon, Portugal; [Roncon, Giulia] Univ Tasmania, Inst Marine &amp; Antarctic Studies, Hobart, Tas, Australia</t>
  </si>
  <si>
    <t>University of Veterinary Medicine Hannover; Universidade de Lisboa; University of Tasmania</t>
  </si>
  <si>
    <t>van Neer, A (corresponding author), Univ Vet Med Hannover, Inst Terr &amp; Aquat Wildlife Res ITAW, Werftstr 6, D-25761 Busum, Germany.</t>
  </si>
  <si>
    <t>abbo.van.neer@tiho-hannover.de</t>
  </si>
  <si>
    <t>Gross, Stephanie/0000-0002-7734-1466; Grilo, Miguel/0000-0001-7364-821X; van Neer, Abbo/0000-0002-3519-0356</t>
  </si>
  <si>
    <t>Ministry of Energy, Agriculture, the Environment, Nature and Digitalization of Schleswig-Holstein, Germany [V 501-0635.711]; Government-Owned Company for Coastal Protection, National Parks and Ocean Protection [ZB-U0-16-0665000-4121.1]; Projekt DEAL</t>
  </si>
  <si>
    <t>Ministry of Energy, Agriculture, the Environment, Nature and Digitalization of Schleswig-Holstein, Germany; Government-Owned Company for Coastal Protection, National Parks and Ocean Protection; Projekt DEAL</t>
  </si>
  <si>
    <t>Open Access funding enabled and organized by Projekt DEAL. This research was funded by the Ministry of Energy, Agriculture, the Environment, Nature and Digitalization of Schleswig-Holstein, Germany (Grant number V 501-0635.711). The national stranding network is organised and funded by the Government-Owned Company for Coastal Protection, National Parks and Ocean Protection (Grant number ZB-U0-16-0665000-4121.1). There was no additional external funding received for this study. The funder had no role in study design, data collection and analysis, decision to publish, or preparation of the manuscript.</t>
  </si>
  <si>
    <t>10.1038/s41598-020-80737-9</t>
  </si>
  <si>
    <t>WOS:000621920400042</t>
  </si>
  <si>
    <t>Goosse, H; Dalaiden, Q; Cavitte, MGP; Zhang, LP</t>
  </si>
  <si>
    <t>Goosse, Hugues; Dalaiden, Quentin; Cavitte, Marie G. P.; Zhang, Liping</t>
  </si>
  <si>
    <t>Can we reconstruct the formation of large open-ocean polynyas in the Southern Ocean using ice core records?</t>
  </si>
  <si>
    <t>DRONNING MAUD-LAND; SURFACE MASS-BALANCE; ANTARCTIC BOTTOM WATER; STABLE-ISOTOPE RECORDS; GFDL GLOBAL ATMOSPHERE; SEA-ICE; SNOW ACCUMULATION; WEDDELL POLYNYA; ANNULAR MODE; TEMPERATURE RECONSTRUCTIONS</t>
  </si>
  <si>
    <t>Large open-ocean polynyas, defined as ice-free areas within the sea ice pack, have only rarely been observed in the Southern Ocean over the past decades. In addition to smaller recent events, an impressive sequence occurred in the Weddell Sea in 1974, 1975 and 1976 with openings of more than 300 000 km(2) that lasted the full winter. These big events have a huge impact on the sea ice cover, deep-water formation, and, more generally, on the Southern Ocean and the Antarctic climate. However, we have no estimate of the frequency of the occurrence of such large open-ocean polynyas before the 1970s. Our goal here is to test if polynya activity could be reconstructed using continental records and, specifically, observations derived from ice cores. The fingerprint of big open-ocean polynyas is first described in reconstructions based on data from weather stations, in ice cores for the 1970s and in climate models. It shows a signal characterized by a surface air warming and increased precipitation in coastal regions adjacent to the eastern part of the Weddell Sea, where several high-resolution ice cores have been collected. The signal of the isotopic composition of precipitation is more ambiguous; thus, we base our reconstructions on surface mass balance records alone. A first reconstruction is obtained by performing a simple average of standardized records. Given the similarity between the observed signal and the one simulated in models, we also use data assimilation to reconstruct past polynya activity. The impact of open-ocean polynyas on the continent is not large enough, compared with the changes due to factors such as atmospheric variability, to detect the polynya signal without ambiguity, and additional observations would be required to clearly discriminate the years with and without open-ocean polynya. Thus, it is reasonable to consider that, in these preliminary reconstructions, some high snow accumulation events may be wrongly interpreted as the consequence of polynya formation and some years with polynya formation may be missed. Nevertheless, our reconstructions suggest that big open-ocean polynyas, such as those observed in the 1970s, are rare events, occurring at most a few times per century. Century-scale changes in polynya activity are also likely, but our reconstructions are unable to precisely assess this aspect at this stage.</t>
  </si>
  <si>
    <t>[Goosse, Hugues; Dalaiden, Quentin; Cavitte, Marie G. P.] Catholic Univ Louvain, Earth &amp; Life Inst, Louvain La Neuve, Belgium; [Zhang, Liping] NOAA, Geophys Fluid Dynam Lab, Princeton, NJ USA; [Zhang, Liping] Univ Corp Atmospher Res, Cooperat Programs Adv Earth Syst Sci, Boulder, CO USA</t>
  </si>
  <si>
    <t>Universite Catholique Louvain; National Oceanic Atmospheric Admin (NOAA) - USA; National Center Atmospheric Research (NCAR) - USA</t>
  </si>
  <si>
    <t>Goosse, H (corresponding author), Catholic Univ Louvain, Earth &amp; Life Inst, Louvain La Neuve, Belgium.</t>
  </si>
  <si>
    <t>hugues.goosse@uclouvain.be</t>
  </si>
  <si>
    <t>Zhang, Liping/L-6480-2015</t>
  </si>
  <si>
    <t>Zhang, Liping/0000-0003-1122-8927; Cavitte, Marie/0000-0002-5777-0933</t>
  </si>
  <si>
    <t>Belgian Research Action through Interdisciplinary Networks (BRAIN.be) from the Belgian Science Policy Office</t>
  </si>
  <si>
    <t>This research has been supported by the Belgian Research Action through Interdisciplinary Networks (BRAIN.be) from the Belgian Science Policy Office in the framework of the East Antarctic surface mass balance in the An-thropocene: observations and multiscale modelling (Mass2Ant)project (contract no. BR/165/A2/Mass2Ant).</t>
  </si>
  <si>
    <t>10.5194/cp-17-111-2021</t>
  </si>
  <si>
    <t>PW7HY</t>
  </si>
  <si>
    <t>WOS:000610842600001</t>
  </si>
  <si>
    <t>Mao, FY; Hong, J; Min, QL; Gong, W; Zang, L; Yin, JH</t>
  </si>
  <si>
    <t>Mao, Feiyue; Hong, Jia; Min, Qilong; Gong, Wei; Zang, Lin; Yin, Jianhua</t>
  </si>
  <si>
    <t>Estimating hourly full-coverage PM2.5 over China based on TOA reflectance data from the Fengyun-4A satellite</t>
  </si>
  <si>
    <t>ENVIRONMENTAL POLLUTION</t>
  </si>
  <si>
    <t>Particulate pollution; Random forest; FY-4A; Machine learning; Geostationary satellite</t>
  </si>
  <si>
    <t>GROUND-LEVEL PM2.5; AEROSOL OPTICAL DEPTH; PM1 CONCENTRATIONS; MODIS; AOD; LAND</t>
  </si>
  <si>
    <t>It is challenging to retrieve hourly ground-level PM2.5 on a national scale in China due to the sparse site measurements and the limited coverage of Low Earth Orbit (LEO) satellite observations. The new geo-stationary meteorological satellite of China, Fengyun-4A (FY-4A), provides a unique opportunity to fill this gap. In this study, the Random Forest (RF) algorithm was applied to retrieve hourly PM2.5 of China directly from FY-4A Top-of-Atmosphere (TOA) reflectance data. A one-year PM2.5 retrieval shows a strong agreement to ground-based measurements, with the averaged R-2 approaching 0.92, while the RMSE was only 10.0 mg/m(3). An analysis of the regional differences of the performance and the dependency on satellite Viewing Zenith Angle (VZA) show that sparse measurements, high VZA, and solar zenith angle (SZA) are the primary sources of the uncertainty. The use of the FY-4A improved 17% spatial coverage compared to the Himawari-8-based PM2.5 retrievals, enabling full-coverage, hourly PM2.5 monitoring over China, and potentially could improve PM2.5 predictions from air quality models after data assimilation. (C) 2020 Elsevier Ltd. All rights reserved.</t>
  </si>
  <si>
    <t>[Mao, Feiyue; Hong, Jia; Gong, Wei] Wuhan Univ, State Key Lab Informat Engn Surveying Mapping &amp; R, Wuhan, Peoples R China; [Mao, Feiyue; Yin, Jianhua] Wuhan Univ, Sch Remote Sensing &amp; Informat Engn, Wuhan, Peoples R China; [Mao, Feiyue; Gong, Wei] Collaborat Innovat Ctr Geospatial Technol, Wuhan, Peoples R China; [Min, Qilong] SUNY Albany, Atmospher Sci Res Ctr, Albany, NY 12222 USA; [Zang, Lin] Wuhan Univ, Chinese Antarctic Ctr Surveying &amp; Mapping, Wuhan, Peoples R China</t>
  </si>
  <si>
    <t>Wuhan University; Wuhan University; State University of New York (SUNY) System; State University of New York (SUNY) Albany; Wuhan University</t>
  </si>
  <si>
    <t>Hong, J (corresponding author), Wuhan Univ, State Key Lab Informat Engn Surveying Mapping &amp; R, Wuhan, Peoples R China.</t>
  </si>
  <si>
    <t>hongjia@whu.edu.cn</t>
  </si>
  <si>
    <t>National Natural Science Foundation of China [41627804, 41971285, 41701381]; National Key R&amp;D Program of China [2017YFC0212600]; Fundamental Research Funds for the Central Universities [2042019kf0192]</t>
  </si>
  <si>
    <t>National Natural Science Foundation of China(National Natural Science Foundation of China (NSFC)); National Key R&amp;D Program of China; Fundamental Research Funds for the Central Universities(Fundamental Research Funds for the Central Universities)</t>
  </si>
  <si>
    <t>This study is supported by the National Natural Science Foundation of China (41627804, 41971285, and 41701381), the National Key R&amp;D Program of China (2017YFC0212600), and the Fundamental Research Funds for the Central Universities (2042019kf0192). The authors would like to thank the supports of the National Satellite Meteorological Center (NSMC) for providing FY-4A data and instructions, the China Environmental Monitoring Center for providing the PM2.5 observations, and the ECMWF for providing the meteorological data. The numerical calculations in this paper have been done on the supercomputing system in the Supercomputing Center of Wuhan University. We thank Dr. Steve McClure for linguistic assistance during the preparation of this manuscript.</t>
  </si>
  <si>
    <t>0269-7491</t>
  </si>
  <si>
    <t>1873-6424</t>
  </si>
  <si>
    <t>ENVIRON POLLUT</t>
  </si>
  <si>
    <t>Environ. Pollut.</t>
  </si>
  <si>
    <t>FEB 1</t>
  </si>
  <si>
    <t>10.1016/j.envpol.2020.116119</t>
  </si>
  <si>
    <t>PS6VZ</t>
  </si>
  <si>
    <t>WOS:000608065400048</t>
  </si>
  <si>
    <t>Nawrocki, J; Panczyk, M; Wójcik, K; Tatur, A</t>
  </si>
  <si>
    <t>Nawrocki, Jerzy; Panczyk, Magdalena; Wojcik, Krystian; Tatur, Andrzej</t>
  </si>
  <si>
    <t>U-Pb isotopic ages and provenance of some far-travelled exotic pebbles from glaciogenic sediments of the Polonez Cove Formation (Oligocene, King George Island)</t>
  </si>
  <si>
    <t>ANTARCTIC PENINSULA; ELLSWORTH MOUNTAINS; ICE-SHEET; TECTONIC HISTORY; WEST ANTARCTICA; ZIRCON; GEOCHRONOLOGY; CONSTRAINTS; EVOLUTION; EVENTS</t>
  </si>
  <si>
    <t>Zircon grains from nine erratic pebbles of granite, granodiorite-tonalite and quartzite from the Polonez Cove Formation (southern King George Island) were studied for their U-Pb isotope ages and provenance. The calculated concordia ages of the studied pebbles are 108.79 +/- 0.89, 119.7 +/- 2.2, 178.6 +/- 2.8, 180.7 +/- 1.9, 207.4 +/- 3.1, 231.1 +/- 1.9, 1087.5 +/- 4 and 1833 +/- 4 Ma. The source area of individual pebbles was analysed and defined. Pebbles of crystalline rocks were derived from the Antarctic Peninsula, as well as from the Antarctic mainland. The erratic made of quartzite was eroded from the southernmost part of the Ellsworth Mountains (Linder Pak Member of Howard Nunatak Formation). Our isotope data analytically support the earlier thesis that the Oligocene ice-sheet covered a substantial part of Antarctica and its nucleus was located in its central part.</t>
  </si>
  <si>
    <t>[Nawrocki, Jerzy] Marie Curie Sklodowska Univ, Fac Earth Sci &amp; Spatial Management, Krasnicka 2cd, PL-20718 Lublin, Poland; [Panczyk, Magdalena; Wojcik, Krystian] Polish Geol Inst NRI, Rakowiecka 4, PL-00975 Warsaw, Poland; [Tatur, Andrzej] Warsaw Univ, Fac Geol, Zwirki &amp; Wigury 93, PL-02089 Warsaw, Poland</t>
  </si>
  <si>
    <t>Maria Curie-Sklodowska University; Polish Geological Institute - National Research Institute; University of Warsaw</t>
  </si>
  <si>
    <t>Nawrocki, J (corresponding author), Marie Curie Sklodowska Univ, Fac Earth Sci &amp; Spatial Management, Krasnicka 2cd, PL-20718 Lublin, Poland.</t>
  </si>
  <si>
    <t>jerzy.nawrocki@pgi.gov.pl</t>
  </si>
  <si>
    <t>Wojcik, Krystian/0000-0002-4856-0619; Panczyk, Magdalena/0000-0001-9435-8481; Nawrocki, Jerzy/0000-0002-9644-0224</t>
  </si>
  <si>
    <t>Ministerstwo Nauki i Szkolnictwa Wyz.szego [61.2916.1901.00.0]</t>
  </si>
  <si>
    <t>Ministerstwo Nauki i Szkolnictwa Wyz.szego(Ministry of Science and Higher Education, Poland)</t>
  </si>
  <si>
    <t>This work was funded by the Ministerstwo Nauki i Szkolnictwa Wyz.szego (61.2916.1901.00.0).</t>
  </si>
  <si>
    <t>jgs2020-113</t>
  </si>
  <si>
    <t>10.1144/jgs2020-113</t>
  </si>
  <si>
    <t>WOS:000607279000001</t>
  </si>
  <si>
    <t>Eastman, JT; La Mesa, M</t>
  </si>
  <si>
    <t>Eastman, Joseph T.; La Mesa, Mario</t>
  </si>
  <si>
    <t>Neuromorphological disparity in deep-living sister species of the Antarctic fish genus Trematomus</t>
  </si>
  <si>
    <t>Sensory systems; Brains; Morphology; Innershelf depressions</t>
  </si>
  <si>
    <t>SENSE ORGAN ANATOMY; LATERAL-LINE; DEMERSAL FISH; BRAIN-AREAS; ROSS SEA; NOTOTHENIOID FISHES; WEDDELL SEA; BODY-SIZE; PERCIFORMES; MORPHOLOGY</t>
  </si>
  <si>
    <t>Because sister species share a phenotypic axis, they hold morphological and ecological traits in common and, when sympatric, are ideal subjects for examining the extent of morphological divergence associated with the non-shared ecological parameters of the niche. Trematomus lepidorhinus and T. loennbergii have overlapping depth ranges of &gt; 1000 m and occupy the deep shelf-upper slope niche in the waters of East Antarctica, an area where glacial troughs and their 1000-1500 m-deep landward basins (innershelf depressions) encompass 40% of the sea floor. The sense organ and brain divergence between the two species at the gross anatomical and histological levels involves differences in: number of olfactory lamellae, composition of the photoreceptor array and the number of retinal cells, size of the cephalic lateral line pores, and overall size of the brain and degree of development of different brain regions. Size and shape of the sagittal otoliths also differ. The morphology is unequivocally differentiating for habitat depths and conclusively documents a shift toward reliance on non-visual senses in T. loennbergii, consistent with collection data indicating this species lives at greater depths than T. lepidorhinus. Depths of peak abundances-200-500 m for T. lepidorhinus and 600-800 m for T. loennbergii-are the major differentiating parameter, with the approximate to 300 m differential between the peaks providing considerable, although not absolute, habitat separation. This is also reflected in the greater absolute abundances of the shallower-living T. lepidorhinus in trawl catches. Only T. loennbergii is found near the floors of 1000-1500 m-deep innershelf depressions, a distinctive microhabitat on the high latitude shelf.</t>
  </si>
  <si>
    <t>[Eastman, Joseph T.] Ohio Univ, Dept Biomed Sci, Athens, OH 45701 USA; [La Mesa, Mario] CNR, Area Ric Bologna, Ist Sci Polari ISP, Via P Gobetti 101, I-40129 Bologna, Italy</t>
  </si>
  <si>
    <t>University System of Ohio; Ohio University; Consiglio Nazionale delle Ricerche (CNR); Istituto di Scienze Polari (ISP-CNR)</t>
  </si>
  <si>
    <t>Eastman, JT (corresponding author), Ohio Univ, Dept Biomed Sci, Athens, OH 45701 USA.</t>
  </si>
  <si>
    <t>eastman@ohio.edu</t>
  </si>
  <si>
    <t>Eastman, Joseph T./O-6150-2019</t>
  </si>
  <si>
    <t>Eastman, Joseph T./0000-0003-3868-261X</t>
  </si>
  <si>
    <t>US NSF [ANT 94-16870, ANT 04-36190]; Italian National Antarctic Research Program (PNRA) [2013/C1.07]</t>
  </si>
  <si>
    <t>US NSF(National Science Foundation (NSF)); Italian National Antarctic Research Program (PNRA)(Ministry of Education, Universities and Research (MIUR))</t>
  </si>
  <si>
    <t>We thank Romain Causse (Museum national d'Histoire naturelle, Paris) for his efforts in providing the loan of specimens from the Indian Ocean sector and Michael J. Lannoo (Indiana University School of Medicine-Terre Haute) for perfusing brains of specimens of Trematomus during NBP cruise 97-9. We are also grateful to Taeko Miyazaki (Mie University, Japan) for assisting in our interpretation of retinal histology, to Danette Pratt for her illustrations in Figs. 9 and 11, and to Emilio Riginella who collected and provided samples for otolith shape analyses. Reviewers Michael Matschiner, John C. Montgomery and Sara Ferrando provided valuable comments on the manuscript. This work was supported by US NSF ANT 94-16870 and ANT 04-36190 to JTE, and by the Italian National Antarctic Research Program (PNRA), Project 2013/C1.07 to MLM.</t>
  </si>
  <si>
    <t>10.1007/s00300-020-02794-0</t>
  </si>
  <si>
    <t>WOS:000607352300001</t>
  </si>
  <si>
    <t>Ratcliffe, N; Deagle, B; Love, K; Polanowski, A; Fielding, S; Wood, AG; Hill, S; Grant, S; Belchier, M; Fleming, A; Hall, J</t>
  </si>
  <si>
    <t>Ratcliffe, Norman; Deagle, Bruce; Love, Kieran; Polanowski, Andrea; Fielding, Sophie; Wood, Andrew G.; Hill, Simeon; Grant, Susie; Belchier, Mark; Fleming, Andrew; Hall, Jonathan</t>
  </si>
  <si>
    <t>Changes in prey fields increase the potential for spatial overlap between gentoo penguins and a krill fishery within a marine protected area</t>
  </si>
  <si>
    <t>DIVERSITY AND DISTRIBUTIONS</t>
  </si>
  <si>
    <t>DNA metabarcoding; dynamic ocean management; fishery competition; gentoo penguin; krill; MPA; prey field; satellite tracking; spatial overlap</t>
  </si>
  <si>
    <t>DYNAMIC OCEAN MANAGEMENT; PYGOSCELIS-PAPUA; EUPHAUSIA-SUPERBA; SOUTH GEORGIA; VARIABILITY; WINTER; CONSERVATION; DENSITY; DIET; SEA</t>
  </si>
  <si>
    <t>AIM: Management of competition with predators is an important consideration for fisheries, particularly within marine protected areas (MPAs) where conservation is a primary objective. We aimed to test whether static no-take zones within a large, sustainable-use MPA prevented overlap between gentoo penguins and a krill fishery during two winters with contrasting prey fields. LOCATION: South Georgia, Southwest Atlantic Ocean. METHOD: We used satellite tracking (N = 16, June-September 2018) to describe gentoo penguin movements and distribution and quantified their overlap with the MPA's no-take zone (NTZ) and the krill fishing grounds. DNA metabarcoding of scats (N = 220, April-September 2018) was used to quantify diet. RESULTS: When krill were at moderate densities and evenly distributed in 2001, gentoo penguins would have spent all of their time within the 12 NM NTZ, but when availability was low in 2018, they spent 46.3% of their time outside the NTZ and 9.6% within the krill fishing grounds. The extension of the NTZ to 30 km in response to this finding would have produced a 14.9% increase in protection for penguins and displaced 4% of fishery hauls. Gentoo penguin diet comprised 25.8% krill, which is lower than in the late 1980s but more than in 2009. MAIN CONCLUSIONS: Gentoo penguins extend their foraging range when krill is scarce, which increases the potential for spatial overlap with the krill fishery during periods of nutritional stress. Current regulations allow for expansion of both extent and catches by the krill fishery and, should this occur, gentoo penguins may face heightened risks from competition. A dynamic ocean management framework, that extends closed areas in response to near real-time data on penguin movements and krill density estimates, may reduce the potential for competition in this sustainable-use MPA while allowing a profitable krill fishery.</t>
  </si>
  <si>
    <t>[Ratcliffe, Norman; Love, Kieran; Fielding, Sophie; Wood, Andrew G.; Hill, Simeon; Grant, Susie; Fleming, Andrew] British Antarctic Survey, Madingley Rd, Cambridge CB3 0ET, England; [Deagle, Bruce; Polanowski, Andrea] Australian Antarctic Div, Kingston, Tas, Australia; [Belchier, Mark] South Georgia &amp; South Sandwich Isl Govt, Stanley, Falkland Island; [Hall, Jonathan] RSPB, The Lodge, Beds, England</t>
  </si>
  <si>
    <t>UK Research &amp; Innovation (UKRI); Natural Environment Research Council (NERC); NERC British Antarctic Survey; Australian Antarctic Division; Royal Society for Protection of Birds</t>
  </si>
  <si>
    <t>Ratcliffe, N (corresponding author), British Antarctic Survey, Madingley Rd, Cambridge CB3 0ET, England.</t>
  </si>
  <si>
    <t>notc@bas.ac.uk</t>
  </si>
  <si>
    <t>Fielding, Sophie/E-5137-2012; Simeon, Hill L/B-2307-2008; Deagle, Bruce E/R-2999-2019</t>
  </si>
  <si>
    <t>Deagle, Bruce E/0000-0001-7651-3687; Grant, Susie/0000-0001-7941-3948; Polanowski, Andrea/0000-0002-9612-220X</t>
  </si>
  <si>
    <t>Pew Charitable Trusts; British Antarctic Survey; Truell Conservation Foundation; NERC [bas010011, bas0100035] Funding Source: UKRI</t>
  </si>
  <si>
    <t>Pew Charitable Trusts; British Antarctic Survey; Truell Conservation Foundation; NERC(UK Research &amp; Innovation (UKRI)Natural Environment Research Council (NERC))</t>
  </si>
  <si>
    <t>Pew Charitable Trusts; British Antarctic Survey; Truell Conservation Foundation</t>
  </si>
  <si>
    <t>1366-9516</t>
  </si>
  <si>
    <t>1472-4642</t>
  </si>
  <si>
    <t>DIVERS DISTRIB</t>
  </si>
  <si>
    <t>Divers. Distrib.</t>
  </si>
  <si>
    <t>10.1111/ddi.13216</t>
  </si>
  <si>
    <t>QG7SO</t>
  </si>
  <si>
    <t>gold, Green Accepted</t>
  </si>
  <si>
    <t>WOS:000606961700001</t>
  </si>
  <si>
    <t>Vargas-Chacoff, L; Martínez, D; Oyarzún-Salazar, R; Paschke, K; Navarro, JM</t>
  </si>
  <si>
    <t>Vargas-Chacoff, L.; Martinez, D.; Oyarzun-Salazar, R.; Paschke, K.; Navarro, J. M.</t>
  </si>
  <si>
    <t>The osmotic response capacity of the Antarctic fish Harpagifer antarcticus is insufficient to cope with projected temperature and salinity under climate change</t>
  </si>
  <si>
    <t>JOURNAL OF THERMAL BIOLOGY</t>
  </si>
  <si>
    <t>Osmoregulation; Antarctic fish; Salinity; Temperature; Harpagifer</t>
  </si>
  <si>
    <t>SALMON SALMO-SALAR; K+-ATPASE ACTIVITY; L. SMOLTS; OSMOREGULATION; GILL; EXPRESSION; NA+; ACCLIMATION; NA+,K+-ATPASE; ADAPTATION</t>
  </si>
  <si>
    <t>Over the last decades, climate change has intensified. Temperatures have increased and seawater has become ?fresher? in Antarctica, affecting fish such as Harpagifer antarcticus. Thus, this study aimed to evaluate changes in the osmoregulatory response of the Antarctic notothenioid fish Harpagifer antarcticus and evaluate how it will cope with the future climate change and environmental conditions in the Antarctic, and in the hypothetical case that its geographical distribution will be extended to the Magellanes region. The present study was undertaken to determine the interaction between temperature and salinity tolerance (2 ?C and 33 psu as the control group, the experimental groups were 5, 8, and 11 ?C and 28 and 23 psu) and their effect on the osmoregulatory status of H. antarcticus. We evaluated changes in gill-kidney-intestine NKA activity, gene expression of NKA?, NKCC, CFTR, Aquaporins 1 and 8 in the same tissues, muscle water percentage, and plasma osmolality to evaluate osmoregulatory responses. Plasma osmolality decreased with high temperature, also the gill-kidney-intestine NKA activity, gene expression of NKA ?, NKCC, CFTR, Aquaporins 1, and 8 were modified by temperature and salinity. We demonstrated that H. antarcticus can not live in the Magallanes region, due to its incapacity to put up with temperatures over 5 ?C and with over 8 ?C being catastrophic.</t>
  </si>
  <si>
    <t>[Vargas-Chacoff, L.; Martinez, D.; Oyarzun-Salazar, R.; Navarro, J. M.] Univ Austral Chile, Inst Ciencias Marinas &amp; Limnol, Valdivia, Chile; [Vargas-Chacoff, L.; Martinez, D.; Oyarzun-Salazar, R.; Paschke, K.; Navarro, J. M.] Univ Austral Chile, Ctr FONDAP Invest Dinam Ecosistemas Marinos Altas, Valdivia, Chile; [Oyarzun-Salazar, R.] Univ Austral Chile, Escuela Grad Programa Doctorado Ciencias Acuicult, Puerto Montt, Chile; [Paschke, K.] Univ Austral Chile, Inst Acuicultura, Puerto Montt, Chile</t>
  </si>
  <si>
    <t>Universidad Austral de Chile; Universidad Austral de Chile; Universidad Austral de Chile; Universidad Austral de Chile</t>
  </si>
  <si>
    <t>Vargas-Chacoff, L (corresponding author), Univ Austral Chile, Inst Ciencias Marinas &amp; Limnol, Valdivia, Chile.</t>
  </si>
  <si>
    <t>luis.vargas@uach.cl</t>
  </si>
  <si>
    <t>Oyarzún-Salazar, Ricardo/HGU-6035-2022</t>
  </si>
  <si>
    <t>Vargas-Chacoff, Luis/0000-0002-0497-2582; MARTINEZ GONZALEZ, DANIXA PAMELA/0000-0002-7363-419X; Oyarzun-Salazar, Ricardo/0000-0003-3177-399X</t>
  </si>
  <si>
    <t>Fondap-Ideal Grant [15150003]; Fondecyt Regular Grant [1160877]; VIDCA-UACH; INACH; Agencia Nacional de Investigacion y Desarrollo (ANID) [3200418]</t>
  </si>
  <si>
    <t>Fondap-Ideal Grant; Fondecyt Regular Grant(Comision Nacional de Investigacion Cientifica y Tecnologica (CONICYT)CONICYT FONDECYT); VIDCA-UACH; INACH; Agencia Nacional de Investigacion y Desarrollo (ANID)</t>
  </si>
  <si>
    <t>This investigation was financed by Fondap-Ideal Grant no. 15150003 and Fondecyt Regular Grant no. 1160877, VIDCA-UACH and INACH. D. Martinez was funded by the Agencia Nacional de Investigacion y Desarrollo (ANID) through a national Postdoctoral scholarship No 3200418.</t>
  </si>
  <si>
    <t>0306-4565</t>
  </si>
  <si>
    <t>1879-0992</t>
  </si>
  <si>
    <t>J THERM BIOL</t>
  </si>
  <si>
    <t>J. Therm. Biol.</t>
  </si>
  <si>
    <t>10.1016/j.jtherbio.2021.102835</t>
  </si>
  <si>
    <t>Biology; Zoology</t>
  </si>
  <si>
    <t>Life Sciences &amp; Biomedicine - Other Topics; Zoology</t>
  </si>
  <si>
    <t>RO2XH</t>
  </si>
  <si>
    <t>WOS:000640910400005</t>
  </si>
  <si>
    <t>Bahlburg, D; Meyer, B; Berger, U</t>
  </si>
  <si>
    <t>Bahlburg, Dominik; Meyer, Bettina; Berger, Uta</t>
  </si>
  <si>
    <t>The impact of seasonal regulation of metabolism on the life history of Antarctic krill</t>
  </si>
  <si>
    <t>DEB theory; Euphausia superba; Metabolic regulation; Temperature; Photoperiod</t>
  </si>
  <si>
    <t>DYNAMIC ENERGY BUDGET; EUPHAUSIA-SUPERBA; SOUTHERN-OCEAN; GENERIC MODEL; ICE-ZONE; TEMPERATURE; GROWTH; SHRINKAGE; REGION; WINTER</t>
  </si>
  <si>
    <t>Antarctic krill up- and down-regulate their metabolism as a strategy to cope with the strong seasonal environmental fluctuations in the Southern Ocean. In this study, we investigate the impact of this light- and temperature dependent metabolic regulation on growth, reproduction and winter survival of krill. Therefore, we advance a bioenergetic growth model of krill by adding a data-derived scaling function of krill activity. With SERBIK (SEasonally Regulated BIoenergetic Krill growth model), we conduct a numerical experiment which tests the impact of such scaling on krill life history under two different winter food conditions: In the first scenario, we simulate life history of krill when winter food availability is low; in the second scenario, winter food availability is increased within realistic ranges. The results demonstrate that the scaling of metabolism is especially important during low food winters. Reducing metabolism during winter permits individuals to grow to larger body length, reproduce successfully and release a greater number of eggs. It further significantly reduces within-year size fluctuations caused by starvation during months with low food availability. Finally, SERBIK can be used in future spatial modelling studies which include movement of krill along latitudinal gradients and thus spatiotemporal gradients in light- and temperature.</t>
  </si>
  <si>
    <t>[Bahlburg, Dominik; Berger, Uta] Tech Univ Dresden, Forest Biometr &amp; Forest Syst Anal, Pienner Str 8, D-01737 Tharandt, Germany; [Bahlburg, Dominik] Helmholtz Ctr Environm Res Leipzig Halle, Dept Ecol Modelling, Permoserstr 15, D-04318 Leipzig, Germany; [Meyer, Bettina] Alfred Wegener Inst, Helmholtz Ctr Polar &amp; Marine Res, Sect Polar Biol Oceanog, Handelshafen 12, D-27570 Bremerhaven, Germany; [Meyer, Bettina] Carl von Ossietzky Univ Oldenburg, Inst Chem &amp; Biol Marine Environm ICBM, Carl von Ossietzky Str 9-11, D-26111 Oldenburg, Germany; [Meyer, Bettina] Helmholtz Inst Marine Funct Biodivers HIFMB, Ammerlander Heerstr 231, D-26111 Oldenburg, Germany</t>
  </si>
  <si>
    <t>Technische Universitat Dresden; Helmholtz Association; Helmholtz Center for Environmental Research (UFZ); Helmholtz Association; Alfred Wegener Institute, Helmholtz Centre for Polar &amp; Marine Research; Carl von Ossietzky Universitat Oldenburg</t>
  </si>
  <si>
    <t>Bahlburg, D (corresponding author), Tech Univ Dresden, Forest Biometr &amp; Forest Syst Anal, Pienner Str 8, D-01737 Tharandt, Germany.;Bahlburg, D (corresponding author), Helmholtz Ctr Environm Res Leipzig Halle, Dept Ecol Modelling, Permoserstr 15, D-04318 Leipzig, Germany.</t>
  </si>
  <si>
    <t>dominik.bahlburg@tu-dresden.de</t>
  </si>
  <si>
    <t>Bahlburg, Dominik/0000-0003-0210-0649; Meyer, Bettina/0000-0001-6804-9896</t>
  </si>
  <si>
    <t>German Research Foundation (DFG) [411096565]</t>
  </si>
  <si>
    <t>German Research Foundation (DFG)(German Research Foundation (DFG))</t>
  </si>
  <si>
    <t>We thank Dr. Sally Thorpe (British Antarctic Survey) and Dr. Eugene Murphy (British Antarctic Survey) for valuable discussions and comments on the manuscript. We also thank the Long Term Ecological Research Network for the open access to environmental data from Palmer Station. This work was supported by the German Research Foundation (DFG, grant number 411096565). The model code is available under https://github.com/dbahlburg/SERBIK</t>
  </si>
  <si>
    <t>FEB 15</t>
  </si>
  <si>
    <t>10.1016/j.ecolmodel.2021.109427</t>
  </si>
  <si>
    <t>RJ6XE</t>
  </si>
  <si>
    <t>WOS:000637743200001</t>
  </si>
  <si>
    <t>Ramos-Madrigal, J; Sinding, MHS; Caroe, C; Mak, SST; Niemann, J; Castruita, JAS; Fedorov, S; Kandyba, A; Germonpré, M; Bocherens, H; Feuerborn, TR; Pitulko, VV; Pavlova, EY; Nikolskiy, PA; Kasparov, AK; Ivanova, VV; Larson, G; Frantz, LAF; Willerslev, E; Meldgaard, M; Petersen, B; Sicheritz-Ponten, T; Bachmann, L; Wiig, O; Hansen, AJ; Gilbert, MTP; Gopalakrishnan, S</t>
  </si>
  <si>
    <t>Ramos-Madrigal, Jazmin; Sinding, Mikkel-Holger S.; Caroe, Christian; Mak, Sarah S. T.; Niemann, Jonas; Castruita, Jose A. Samaniego; Fedorov, Sergey; Kandyba, Alexander; Germonpre, Mietje; Bocherens, Herve; Feuerborn, Tatiana R.; Pitulko, Vladimir V.; Pavlova, Elena Y.; Nikolskiy, Pavel A.; Kasparov, Aleksei K.; Ivanova, Varvara V.; Larson, Greger; Frantz, Laurent A. F.; Willerslev, Eske; Meldgaard, Morten; Petersen, Bent; Sicheritz-Ponten, Thomas; Bachmann, Lutz; Wiig, Oystein; Hansen, Anders J.; Gilbert, M. Thomas P.; Gopalakrishnan, Shyam</t>
  </si>
  <si>
    <t>Genomes of Pleistocene Siberian Wolves Uncover Multiple Extinct Wolf Lineages</t>
  </si>
  <si>
    <t>CURRENT BIOLOGY</t>
  </si>
  <si>
    <t>ANCIENT DNA; R PACKAGE; ADMIXTURE; SEQUENCE; HISTORY; DOGS; ALIGNMENT; PATTERNS; REVEALS; ORIGIN</t>
  </si>
  <si>
    <t>Extant Canis lupus genetic diversity can be grouped into three phylogenetically distinct clades: Eurasian and American wolves and domestic dogs.(1) Genetic studies have suggested these groups trace their origins to a wolf population that expanded during the last glacial maximum (LGM)(1-)(3) and replaced local wolf populations.(4 )Moreover, ancient genomes from the Yana basin and the Taimyr peninsula provided evidence of at least one extinct wolf lineage that dwelled in Siberia during the Pleistocene.(3,5) Previous studies have suggested that Pleistocene Siberian canids can be classified into two groups based on cranial morphology. Wolves in the first group are most similar to present-day populations, although those in the second group possess intermediate features between dogs and wolves.(6,)(7 )However, whether this morphological classification represents distinct genetic groups remains unknown. To investigate this question and the relationships between Pleistocene canids, present-day wolves, and dogs, we resequenced the genomes of four Pleistocene canids from Northeast Siberia dated between &gt;50 and 14 ka old, including samples from the two morphological categories. We found these specimens cluster with the two previously sequenced Pleistocene wolves, which are genetically more similar to Eurasian wolves. Our results show that, though the four specimens represent extinct wolf lineages, they do not form a monophyletic group. Instead, each Pleistocene Siberian canid branched off the lineage that gave rise to present-day wolves and dogs. Finally, our results suggest the two previously described morphological groups could represent independent lineages similarly related to present-day wolves and dogs.</t>
  </si>
  <si>
    <t>[Ramos-Madrigal, Jazmin; Sinding, Mikkel-Holger S.; Caroe, Christian; Mak, Sarah S. T.; Niemann, Jonas; Castruita, Jose A. Samaniego; Petersen, Bent; Sicheritz-Ponten, Thomas; Gilbert, M. Thomas P.; Gopalakrishnan, Shyam] Univ Copenhagen, GLOBE Inst, Sect Evolutionary Genom, Copenhagen, Denmark; [Ramos-Madrigal, Jazmin; Mak, Sarah S. T.; Feuerborn, Tatiana R.; Hansen, Anders J.; Gilbert, M. Thomas P.; Gopalakrishnan, Shyam] Univ Copenhagen, GLOBE Inst, Ctr Evolutionary Hologen, Copenhagen, Denmark; [Sinding, Mikkel-Holger S.; Bachmann, Lutz; Wiig, Oystein] Univ Oslo, Nat Hist Museum, Oslo, Norway; [Sinding, Mikkel-Holger S.; Feuerborn, Tatiana R.; Meldgaard, Morten; Hansen, Anders J.] Univ Greenland, Qimmeq Project, Nuussuaq, Greenland; [Sinding, Mikkel-Holger S.] Greenland Inst Nat Resources, Nuuk, Greenland; [Sinding, Mikkel-Holger S.] Trinity Coll Dublin, Smurfit Inst Genet, Dublin, Ireland; [Fedorov, Sergey] Mammoth Museum North Eastern Fed Univ, Yakutsk, Russia; [Kandyba, Alexander] Russian Acad Sci, Dept Stone Age Archeol, Inst Archaeol &amp; Ethnog, Siberian Branch, Novosibirsk, Russia; [Germonpre, Mietje] Royal Belgian Inst Nat Sci, Directorate Earth &amp; Hist Life, Brussels, Belgium; [Bocherens, Herve] Univ Tubingen, Dept Geosci, Biogeol, Tubingen, Germany; [Bocherens, Herve] Senckenberg Ctr Human Evolut &amp; Palaeoenvironm, Tubingen, Germany; [Feuerborn, Tatiana R.; Willerslev, Eske; Meldgaard, Morten; Hansen, Anders J.] Univ Copenhagen, GLOBE Inst, Sect GeoGenet, Copenhagen, Denmark; [Pitulko, Vladimir V.; Kasparov, Aleksei K.] Russian Acad Sci, Inst Hist Mat Culture, St Petersburg, Russia; [Pavlova, Elena Y.] Arctic &amp; Antarctic Res Inst, St Petersburg, Russia; [Nikolskiy, Pavel A.] Russian Acad Sci, Geol Inst, Moscow, Russia; [Ivanova, Varvara V.] VNIIOkeangeol Res Inst, All Russian Res Inst Geol &amp; Mineral Resources Wor, St Petersburg, Russia; [Larson, Greger] Univ Oxford, Res Lab Archaeol &amp; Hist Art, Palaeogen &amp; Bioarchaeol Res Network, Oxford, England; [Frantz, Laurent A. F.] Queen Mary Univ London, Sch Biol &amp; Chem Sci, London, England; [Willerslev, Eske] Univ Southern Denmark, Danish Inst Adv Study D IAS, Odense, Denmark; [Willerslev, Eske] Univ Cambridge, Dept Zool, Cambridge, England; [Willerslev, Eske] Univ Cambridge, Wellcome Trust Sanger Inst, Cambridge, England; [Petersen, Bent; Sicheritz-Ponten, Thomas] AIMST Univ, Fac Appl Sci, Ctr Excellence Omics Driven Computat Biodiscovery, Bedong, Kedah, Malaysia; [Gilbert, M. Thomas P.] Univ Museum, Norwegian Univ Sci &amp; Technol, Trondheim, Norway; [Gopalakrishnan, Shyam] Tech Univ Denmark, Dept Hlth Technol, Bioinformat, Lyngby, Denmark; [Frantz, Laurent A. F.] Ludwig Maximilians Univ Munchen, Dept Vet Sci, Palaeogen Grp, Munich, Germany</t>
  </si>
  <si>
    <t>University of Copenhagen; University of Copenhagen; University of Oslo; Greenland Institute of Natural Resources; Trinity College Dublin; Russian Academy of Sciences; Institute of Archaeology &amp; Ethnography, Siberian Branch of Russian Academy of Sciences; Royal Belgian Institute of Natural Sciences; Eberhard Karls University of Tubingen; Senckenberg Gesellschaft fur Naturforschung (SGN); University of Copenhagen; Russian Academy of Sciences; St. Petersburg Scientific Centre of the Russian Academy of Sciences; Institute for the History of Material Culture, Russian Academy of Sciences; Arctic &amp; Antarctic Research Institute; Russian Academy of Sciences; Geological Institute, Russian Academy of Sciences; A.P. Karpinsky Russian Geological Research Institute (VSEGEI); University of Oxford; University of London; Queen Mary University London; University of Southern Denmark; University of Cambridge; University of Cambridge; Wellcome Trust Sanger Institute; AIMST University; Norwegian University of Science &amp; Technology (NTNU); Technical University of Denmark; University of Munich</t>
  </si>
  <si>
    <t>Gopalakrishnan, S (corresponding author), Univ Copenhagen, GLOBE Inst, Sect Evolutionary Genom, Copenhagen, Denmark.;Gopalakrishnan, S (corresponding author), Univ Copenhagen, GLOBE Inst, Ctr Evolutionary Hologen, Copenhagen, Denmark.;Gopalakrishnan, S (corresponding author), Tech Univ Denmark, Dept Hlth Technol, Bioinformat, Lyngby, Denmark.</t>
  </si>
  <si>
    <t>shyam.gopalakrishnan@sund.ku.dk</t>
  </si>
  <si>
    <t>Willerslev, Eske/A-9619-2011; Nikolskiy, Pavel/JNT-4697-2023; Fedorov, Sergey/M-7327-2019; BOCHERENS, Hervé/F-3580-2011; Gilbert, Thomas/JSK-2650-2023; Pitulko, Vladimir/N-4009-2019; Nikolskiy, Pavel A/C-5041-2012; Germonpré, Mietje/O-5952-2014; Willerslev, Eske/AAA-5686-2019; Hansen, Anders Johannes/A-5608-2013; Kandyba, Alexander Victorovich/Q-4000-2016; Ramos-Madrigal, Jazmin/C-1576-2015; Strander Sinding, Mikkel Holger/B-9450-2015; Sicheritz-Ponten, Thomas/A-4325-2017; Gilbert, Marcus/A-8936-2013; Mak, Sarah S.T./G-2833-2015</t>
  </si>
  <si>
    <t>Willerslev, Eske/0000-0002-7081-6748; BOCHERENS, Hervé/0000-0002-0494-0126; Germonpré, Mietje/0000-0001-8865-0937; Hansen, Anders Johannes/0000-0002-1890-2702; Kandyba, Alexander Victorovich/0000-0003-0985-9121; Ramos-Madrigal, Jazmin/0000-0002-1661-7991; Strander Sinding, Mikkel Holger/0000-0003-1371-219X; Sicheritz-Ponten, Thomas/0000-0001-6615-1141; Gilbert, Marcus/0000-0002-5805-7195; Pavlova, Elena/0000-0002-3010-6290; Petersen, Bent/0000-0002-2472-8317; Mak, Sarah S.T./0000-0003-1119-0519; Feuerborn, Tatiana/0000-0003-1610-3402; Gopalakrishnan, Shyam/0000-0002-2004-6810</t>
  </si>
  <si>
    <t>ERC [681396]; Velux Foundations through the Qimmeq Project; Aage og Johanne Louis-Hansens Fond; Independent Research Fund Denmark [8028-00005B]; Carlsberg Foundation Semper Ardens Archives [CF18-1110]; Government Research Programme [0184-2019-0002, 3.2-NITR-ROSGIFROMET, 01842019-0009, 049-00018-20-00, 0135-2019-0060]; Russian Science Foundation [16-18-10265P-2019]; European Union's EU Framework Programme for Research and Innovation Horizon 2020 under Marie Curie Actions grant [676154]; Marie Sklodowska-Curie Actions [H2020 655732]; Carlsberg grant [CF14 -0995]; Natural Environment Research Council [NE/S007067/1, NE/S00078X/1]; Wellcome Trust [UNS53502]; NERC [NE/K005243/2, NE/S00078X/1, NE/S007067/1] Funding Source: UKRI</t>
  </si>
  <si>
    <t>ERC(European Research Council (ERC)); Velux Foundations through the Qimmeq Project; Aage og Johanne Louis-Hansens Fond; Independent Research Fund Denmark(Det Frie Forskningsrad (DFF)); Carlsberg Foundation Semper Ardens Archives(Carlsberg Foundation); Government Research Programme; Russian Science Foundation(Russian Science Foundation (RSF)); European Union's EU Framework Programme for Research and Innovation Horizon 2020 under Marie Curie Actions grant(Marie Curie Actions); Marie Sklodowska-Curie Actions(Marie Curie Actions); Carlsberg grant; Natural Environment Research Council(UK Research &amp; Innovation (UKRI)Natural Environment Research Council (NERC)); Wellcome Trust(Wellcome Trust); NERC(UK Research &amp; Innovation (UKRI)Natural Environment Research Council (NERC))</t>
  </si>
  <si>
    <t>We thank Jennifer A. Leonard and Bridgett vonHoldt for their input and comments during the conceptualization of this study, the Danish National HighThroughput Sequencing Centre and BGI-Europe for assistance in generating sequencing data, and the Danish National Supercomputer for Life Sciences (Computerome2.0) for computational resources. This project is funded through the ERC Consolidator Award 681396-Extinction Genomics awarded to M.T.P.G. M.-H.S.S. was supported by The Velux Foundations through the Qimmeq Project, the Aage og Johanne Louis-Hansens Fond, and the Independent Research Fund Denmark (8028-00005B). C.C. was supported by the Carlsberg Foundation Semper Ardens Archives (CF18-1110). V.V.P., E.Y.P., A.K.K., V.V.I., and P.A.N. are funded through the Government Research Programme (project nos. 0184-2019-0002, 3.2-NITR-ROSGIFROMET, 01842019-0009, 049-00018-20-00, and 0135-2019-0060). V.V.P., E.Y.P., A.K.K., V.V.I., and P.A.N. thank the Russian Science Foundation for support (project no. 16-18-10265P-2019). T.R.F. and J.N. were supported by the European Union's EU Framework Programme for Research and Innovation Horizon 2020 under Marie Curie Actions grant agreement no. 676154 (ArchSci2020). S.G. was supported by the Marie Sklodowska-Curie Actions (H2020 655732 -WhereWolf) and Carlsberg grant CF14 -0995. L.A.F.F was supported by the Natural Environment Research Council grant NE/S007067/1 and NE/S00078X/1 and Wellcome Trust grant UNS53502.</t>
  </si>
  <si>
    <t>0960-9822</t>
  </si>
  <si>
    <t>1879-0445</t>
  </si>
  <si>
    <t>CURR BIOL</t>
  </si>
  <si>
    <t>Curr. Biol.</t>
  </si>
  <si>
    <t>JAN 11</t>
  </si>
  <si>
    <t>10.1016/j.cub.2020.10.002</t>
  </si>
  <si>
    <t>Biochemistry &amp; Molecular Biology; Biology; Cell Biology</t>
  </si>
  <si>
    <t>Biochemistry &amp; Molecular Biology; Life Sciences &amp; Biomedicine - Other Topics; Cell Biology</t>
  </si>
  <si>
    <t>QB8BB</t>
  </si>
  <si>
    <t>WOS:000614361000035</t>
  </si>
  <si>
    <t>Kageyama, M; Sime, LC; Sicard, M; Guarino, MV; de Vernal, A; Stein, R; Schroeder, D; Malmierca-Vallet, I; Abe-Ouchi, A; Bitz, C; Braconnot, P; Brady, EC; Cao, J; Chamberlain, MA; Feltham, D; Guo, CC; LeGrande, AN; Lohmann, G; Meissner, KJ; Menviel, L; Morozova, P; Nisancioglu, KH; Otto-Bliesner, BL; O'ishi, R; Buarque, SR; Melia, DSY; Sherriff-Tadano, S; Stroeve, J; Shi, XX; Sun, B; Tomas, RA; Volodin, E; Yeung, NKH; Zhang, Q; Zhang, ZS; Zheng, WP; Ziehn, T</t>
  </si>
  <si>
    <t>Kageyama, Masa; Sime, Louise C.; Sicard, Marie; Guarino, Maria-Vittoria; de Vernal, Anne; Stein, Ruediger; Schroeder, David; Malmierca-Vallet, Irene; Abe-Ouchi, Ayako; Bitz, Cecilia; Braconnot, Pascale; Brady, Esther C.; Cao, Jian; Chamberlain, Matthew A.; Feltham, Danny; Guo, Chuncheng; LeGrande, Allegra N.; Lohmann, Gerrit; Meissner, Katrin J.; Menviel, Laurie; Morozova, Polina; Nisancioglu, Kerim H.; Otto-Bliesner, Bette L.; O'ishi, Ryouta; Buarque, Silvana Ramos; Melia, David Salas y; Sherriff-Tadano, Sam; Stroeve, Julienne; Shi, Xiaoxu; Sun, Bo; Tomas, Robert A.; Volodin, Evgeny; Yeung, Nicholas K. H.; Zhang, Qiong; Zhang, Zhongshi; Zheng, Weipeng; Ziehn, Tilo</t>
  </si>
  <si>
    <t>A multi-model CMIP6-PMIP4 study of Arctic sea ice at 127 ka: sea ice data compilation and model differences</t>
  </si>
  <si>
    <t>EARTH SYSTEM MODEL; DINOFLAGELLATE CYST EVIDENCE; SURFACE-WATER CONDITIONS; EXPERIMENTAL-DESIGN; PMIP4 CONTRIBUTION; NORTH-ATLANTIC; CLIMATE; OCEAN; SIMULATIONS; VARIABILITY</t>
  </si>
  <si>
    <t>The Last Interglacial period (LIG) is a period with increased summer insolation at high northern latitudes, which results in strong changes in the terrestrial and marine cryosphere. Understanding the mechanisms for this response via climate modelling and comparing the models' representation of climate reconstructions is one of the objectives set up by the Paleoclimate Modelling Intercomparison Project for its contribution to the sixth phase of the Coupled Model Intercomparison Project. Here we analyse the results from 16 climate models in terms of Arctic sea ice. The multi-model mean reduction in minimum sea ice area from the pre industrial period (PI) to the LIG reaches 50 % (multi-model mean LIG area is 3.20 x 10(6) km(2), compared to 6.46 x 10(6) km(2) for the PI). On the other hand, there is little change for the maximum sea ice area (which is 15-16 x 10(6) km(2) for both the PI and the LIG. To evaluate the model results we synthesise LIG sea ice data from marine cores collected in the Arctic Ocean, Nordic Seas and northern North Atlantic. The reconstructions for the northern North Atlantic show year-round ice-free conditions, and most models yield results in agreement with these reconstructions. Model-data disagreement appear for the sites in the Nordic Seas close to Greenland and at the edge of the Arctic Ocean. The northernmost site with good chronology, for which a sea ice concentration larger than 75 % is reconstructed even in summer, discriminates those models which simulate too little sea ice. However, the remaining models appear to simulate too much sea ice over the two sites south of the northernmost one, for which the reconstructed sea ice cover is seasonal. Hence models either underestimate or overestimate sea ice cover for the LIG, and their bias does not appear to be related to their bias for the pre-industrial period. Drivers for the inter-model differences are different phasing of the up and down short-wave anomalies over the Arctic Ocean, which are associated with differences in model albedo; possible cloud property differences, in terms of optical depth; and LIG ocean circulation changes which occur for some, but not all, LIG simulations. Finally, we note that inter-comparisons between the LIG simulations and simulations for future climate with moderate (1 % yr(-1)) CO2 increase show a relationship between LIG sea ice and sea ice simulated under CO2 increase around the years of doubling CO2. The LIG may therefore yield insight into likely 21st century Arctic sea ice changes using these LIG simulations.</t>
  </si>
  <si>
    <t>[Kageyama, Masa; Sicard, Marie; Braconnot, Pascale] Univ Paris Saclay, Inst Pierre Simon Laplace, Lab Sci Climat &amp; Environm, F-91191 Gif Sur Yvette, France; [Sime, Louise C.; Guarino, Maria-Vittoria; Malmierca-Vallet, Irene] British Antarctic Survey, Cambridge, England; [de Vernal, Anne] Univ Quebec Montreal, Dept Sci Terre &amp; Atmosphere, Montreal, PQ, Canada; [de Vernal, Anne] Univ Quebec Montreal, Geotop, Montreal, PQ, Canada; [Stein, Ruediger; Lohmann, Gerrit; Shi, Xiaoxu] Helmholtz Ctr Polar &amp; Marine Res, Alfred Wegener Inst, Bremerhaven, Germany; [Stein, Ruediger] Univ Bremen, MARUM Ctr Marine Environm Sci, Bremen, Germany; [Stein, Ruediger] Univ Bremen, Fac Geosci, Bremen, Germany; [Schroeder, David; Feltham, Danny] Univ Reading, Ctr Polar Observat &amp; Modelling, Dept Meteorol, Reading, Berks, England; [Abe-Ouchi, Ayako; O'ishi, Ryouta; Sherriff-Tadano, Sam] Univ Tokyo, Atmosphere &amp; Ocean Res Inst, Tokyo, Japan; [Bitz, Cecilia] Univ Washington, Dept Atmospher Sci, Seattle, WA 98195 USA; [Brady, Esther C.; Otto-Bliesner, Bette L.; Tomas, Robert A.] Natl Ctr Atmospher Res, Climate &amp; Global Dynam Lab, POB 3000, Boulder, CO 80307 USA; [Cao, Jian; Sun, Bo] Nanjing Univ Informat Sci &amp; Technol, Earth Syst Modeling Ctr, Nanjing 210044, Peoples R China; [Chamberlain, Matthew A.] CSIRO Oceans &amp; Atmosphere, Hobart, Tas, Australia; [Guo, Chuncheng; Zhang, Zhongshi] NORCE Norwegian Res Ctr, Bjerknes Ctr Climate Res, Bergen, Norway; [LeGrande, Allegra N.] NASA, Goddard Inst Space Studies, 2880 Broadway, New York, NY 10025 USA; [Meissner, Katrin J.; Menviel, Laurie; Yeung, Nicholas K. H.] Univ New South Wales, Climate Change Res Ctr, ARC Ctr Excellence Climate Extremes, Sydney, NSW, Australia; [Morozova, Polina] Russian Acad Sci, Inst Geog, Staromonetny L 29, Moscow 119017, Russia; [Nisancioglu, Kerim H.] Univ Bergen, Bjerknes Ctr Climate Res, Dept Earth Sci, Allegaten 41, Bergen, Norway; [Nisancioglu, Kerim H.] Univ Oslo, Ctr Earth Evolut &amp; Dynam, Oslo, Norway; [Buarque, Silvana Ramos; Melia, David Salas y] Univ Toulouse, Meteo France, CNRS, Ctr Natl Rech Meteorol, Toulouse, France; [Stroeve, Julienne] Univ Manitoba, Ctr Earth Observat Sci, 535 Wallace Bldg, Winnipeg, MB R3T 2N2, Canada; [Stroeve, Julienne] UCL, CPOM, London WC1E 6BT, England; [Volodin, Evgeny] Russian Acad Sci, Marchuk Inst Numer Math, Ul Gubkina8, Moscow 119333, Russia; [Zhang, Qiong] Stockholm Univ, Dept Phys Geog, Stockholm, Sweden; [Zhang, Zhongshi] China Univ Geosci Wuhan, Sch Environm Studies, Dept Atmospher Sci, Wuhan, Peoples R China; [Zheng, Weipeng] Chinese Acad Sci, Inst Atmospher Phys, LASG, Beijing 100029, Peoples R China; [Ziehn, Tilo] CSIRO Oceans &amp; Atmosphere, Aspendale, Vic, Australia</t>
  </si>
  <si>
    <t>Universite Paris Cite; CEA; Centre National de la Recherche Scientifique (CNRS); Universite Paris Saclay; UK Research &amp; Innovation (UKRI); Natural Environment Research Council (NERC); NERC British Antarctic Survey; University of Quebec; University of Quebec Montreal; University of Quebec; University of Quebec Montreal; Helmholtz Association; Alfred Wegener Institute, Helmholtz Centre for Polar &amp; Marine Research; University of Bremen; University of Bremen; University of Reading; University of Tokyo; University of Washington; University of Washington Seattle; National Center Atmospheric Research (NCAR) - USA; Nanjing University of Information Science &amp; Technology; Commonwealth Scientific &amp; Industrial Research Organisation (CSIRO); Bjerknes Centre for Climate Research; Norwegian Research Centre (NORCE); National Aeronautics &amp; Space Administration (NASA); NASA Goddard Space Flight Center; Goddard Institute for Space Studies; University of New South Wales Sydney; Russian Academy of Sciences; Institute of Geography, Russian Academy of Sciences; University of Bergen; Bjerknes Centre for Climate Research; University of Oslo; Meteo France; Centre National de la Recherche Scientifique (CNRS); Universite de Toulouse; University of Manitoba; University of London; University College London; Russian Academy of Sciences; Stockholm University; China University of Geosciences; Chinese Academy of Sciences; Institute of Atmospheric Physics, CAS; Commonwealth Scientific &amp; Industrial Research Organisation (CSIRO)</t>
  </si>
  <si>
    <t>Kageyama, M (corresponding author), Univ Paris Saclay, Inst Pierre Simon Laplace, Lab Sci Climat &amp; Environm, F-91191 Gif Sur Yvette, France.</t>
  </si>
  <si>
    <t>masa.kageyama@lsce.ipsl.fr</t>
  </si>
  <si>
    <t>de Vernal, Anne/D-5602-2013; zhang, zhi/HPH-4905-2023; Ziehn, Tilo/A-3094-2012; wang, zhe/JNE-3510-2023; KAGEYAMA, Masa/F-2389-2010; Chamberlain, Matthew/D-4805-2012; Morozova, Polina A./A-3471-2014; IPO, PAGES/JXY-7546-2024; Zhang, zs/GXN-3521-2022; Bitz, Cecilia M/S-8423-2016; Abe-Ouchi, Ayako A/M-6359-2013; Zhang, Qiong/J-7334-2019; Nisancioglu, Kerim/AAW-9315-2021; Sime, Louise/AAX-7730-2021; LeGrande, Allegra N./D-8920-2012</t>
  </si>
  <si>
    <t>Ziehn, Tilo/0000-0001-9873-9775; Abe-Ouchi, Ayako A/0000-0003-1745-5952; Nisancioglu, Kerim/0000-0002-5737-5765; Sime, Louise/0000-0002-9093-7926; Guarino, Maria Vittoria/0000-0002-7531-4560; O'ishi, Ryouta/0000-0002-1001-9309; Malmierca Vallet, Irene/0000-0002-2871-9741; LeGrande, Allegra N./0000-0002-5295-0062; Meissner, Katrin/0000-0002-0716-7415; Chamberlain, Matthew/0000-0002-3287-3282; Schroeder, David/0000-0003-2351-4306; Sicard, Marie/0000-0002-6180-2264; Stein, Ruediger/0000-0002-4453-9564; Bitz, Cecilia/0000-0002-9477-7499; Feltham, Daniel/0000-0003-2289-014X</t>
  </si>
  <si>
    <t>PAlaeo-Constraints on Monsoon Evolution and Dynamics (PACMEDY) Belmont Forum project [01LP1607A]; German Federal Ministry of Education and Science (BMBF) PalMod II WP 3.3 [01LP1924B]; NERC [NE/P013279/1, NE/P009271/1]; European Union's Horizon 2020 research and innovation programme [820970]; Convention des Services Climatiques from IPSL, Russian state [0148-2019-0009]; RSF [20-17-00190]; NSF [1852977]; Australian Research Council [FT180100606, DP180100048]; Arctic Challenge for Sustainability (ArCS) Project [JPMXD1300000000]; Arctic Challenge for Sustainability II (ArCS II) Project [JPMXD1420318865]; JSPS KAKENHI [17H06104]; MEXT KAKENHI [17H06323]; Natural Sciences and Engineering Research Council of Canada; Fonds de recherche du Quebec - Nature et technologies; NERC [bas0100034, cpom30001, NE/T009470/1, NE/P013279/1, NE/P009271/1] Funding Source: UKRI; Russian Science Foundation [20-17-00190] Funding Source: Russian Science Foundation</t>
  </si>
  <si>
    <t>PAlaeo-Constraints on Monsoon Evolution and Dynamics (PACMEDY) Belmont Forum project; German Federal Ministry of Education and Science (BMBF) PalMod II WP 3.3(Federal Ministry of Education &amp; Research (BMBF)); NERC(UK Research &amp; Innovation (UKRI)Natural Environment Research Council (NERC)); European Union's Horizon 2020 research and innovation programme(Horizon 2020); Convention des Services Climatiques from IPSL, Russian state; RSF(Russian Science Foundation (RSF)); NSF(National Science Foundation (NSF)); Australian Research Council(Australian Research Council); Arctic Challenge for Sustainability (ArCS) Project; Arctic Challenge for Sustainability II (ArCS II) Project; JSPS KAKENHI(Ministry of Education, Culture, Sports, Science and Technology, Japan (MEXT)Japan Society for the Promotion of ScienceGrants-in-Aid for Scientific Research (KAKENHI)); MEXT KAKENHI(Ministry of Education, Culture, Sports, Science and Technology, Japan (MEXT)Japan Society for the Promotion of ScienceGrants-in-Aid for Scientific Research (KAKENHI)); Natural Sciences and Engineering Research Council of Canada(Natural Sciences and Engineering Research Council of Canada (NSERC)CGIAR); Fonds de recherche du Quebec - Nature et technologies(Fonds de recherche du Quebec (FRQ)Fonds de recherche du Quebec - Nature et technologies (FRQNT)); NERC(UK Research &amp; Innovation (UKRI)Natural Environment Research Council (NERC)); Russian Science Foundation(Russian Science Foundation (RSF))</t>
  </si>
  <si>
    <t>This research has been supported by the PAlaeo-Constraints on Monsoon Evolution and Dynamics (PACMEDY) Belmont Forum project (grand no. 01LP1607A), German Federal Ministry of Education and Science (BMBF) PalMod II WP 3.3 (grant no. 01LP1924B), NERC (projects NE/P013279/1 and NE/P009271/1), European Union's Horizon 2020 research and innovation programme (grant agreement no. 820970), Convention des Services Climatiques from IPSL, Russian state (assignment project 0148-2019-0009), RSF (grant no. 20-17-00190), NSF (cooperative agreement no. 1852977), Australian Research Council (grant nos. FT180100606 and DP180100048), Arctic Challenge for Sustainability (ArCS) Project (grant no. JPMXD1300000000), Arctic Challenge for Sustainability II (ArCS II) Project (grant no. JPMXD1420318865), JSPS KAKENHI (grant no. 17H06104), MEXT KAKENHI (grant no. 17H06323), Natural Sciences and Engineering Research Council of Canada, and the Fonds de recherche du Quebec - Nature et technologies.</t>
  </si>
  <si>
    <t>10.5194/cp-17-37-2021</t>
  </si>
  <si>
    <t>PW3EV</t>
  </si>
  <si>
    <t>Green Accepted, Green Submitted, gold</t>
  </si>
  <si>
    <t>WOS:000610556900001</t>
  </si>
  <si>
    <t>Otto-Bliesner, BL; Brady, EC; Zhao, A; Brierley, CM; Axford, Y; Capron, E; Govin, A; Hoffman, JS; Isaacs, E; Kageyama, M; Scussolini, P; Tzedakis, PC; Williams, CJR; Wolff, E; Abe-Ouchi, A; Braconnot, P; Buarque, SR; Cao, J; de Vernal, A; Guarino, MV; Guo, CC; LeGrande, AN; Lohmann, G; Meissner, KJ; Menviel, L; Morozova, PA; Nisancioglu, KH; O'ishi, R; Mélia, DSY; Shi, XX; Sicard, M; Sime, L; Stepanek, C; Tomas, R; Volodin, E; Yeung, NKH; Zhang, Q; Zhang, ZS; Zheng, WP</t>
  </si>
  <si>
    <t>Otto-Bliesner, Bette L.; Brady, Esther C.; Zhao, Anni; Brierley, Chris M.; Axford, Yarrow; Capron, Emilie; Govin, Aline; Hoffman, Jeremy S.; Isaacs, Elizabeth; Kageyama, Masa; Scussolini, Paolo; Tzedakis, Polychronis C.; Williams, Charles J. R.; Wolff, Eric; Abe-Ouchi, Ayako; Braconnot, Pascale; Buarque, Silvana Ramos; Cao, Jian; de Vernal, Anne; Guarino, Maria Vittoria; Guo, Chuncheng; LeGrande, Allegra N.; Lohmann, Gerrit; Meissner, Katrin J.; Menviel, Laurie; Morozova, Polina A.; Nisancioglu, Kerim H.; O'ishi, Ryouta; Melia, David Salas y; Shi, Xiaoxu; Sicard, Marie; Sime, Louise; Stepanek, Christian; Tomas, Robert; Volodin, Evgeny; Yeung, Nicholas K. H.; Zhang, Qiong; Zhang, Zhongshi; Zheng, Weipeng</t>
  </si>
  <si>
    <t>Large-scale features of Last Interglacial climate: results from evaluating the lig127k simulations for the Coupled Model Intercomparison Project (CMIP6)-Paleoclimate Modeling Intercomparison Project (PMIP4)</t>
  </si>
  <si>
    <t>EARTH SYSTEM MODEL; AFRICAN MONSOON; ANTARCTIC ICE; POLAR AMPLIFICATION; CHRONOLOGY AICC2012; EXPERIMENTAL-DESIGN; SEA-ICE; MIDHOLOCENE; TEMPERATURE; SENSITIVITY</t>
  </si>
  <si>
    <t>The modeling of paleoclimate, using physically based tools, is increasingly seen as a strong out-of-sample test of the models that are used for the projection of future climate changes. New to the Coupled Model Intercomparison Project (CMIP6) is the Tier 1 Last Interglacial experiment for 127 000 years ago (lig127k), designed to address the climate responses to stronger orbital forcing than the mid-Holocene experiment, using the same state-of-the-art models as for the future and following a common experimental protocol. Here we present a first analysis of a multi-model ensemble of 17 climate models, all of which have completed the CMIP6 DECK (Diagnostic, Evaluation and Characterization of Klima) experiments. The equilibrium climate sensitivity (ECS) of these models varies from 1.8 to 5.6 degrees C. The seasonal character of the insolation anomalies results in strong summer warming over the Northern Hemisphere continents in the lig127k ensemble as compared to the CMIP6 piControl and much-reduced minimum sea ice in the Arctic. The multi-model results indicate enhanced summer monsoonal precipitation in the Northern Hemisphere and reductions in the Southern Hemisphere. These responses are greater in the lig127k than the CMIP6 midHolocene simulations as expected from the larger insolation anomalies at 127 than 6 ka. New synthesis for surface temperature and precipitation, targeted for 127 ka, have been developed for comparison to the multi-model ensemble. The lig127k model ensemble and data reconstructions are in good agreement for summer temperature anomalies over Canada, Scandinavia, and the North Atlantic and for precipitation over the Northern Hemisphere continents. The model-data comparisons and mismatches point to further study of the sensitivity of the simulations to uncertainties in the boundary conditions and of the uncertainties and sparse coverage in current proxy reconstructions. The CMIP6-Paleoclimate Modeling Intercomparison Project (PMIP4) lig127k simulations, in combination with the proxy record, improve our confidence in future projections of monsoons, surface temperature, and Arctic sea ice, thus providing a key target for model evaluation and optimization.</t>
  </si>
  <si>
    <t>[Otto-Bliesner, Bette L.; Brady, Esther C.; Tomas, Robert] Natl Ctr Atmospher Res, Climate &amp; Global Dynam Lab, Boulder, CO 80305 USA; [Zhao, Anni; Brierley, Chris M.; Isaacs, Elizabeth; Tzedakis, Polychronis C.] UCL, Environm Change Res Ctr, Dept Geog, London WC1E 6BT, England; [Axford, Yarrow] Northwestern Univ, Dept Earth &amp; Planetary Sci, Evanston, IL USA; [Capron, Emilie] Univ Copenhagen, Niels Bohr Inst, Phys Ice Climate &amp; Earth, DK-2200 Copenhagen, Denmark; [Govin, Aline; Kageyama, Masa; Braconnot, Pascale; Sicard, Marie] Univ Paris Saclay, Lab Sci Climat &amp; Environm CEA CNRS UVSQ, LSCE IPSL, F-91190 Gif Sur Yvette, France; [Hoffman, Jeremy S.] Sci Museum Virginia, Richmond, VA 23220 USA; [Hoffman, Jeremy S.] Virginia Commonwealth Univ, Ctr Environm Studies, Richmond, VA 23220 USA; [Scussolini, Paolo] Vrije Univ Amsterdam, Inst Environm Studies, Amsterdam, Netherlands; [Williams, Charles J. R.] Univ Bristol, Sch Geog Sci, Bristol, Avon, England; [Wolff, Eric] Univ Cambridge, Dept Earth Sci, Cambridge CB2 3EQ, England; [Abe-Ouchi, Ayako; O'ishi, Ryouta] Univ Tokyo, Atmosphere &amp; Ocean Res Inst, 5-1-5 Kashiwanoha, Kashiwa, Chiba 2778564, Japan; [Buarque, Silvana Ramos; Melia, David Salas y] Univ Toulouse, CNRM Ctr Natl Rech Meteorol, CNRS, Meteo France, F-31057 Toulouse, France; [Cao, Jian] Nanjing Univ Informat Sci &amp; Technol, Earth Syst Modeling Ctr, Nanjing 210044, Peoples R China; [de Vernal, Anne] Univ Quebec Montreal, Geotop, Montreal, PQ H3C 3P8, Canada; [de Vernal, Anne] Univ Quebec Montreal, Dept Sci Terre &amp; Atmosphere, Montreal, PQ H3C 3P8, Canada; [Guarino, Maria Vittoria; Sime, Louise] British Antarctic Survey, Madingley Rd, Cambridge CB3 0ET, England; [Guo, Chuncheng; Zhang, Zhongshi] NORCE Norwegian Res Ctr, Bjerknes Ctr Climate Res, N-5007 Bergen, Norway; [LeGrande, Allegra N.] Columbia Univ, NASA, Goddard Inst Space Studies, New York, NY USA; [LeGrande, Allegra N.] Columbia Univ, Ctr Climate Syst Res, New York, NY USA; [Lohmann, Gerrit; Shi, Xiaoxu; Stepanek, Christian] Helmholtz Ctr Polar &amp; Marine Res, Alfred Wegener Inst, Bussestr 24, D-27570 Bremerhaven, Germany; [Meissner, Katrin J.; Menviel, Laurie; Yeung, Nicholas K. H.] Univ New South Wales, Climate Change Res Ctr, ARC Ctr Excellence Climate Extremes, Sydney, NSW 2052, Australia; [Morozova, Polina A.] Russian Acad Sci, Inst Geog, Staromonetny L 29, Moscow 119017, Russia; [Nisancioglu, Kerim H.] Univ Bergen, Bjerknes Ctr Climate Res, Dept Earth Sci, Allegaten 41, N-5007 Bergen, Norway; [Nisancioglu, Kerim H.] Univ Oslo, Ctr Earth Evolut &amp; Dynam, Oslo, Norway; [Volodin, Evgeny] Russian Acad Sci, Marchuk Inst Numer Math, Moscow 119333, Russia; [Zhang, Qiong] Stockholm Univ, Dept Phys Geog, S-10691 Stockholm, Sweden; [Zhang, Qiong] Stockholm Univ, Bolin Ctr Climate Res, S-10691 Stockholm, Sweden; [Zhang, Zhongshi] China Univ Geosci, Sch Environm Studies, Dept Atmospher Sci, Wuhan 430074, Peoples R China; [Zheng, Weipeng] Chinese Acad Sci, Inst Atmospher Phys, LASG State Key Lab Numer Modeling Atmospher Sci &amp;, Beijing 100029, Peoples R China</t>
  </si>
  <si>
    <t>National Center Atmospheric Research (NCAR) - USA; University of London; University College London; Northwestern University; University of Copenhagen; Niels Bohr Institute; Universite Paris Cite; Universite Paris Saclay; CEA; Centre National de la Recherche Scientifique (CNRS); Virginia Commonwealth University; Vrije Universiteit Amsterdam; University of Bristol; University of Cambridge; University of Tokyo; Centre National de la Recherche Scientifique (CNRS); Nanjing University of Information Science &amp; Technology; University of Quebec; University of Quebec Montreal; University of Quebec; University of Quebec Montreal; UK Research &amp; Innovation (UKRI); Natural Environment Research Council (NERC); NERC British Antarctic Survey; Norwegian Research Centre (NORCE); Bjerknes Centre for Climate Research; Columbia University; National Aeronautics &amp; Space Administration (NASA); NASA Goddard Space Flight Center; Goddard Institute for Space Studies; Columbia University; Helmholtz Association; Alfred Wegener Institute, Helmholtz Centre for Polar &amp; Marine Research; University of New South Wales Sydney; Russian Academy of Sciences; Institute of Geography, Russian Academy of Sciences; Bjerknes Centre for Climate Research; University of Bergen; University of Oslo; Russian Academy of Sciences; Stockholm University; Stockholm University; China University of Geosciences; Chinese Academy of Sciences; Institute of Atmospheric Physics, CAS</t>
  </si>
  <si>
    <t>Otto-Bliesner, BL (corresponding author), Natl Ctr Atmospher Res, Climate &amp; Global Dynam Lab, Boulder, CO 80305 USA.</t>
  </si>
  <si>
    <t>ottobli@ucar.edu</t>
  </si>
  <si>
    <t>de Vernal, Anne/D-5602-2013; Zhang, Qiong/J-7334-2019; wang, zhe/JNE-3510-2023; Nisancioglu, Kerim/AAW-9315-2021; Abe-Ouchi, Ayako A/M-6359-2013; Tzedakis, Polychronis C/J-1894-2012; Capron, Emilie/ITU-2672-2023; Zhang, zs/GXN-3521-2022; Sime, Louise/AAX-7730-2021; KAGEYAMA, Masa/F-2389-2010; Scussolini, Paolo/ABB-5247-2021; zhang, zhi/HPH-4905-2023; Stepanek, Christian/ABA-9210-2021; Scussolini, Paolo/AAA-8133-2019; IPO, PAGES/JXY-7546-2024; Wolff, Eric W/D-7925-2014; LeGrande, Allegra N./D-8920-2012; Govin, Aline/E-6354-2013; Axford, Yarrow/N-4151-2014</t>
  </si>
  <si>
    <t>Nisancioglu, Kerim/0000-0002-5737-5765; Abe-Ouchi, Ayako A/0000-0003-1745-5952; Sime, Louise/0000-0002-9093-7926; Scussolini, Paolo/0000-0001-6208-2169; Scussolini, Paolo/0000-0001-6208-2169; Wolff, Eric W/0000-0002-5914-8531; LeGrande, Allegra N./0000-0002-5295-0062; Otto-Bliesner, Bette/0000-0003-1911-1598; Stepanek, Christian/0000-0002-3912-6271; Meissner, Katrin/0000-0002-0716-7415; O'ishi, Ryouta/0000-0002-1001-9309; Govin, Aline/0000-0001-8512-5571; Tzedakis, Polychronis/0000-0001-6072-1166; Axford, Yarrow/0000-0002-8033-358X; Zhao, Anni/0000-0001-5119-7454; Sicard, Marie/0000-0002-6180-2264</t>
  </si>
  <si>
    <t>National Center for Atmospheric Research (NCAR); National Science Foundation [1852977]; NERC [bas0100034, NE/G00756X/1, NE/S009736/1] Funding Source: UKRI</t>
  </si>
  <si>
    <t>National Center for Atmospheric Research (NCAR)(National Science Foundation (NSF)NSF - Directorate for Geosciences (GEO)); National Science Foundation(National Science Foundation (NSF)); NERC(UK Research &amp; Innovation (UKRI)Natural Environment Research Council (NERC))</t>
  </si>
  <si>
    <t>Funding of the publication has been supported by the National Center for Atmospheric Research (NCAR), which is a major facility sponsored by the National Science Foundation under cooperative agreement no. 1852977.</t>
  </si>
  <si>
    <t>10.5194/cp-17-63-2021</t>
  </si>
  <si>
    <t>Green Submitted, Green Accepted, Green Published, gold</t>
  </si>
  <si>
    <t>WOS:000610556900002</t>
  </si>
  <si>
    <t>Kim, J; Jang, SM; Choi, E; Jo, E; Lee, SJ; Kim, SH; Chi, YM; Kim, JH; Park, H</t>
  </si>
  <si>
    <t>Kim, Jinmu; Jang, Sung-Min; Choi, Eunkyung; Jo, Euna; Lee, Seung Jae; Kim, Sun Hee; Chi, Young Min; Kim, Jin-Hyoung; Park, Hyun</t>
  </si>
  <si>
    <t>The complete mitochondrial genome of Eaton's skate, Bathyraja eatonii (Rajiformes, Arhynchobatidae)</t>
  </si>
  <si>
    <t>MITOCHONDRIAL DNA PART B-RESOURCES</t>
  </si>
  <si>
    <t>PacBio; mitochondria genome; Bathyraja eatonii; long-read technology; Arhynchobatidae</t>
  </si>
  <si>
    <t>The complete mitochondrial genome of Eaton's skate Bathyraja eatonii was studied using the long-read technology, PacBio Sequel System. The complete mitochondrial genome form of B. eatonii was 16,698 bp and it's comprised of 13 protein-coding genes, 22 tRNA and 2 rRNA. The base composition of B. eatonii is analyzed 31.94% for A, 33.94% for T, 13.49% for G, 20.64% for C, the result of GC content was 33.94%. Phylogenetic analysis showed that B. eatonii was closely related to Bathyraja meridionalis in Arhynchobatidae family, and this first mitochondrial genome of Antarctic skate would provide fundamental information to the evolutional relationship of Antarctic fishes</t>
  </si>
  <si>
    <t>[Kim, Jinmu; Jang, Sung-Min; Choi, Eunkyung; Jo, Euna; Lee, Seung Jae; Chi, Young Min; Park, Hyun] Korea Univ, Coll Life Sci &amp; Biotechnol, Div Biotechnol, Seoul 02841, South Korea; [Jo, Euna; Kim, Jin-Hyoung] Korea Polar Res Inst KOPRI, Unit Res Pract Applicat, Incheon, South Korea; [Kim, Sun Hee] Greenwitch Co, Chungcheongbuk Do, South Korea</t>
  </si>
  <si>
    <t>Korea University; Korea Polar Research Institute (KOPRI)</t>
  </si>
  <si>
    <t>Park, H (corresponding author), Korea Univ, Coll Life Sci &amp; Biotechnol, Div Biotechnol, Seoul 02841, South Korea.</t>
  </si>
  <si>
    <t>hpark@korea.ac.kr</t>
  </si>
  <si>
    <t>Kim, Sun/GSN-4867-2022</t>
  </si>
  <si>
    <t>Park, Hyun/0000-0002-8055-2010; Lee, Seungjae/0000-0002-2404-3107; Jo, Euna/0000-0003-2666-6743</t>
  </si>
  <si>
    <t>[PE20040]</t>
  </si>
  <si>
    <t>Post-Polar Genomics Project: Functional genomic study for securing of polar useful genesThis research was supported by Post-Polar Genomics Project: Functional genomic study for securing of polar useful genes [PE20040].</t>
  </si>
  <si>
    <t>TAYLOR &amp; FRANCIS LTD</t>
  </si>
  <si>
    <t>ABINGDON</t>
  </si>
  <si>
    <t>2-4 PARK SQUARE, MILTON PARK, ABINGDON OR14 4RN, OXON, ENGLAND</t>
  </si>
  <si>
    <t>2380-2359</t>
  </si>
  <si>
    <t>MITOCHONDRIAL DNA B</t>
  </si>
  <si>
    <t>Mitochondrial DNA Part B-Resour.</t>
  </si>
  <si>
    <t>10.1080/23802359.2020.1847608</t>
  </si>
  <si>
    <t>Genetics &amp; Heredity</t>
  </si>
  <si>
    <t>PU7AS</t>
  </si>
  <si>
    <t>WOS:000609453000001</t>
  </si>
  <si>
    <t>Wang, F; Sheng, J; Chen, YX; Xu, JK</t>
  </si>
  <si>
    <t>Wang, Fang; Sheng, Jun; Chen, Yixuan; Xu, Jiakun</t>
  </si>
  <si>
    <t>Microbial diversity and dominant bacteria causing spoilage during storage and processing of the Antarctic krill, Euphausia superba</t>
  </si>
  <si>
    <t>Antarctic krill; Microbial diversity; Spoilage</t>
  </si>
  <si>
    <t>PHOSPHORYLATED PEPTIDES; PROTEINASES; PROTEASE; DANA</t>
  </si>
  <si>
    <t>The Antarctic region is known for its ecological conditions and the presence of some of the rarest microorganisms on earth. Antarctic krill rapidly degrades while at rest or during transport due to high-activity enzymes in its flesh or from microbes. In this study, we analyzed the microbial diversity of the Antarctic krill, Euphausia superba, and identified the dominant bacteria that cause spoilage during storage and transport using culture-independent high-throughput sequencing and microbial pure culture methods. Antarctic krill samples were incubated at temperatures of 0 degrees C, 4 degrees C, 16 degrees C, and 25 degrees C to determine the microbial diversity and abundance in decaying marine krill samples. Metagenome high-throughput sequencing indicated that, under incubation at 4 degrees C and 0 degrees C for 24 h, the microbial diversity of the Antarctic krill samples was high, with high species richness of microbes adapted to the low-temperature environment, as indicated by the overwhelming dominance of Enterococcus and Bacillus. On the other hand, Psychrobacter became the dominant bacteria at storage temperatures of 16 degrees C and 25 degrees C. Quantitative PCR results demonstrated that the microbial copy number increased as the temperature increased from 0 to 25 degrees C, and the quantity of bacteria was much greater than that of fungi under the same storage conditions. Microbial pure culture methods demonstrated that Psychrobacter was the dominant genus at each incubation temperature after 24 h of storage. Psychrobacter sp. and Psychrobacter-like strains isolated from the Antarctic krill samples exhibited protease activity. Our laboratory results indicated that Psychrobacter was the primary cause of spoilage of the Antarctic krill, E. superba. The results from ITS rDNA fungal sequencing showed that unclassified Saccharomycetes were the predominant microbes in all the Antarctic krill samples.</t>
  </si>
  <si>
    <t>[Wang, Fang; Sheng, Jun; Chen, Yixuan; Xu, Jiakun] Chinese Acad Fishery Sci, Yellow Sea Fisheries Res Inst, Minist Agr &amp; Rural Affairs, Key Lab Sustainable Dev Polar Fisheries, Qingdao 266071, Peoples R China; [Wang, Fang; Sheng, Jun; Chen, Yixuan; Xu, Jiakun] Pilot Natl Lab Marine Sci &amp; Technol, Lab Marine Drugs &amp; Byprod, Qingdao 266071, Peoples R China; [Chen, Yixuan] Ocean Univ China, Coll Chem &amp; Chem Engn, Qingdao 266100, Peoples R China</t>
  </si>
  <si>
    <t>Chinese Academy of Fishery Sciences; Yellow Sea Fisheries Research Institute, CAFS; Ministry of Agriculture &amp; Rural Affairs; Laoshan Laboratory; Ocean University of China</t>
  </si>
  <si>
    <t>Xu, JK (corresponding author), Chinese Acad Fishery Sci, Yellow Sea Fisheries Res Inst, Minist Agr &amp; Rural Affairs, Key Lab Sustainable Dev Polar Fisheries, Qingdao 266071, Peoples R China.;Xu, JK (corresponding author), Pilot Natl Lab Marine Sci &amp; Technol, Lab Marine Drugs &amp; Byprod, Qingdao 266071, Peoples R China.</t>
  </si>
  <si>
    <t>xujk@ysfri.ac.cn</t>
  </si>
  <si>
    <t>hu, xin/KHT-2406-2024</t>
  </si>
  <si>
    <t>Special Project of Major Scientific and Technological Innovation in Shandong Province [2018SDKJ0304-4, 2018SDKJ0303-1]; Central Public-interest Scientific Institution Basal Research Fund, YSFRI, CAFS [20603022018025]; Central Public-interest Scientific Institution Basal Research Fund, CAFS [2016ZD0902, 2018GH10, 2017HY-XKQ01-01, 2017GH07]; Financial Fund of the Ministry of Agriculture and Rural Affairs, P. R. of China [NFZX2018]</t>
  </si>
  <si>
    <t>Special Project of Major Scientific and Technological Innovation in Shandong Province; Central Public-interest Scientific Institution Basal Research Fund, YSFRI, CAFS; Central Public-interest Scientific Institution Basal Research Fund, CAFS; Financial Fund of the Ministry of Agriculture and Rural Affairs, P. R. of China</t>
  </si>
  <si>
    <t>This work was supported by Special Project of Major Scientific and Technological Innovation in Shandong Province (2018SDKJ0304-4, 2018SDKJ0303-1); Central Public-interest Scientific Institution Basal Research Fund, YSFRI, CAFS (20603022018025); Central Public-interest Scientific Institution Basal Research Fund, CAFS (2016ZD0902, 2018GH10, 2017HY-XKQ01-01, 2017GH07); Financial Fund of the Ministry of Agriculture and Rural Affairs, P. R. of China (NFZX2018).</t>
  </si>
  <si>
    <t>10.1007/s00300-020-02789-x</t>
  </si>
  <si>
    <t>PU9MO</t>
  </si>
  <si>
    <t>WOS:000607021300001</t>
  </si>
  <si>
    <t>Ibañez, AE; Pasquevich, MY; Machulsky, NF; Berg, G; Heras, H; Montalti, D; Grilli, MG</t>
  </si>
  <si>
    <t>Ibanez, A. E.; Pasquevich, M. Y.; Machulsky, N. Fernandez; Berg, G.; Heras, H.; Montalti, D.; Grilli, M. Grana</t>
  </si>
  <si>
    <t>Dynamics of circulating lipoproteins and lipids in Brown Skua (Stercorarius antarcticus lonnbergi) during the breeding cycle</t>
  </si>
  <si>
    <t>Antarctic seabirds; Breeding energetic; Fatty acids; Lipid metabolism</t>
  </si>
  <si>
    <t>FATTY-ACID-COMPOSITION; DIET COMPOSITION; SELECTIVE MOBILIZATION; EXERCISE PERFORMANCE; NUTRITIONAL-STATUS; SEASONAL-CHANGES; TROPHIC ECOLOGY; ADIPOSE-TISSUE; BODY CONDITION; PLASMA</t>
  </si>
  <si>
    <t>In central-place foragers the breeding cycle is often the period with the highest energy cost, where dietary and stored lipids play a key role. Lipids are mobilized through blood lipoproteins providing fuel to tissues. Thus, the use of food and endogenous resources with high-energy fats is important to sustain individuals' nutritional demands. To evaluate the physiological components associated to energetic demands and their variation regarding life history processes, we analysed the plasma circulating lipoprotein levels, the lipid classes and fatty acid (FA) composition in Brown Skua (Stercorarius antarcticus lonnbergi) in breeding stages with different energy requirements: incubation (In), early rearing (Er) and late rearing (Lr). We expected to find differences according to the energy demands of each stage and the sex. The level of Very Low Density lipoproteins was affected by the sex and the breeding stage, whereas Low Density lipoproteins only by the stage. Total plasma lipid content and circulating lipid classes were invariant among the stages studied; however, differences in total plasma FA and monounsaturated FA (oleic and nervonic) abundances were observed among stages. Besides, a decrease in the n-3:n-6 ratio was observed towards the Lr stage. The differences found in lipoproteins may be linked to changes in the energy demands throughout the breeding period. Moreover, the variation observed in FA abundance and n-3:n-6 ratio may be related to a preferential mobilization of FA from stores as fuel or, possibly, to a differential use of the available food resources.</t>
  </si>
  <si>
    <t>[Ibanez, A. E.] Univ Nacl La Plata, Fac Ciencias Nat &amp; Museo, Museo La Plata, Secc Ornitol,Div Zool Vertebrados, B1900FWA, La Plata, Buenos Aires, Argentina; [Pasquevich, M. Y.; Heras, H.] Univ Nacl La Plata, CONICET, Inst Invest Bioquim La Plata INIBIOLP, La Plata, Argentina; [Machulsky, N. Fernandez; Berg, G.] Univ Buenos Aires, Fac Farm &amp; Bioquim, Dept Bioquim Clin, Buenos Aires, DF, Argentina; [Montalti, D.] Inst Antartico Argentino IAA, Buenos Aires, DF, Argentina; [Grilli, M. Grana] Univ Nacl Comahue, CONICET, INIBIOMA, Grp Invest Biol Conservac,Lab Ecotono, San Carlos De Bariloche, Rio Negro, Argentina</t>
  </si>
  <si>
    <t>National University of La Plata; Museo La Plata; National University of La Plata; Consejo Nacional de Investigaciones Cientificas y Tecnicas (CONICET); University of Buenos Aires; Consejo Nacional de Investigaciones Cientificas y Tecnicas (CONICET); Universidad Nacional del Comahue</t>
  </si>
  <si>
    <t>Ibañez, AE (corresponding author), Univ Nacl La Plata, Fac Ciencias Nat &amp; Museo, Museo La Plata, Secc Ornitol,Div Zool Vertebrados, B1900FWA, La Plata, Buenos Aires, Argentina.</t>
  </si>
  <si>
    <t>aeibanez@fcnym.unlp.edu.ar</t>
  </si>
  <si>
    <t>Proyecto de Investigacion Plurianual (PIP- CONICET) [0158]; Agencia Nacional de Promocion Cientifica y Tecnologica; Instituto Antartico Argentino [PICTA-2010-0080]; [PICT-2014-3323]</t>
  </si>
  <si>
    <t>Proyecto de Investigacion Plurianual (PIP- CONICET); Agencia Nacional de Promocion Cientifica y Tecnologica(ANPCyTSpanish Government); Instituto Antartico Argentino;</t>
  </si>
  <si>
    <t>This work was made possible thanks to National Office of the Antarctic (DNA) and Argentine Antarctic Institute (IAA) which provided logistical support to carry out the fieldwork at Potter Peninsula, Isla 25 de Mayo/ King George Island, South Shetland Islands, Antarctica. This work was supported by Proyecto de Investigacion Plurianual (PIP- CONICET no 0158) and Agencia Nacional de Promocion Cientifica y Tecnologica and Instituto Antartico Argentino (PICTA-2010-0080) (To DM), and partially supported by (PICT-2014-3323) (to AEI). Special thanks to Facundo Xavier Palacio for the help with statistical analysis and to Rosana del Cid for the help with manuscript writing and grammatical edition, as well as to the Editor and reviewers for their interesting and helpful critics for the improvement of the manuscript.</t>
  </si>
  <si>
    <t>10.1007/s00300-020-02793-1</t>
  </si>
  <si>
    <t>WOS:000607021300004</t>
  </si>
  <si>
    <t>Day, J; Power, D; Gales, R; Bannister, J; Piggott, MP; Bilgmann, K; Harcourt, R; Beheregaray, LB; Möller, LM</t>
  </si>
  <si>
    <t>Day, Joanna; Power, David; Gales, Rosemary; Bannister, John; Piggott, Maxine P.; Bilgmann, Kerstin; Harcourt, Robert; Beheregaray, Luciano B.; Moller, Luciana M.</t>
  </si>
  <si>
    <t>Australian sperm whales from different whaling stocks belong to the same population</t>
  </si>
  <si>
    <t>AQUATIC CONSERVATION-MARINE AND FRESHWATER ECOSYSTEMS</t>
  </si>
  <si>
    <t>historical DNA; Physeter macrocephalus; population genetics; sperm whale; whaling</t>
  </si>
  <si>
    <t>BOTTLE-NOSED DOLPHINS; GULF-OF-CALIFORNIA; GENETIC-STRUCTURE; PHYSETER-MACROCEPHALUS; MICROSATELLITE LOCI; COMPUTER-PROGRAM; SOCIAL-ORGANIZATION; MITOCHONDRIAL-DNA; HUMPBACK WHALE; NORTH PACIFIC</t>
  </si>
  <si>
    <t>1. Understanding the factors driving population structure in marine mammals is needed to evaluate the impacts of previous exploitation, current anthropogenic threats, conservation status, and success of population recovery efforts. 2. Sperm whales are characterized by a worldwide distribution, low genetic diversity, complex patterns of social and genetic structure that differ significantly within and between ocean basins, and a long history of being commercially whaled. In Australia, sperm whales from the (International Whaling Commission assigned) southern hemisphere 'Division 5' stock were very heavily exploited by whaling. 3. The present study assessed the potential effects of whaling on the genetic diversity of sperm whales in Australia and the population genetic structure of these whales within a global context. A combination of historical and contemporary sperm whale samples (n = 157) were analysed across six regions, from south-eastern Australia ('Division 6' stock in the Pacific Ocean) to south-western Australia ('Division 5' stock in the Indian Ocean). 4. Sperm whales sampled from the 'Division 5' and 'Division 6' stocks belong to the same population based on nuclear and mitochondrial DNA (mtDNA) analyses. Four novel sperm whale mtDNA haplotypes were identified in animals from Australian waters. Levels of genetic diversity were low in Australian sperm whales but were similar to those previously reported for populations in the Indian and Pacific Oceans. 5. Given the genetic distinctiveness of sperm whales in Australian waters from other regions in the Pacific and Indian Oceans, and the lack of recovery in population numbers, further scientific studies are needed to increase our understanding of population dynamics and the effectiveness of threat management strategies in this species.</t>
  </si>
  <si>
    <t>[Day, Joanna; Bilgmann, Kerstin; Beheregaray, Luciano B.; Moller, Luciana M.] Flinders Univ S Australia, Coll Sci &amp; Engn, Mol Ecol Lab, Adelaide, SA, Australia; [Day, Joanna] Taronga Conservat Soc Australia, Taronga Inst Sci &amp; Learning, POB 20, Mosman, NSW 2088, Australia; [Day, Joanna; Power, David; Piggott, Maxine P.; Bilgmann, Kerstin; Harcourt, Robert] Macquarie Univ, Dept Biol Sci, N Ryde, NSW, Australia; [Power, David] Australian Fisheries Management Author, Canberra, ACT, Australia; [Gales, Rosemary] Dept Primary Ind Pk Water &amp; Environm, Hobart, Tas, Australia; [Bannister, John] Western Australian Museum, Perth, WA, Australia; [Moller, Luciana M.] Flinders Univ S Australia, Coll Sci &amp; Engn, Cetacean Ecol Behav &amp; Evolut Lab, Adelaide, SA, Australia</t>
  </si>
  <si>
    <t>Flinders University South Australia; Taronga Conservation Society Australia; Macquarie University; Western Australian Museum; Flinders University South Australia</t>
  </si>
  <si>
    <t>Day, J (corresponding author), Taronga Conservat Soc Australia, Taronga Inst Sci &amp; Learning, POB 20, Mosman, NSW 2088, Australia.</t>
  </si>
  <si>
    <t>jday@zoo.nsw.gov.au</t>
  </si>
  <si>
    <t>Möller, Luciana M/A-6030-2008; Piggott, Maxine P/AFN-2433-2022; Beheregaray, Luciano/AAY-6384-2021; Piggott, Maxine P/AFN-2257-2022</t>
  </si>
  <si>
    <t>Piggott, Maxine P/0000-0002-7307-708X; Beheregaray, Luciano/0000-0003-0944-3003; Moller, Luciana/0000-0002-7293-5847; Harcourt, Robert/0000-0003-4666-2934; Bilgmann, Kerstin/0000-0003-0681-2301; Day, Joanna/0000-0001-9390-7506</t>
  </si>
  <si>
    <t>Australian Antarctic Division; Australian Marine Mammal Centre</t>
  </si>
  <si>
    <t>Australian Antarctic Division, Grant/Award Number: Australian Marine Mammal Centre</t>
  </si>
  <si>
    <t>1052-7613</t>
  </si>
  <si>
    <t>1099-0755</t>
  </si>
  <si>
    <t>AQUAT CONSERV</t>
  </si>
  <si>
    <t>Aquat. Conserv.-Mar. Freshw. Ecosyst.</t>
  </si>
  <si>
    <t>10.1002/aqc.3494</t>
  </si>
  <si>
    <t>Environmental Sciences; Marine &amp; Freshwater Biology; Water Resources</t>
  </si>
  <si>
    <t>Environmental Sciences &amp; Ecology; Marine &amp; Freshwater Biology; Water Resources</t>
  </si>
  <si>
    <t>SN7LJ</t>
  </si>
  <si>
    <t>WOS:000606789200001</t>
  </si>
  <si>
    <t>Gilmer, G; Moy, CM; Riesselman, CR; Vandergoes, M; Jacobsen, G; Gorman, AR; Tidey, EJ; Wilson, GS</t>
  </si>
  <si>
    <t>Gilmer, Greer; Moy, Christopher M.; Riesselman, Christina R.; Vandergoes, Marcus; Jacobsen, Geraldine; Gorman, Andrew R.; Tidey, Emily J.; Wilson, Gary S.</t>
  </si>
  <si>
    <t>Late Pleistocene and Holocene climate and environmental evolution of a subantarctic fjord ingression basin in the southwest Pacific</t>
  </si>
  <si>
    <t>Subantarctic; Holocene; Paleoclimatology; Southern Ocean; Fjord; LGM; Deglaciation; Stable isotopes</t>
  </si>
  <si>
    <t>LAST GLACIAL MAXIMUM; NEW-ZEALAND; AUCKLAND-ISLANDS; SEA-LEVEL; SOUTHERN-OCEAN; WESTERLY WINDS; VEGETATION; HISTORY; TERRESTRIAL; ALPS</t>
  </si>
  <si>
    <t>Subantarctic islands are located at a critical latitude for reconstructing past changes in ocean-atmosphere interactions. Currently, there is a lack of high-resolution records from the Pacific sector of the Southern Ocean that can be used to reconstruct climate since the Last Glacial Maximum (LGM). Here, we present a reconstruction of environmental change from a fjord ingression basin at New Zealand's subantarctic Auckland Islands (50.5 degrees S) over the last similar to 19 ka cal BP. Using sedimentological and geochemical analysis of cores collected along a depth transect in Norman Inlet we find evidence for four different stages of environmental history: deglacial, lacustrine, marine transgression, and marine. Glaciers retreated from their maximum extent before 19.4 ka cal BP during a period of ice retreat that appears synchronous across the Pacific basin, likely due to southward migration of the Subtropical Front. However, in contrast to other glaciated regions, we see no evidence for ice re-advance, and a proglacial lake was present in the basin until 15.7 ka cal BR. Following deglaciation, organic-rich sedimentation dominated the lacustrine environment until post-glacial sea-level rise flooded the depositional basin at 8.8 ka cal BR. Deposition of organic-rich sediment continued during the Antarctic Cold Reversal and we find no evidence for a glacial re-advance. Mixing of terrestrial and marine organic matter during the marine transgression (8.8-6.7 ka cal BP) indicates significant erosion and re-working of sediment in the catchment as seawater over-topped the sill. Modern fjord circulation commenced similar to 6.7 ka cal BP when sea level reached its maximum in the early Holocene. This well-dated, high-resolution record constrains the timing of deglaciation, sea-level rise, and subantarctic environmental change following the LGM that expands our understanding of the key drives of climate change in the middle to high southern latitudes. (C) 2020 Elsevier Ltd. All rights reserved.</t>
  </si>
  <si>
    <t>[Gilmer, Greer; Moy, Christopher M.; Riesselman, Christina R.; Gorman, Andrew R.; Wilson, Gary S.] Univ Otago, Dept Geol, Dunedin, New Zealand; [Riesselman, Christina R.; Wilson, Gary S.] Univ Otago, Dept Marine Sci, Dunedin, New Zealand; [Vandergoes, Marcus; Wilson, Gary S.] GNS Sci, Lower Hutt, New Zealand; [Jacobsen, Geraldine] Australian Nucl Sci &amp; Technol Org, Sydney, NSW, Australia; [Tidey, Emily J.] Univ Otago, Sch Surveying, Dunedin, New Zealand</t>
  </si>
  <si>
    <t>University of Otago; University of Otago; GNS Science - New Zealand; Australian Nuclear Science &amp; Technology Organisation; University of Otago</t>
  </si>
  <si>
    <t>Gilmer, G (corresponding author), Univ Otago, Dept Geol, Dunedin, New Zealand.</t>
  </si>
  <si>
    <t>greer.gilmer@postgrad.otago.ac.nz</t>
  </si>
  <si>
    <t>Gorman, Andrew R/B-9674-2008; Riesselman, Christina R/H-5037-2012; Wilson, Gary S/B-3803-2010</t>
  </si>
  <si>
    <t>Gorman, Andrew/0000-0002-8581-0197; Gilmer, Greer/0000-0001-6350-2671; Wilson, Gary/0000-0003-0025-3641</t>
  </si>
  <si>
    <t>Royal Society of New Zealand Marsden Fast Start [UOO1118]; New Zealand Antarctic Research Institute [NZARI 2014-7]; AINSE Ltd [ALNSTU11923]</t>
  </si>
  <si>
    <t>Royal Society of New Zealand Marsden Fast Start(Royal Society of New ZealandMarsden Fund (NZ)); New Zealand Antarctic Research Institute; AINSE Ltd</t>
  </si>
  <si>
    <t>We would like to acknowledge the crew of the R/V Polaris II and the scientific parties from cruises 15PL001 and 16PL119. We would also like to thank the staff and technicians at the University of Otago, Stanford University Stable Isotope Laboratory, ANSTO Centre for Accelerator Science, and ANSTO Environmental Radioactivity Measurement Centre. The authors gratefully acknowledge support from a Royal Society of New Zealand Marsden Fast Start (#UOO1118) and New Zealand Antarctic Research Institute (NZARI 2014-7) funding to Moy, and AINSE Ltd for providing financial assistance to Gilmer (Award ALNSTU11923) to enable work on ANSTO Itrax XRF and radiocarbon dating. Bathymetric data was obtained from Land Information New Zealand (LINZ) and are licensed for reuse under CC BY 4.0. Academic software licences were used for seismic data processing (GLOBE Claritas), seismic interpretation (IHS Markit's Kingdom and Leapfrog Geo), and bathymetric analyses (CARIS HIPS &amp; SIPS 9.0 and Arc GIS 10.3.1). We thank the editor and two anonymous reviewers for their constructive comments that helped significantly improve this paper.</t>
  </si>
  <si>
    <t>10.1016/j.quascirev.2020.106698</t>
  </si>
  <si>
    <t>PW7FC</t>
  </si>
  <si>
    <t>WOS:000610835200001</t>
  </si>
  <si>
    <t>McCahey, D</t>
  </si>
  <si>
    <t>McCahey, Daniella</t>
  </si>
  <si>
    <t>'The last refuge of male chauvinism': print culture, masculinity, and the British Antarctic Survey (1960-1996)</t>
  </si>
  <si>
    <t>GENDER PLACE AND CULTURE</t>
  </si>
  <si>
    <t>Antarctica; gender; polar; pornography; United Kingdom</t>
  </si>
  <si>
    <t>In 1996, the British Antarctic Survey opened Halley Research Station (Halley) to women researchers, thereby officially giving women equal access to all Antarctic bases. A main reason that Antarctic researchers insisted that women be excluded from British Antarctic research stations was fears that they would disrupt base cohesion. Through examining magazines produced by the men stationed at Signy and Halley, the author offers evidence that alongside this exclusion, the men developed a homosocial culture, using overt sexualisation of women to perform masculinity. Rather than becoming more respectful, many of the clipping from erotic magazines, references to prostitution, pornographic stories and jokes, and sexual fantasies became more explicit as the integration of women drew nearer. The print culture at British Antarctic research stations demonstrates social and cultural norms predicated on simultaneous objectification and exclusion of women.</t>
  </si>
  <si>
    <t>[McCahey, Daniella] Texas Tech Univ, Dept Hist, Box 41013, Lubbock, TX 79409 USA</t>
  </si>
  <si>
    <t>Texas Tech University System; Texas Tech University</t>
  </si>
  <si>
    <t>McCahey, D (corresponding author), Texas Tech Univ, Dept Hist, Box 41013, Lubbock, TX 79409 USA.</t>
  </si>
  <si>
    <t>dmccahey@ttu.edu</t>
  </si>
  <si>
    <t>ROUTLEDGE JOURNALS, TAYLOR &amp; FRANCIS LTD</t>
  </si>
  <si>
    <t>2-4 PARK SQUARE, MILTON PARK, ABINGDON OX14 4RN, OXON, ENGLAND</t>
  </si>
  <si>
    <t>0966-369X</t>
  </si>
  <si>
    <t>1360-0524</t>
  </si>
  <si>
    <t>GENDER PLACE CULT</t>
  </si>
  <si>
    <t>Gend. Place Cult.</t>
  </si>
  <si>
    <t>MAY 23</t>
  </si>
  <si>
    <t>10.1080/0966369X.2021.1873746</t>
  </si>
  <si>
    <t>Geography; Women's Studies</t>
  </si>
  <si>
    <t>Social Science Citation Index (SSCI)</t>
  </si>
  <si>
    <t>1Y8HG</t>
  </si>
  <si>
    <t>WOS:000609578900001</t>
  </si>
  <si>
    <t>Palacios, M; Osman, D; Ramírez, J; Huovinen, P; Gómez, I</t>
  </si>
  <si>
    <t>Palacios, Mauricio; Osman, Dayane; Ramirez, Jaime; Huovinen, Pirjo; Gomez, Ivan</t>
  </si>
  <si>
    <t>Photobiology of the giant kelp Macrocystis pyrifera in the land-terminating glacier fjord Yendegaia (Tierra del Fuego): A look into the future?</t>
  </si>
  <si>
    <t>Giant kelp; Southern Patagonian fjord; Photosynthesis; Turbidity; Blade bio-optics</t>
  </si>
  <si>
    <t>PHOTOSYNTHETIC PERFORMANCE; PHLOROTANNIN CONTENT; LAMINARIA-SOLIDUNGULA; LESSONIA-NIGRESCENS; PIGMENT COMPOSITION; FUCUS-VESICULOSUS; BROWN MACROALGAE; UV SENSITIVITY; PACIFIC KELPS; LIGHT</t>
  </si>
  <si>
    <t>The channel and fjord region of southern Chilean Patagonia hosts giant kelp forests (Macrocystis pyrifera) that have little known site -specific responses to diverse physical gradients. In this study, the functionality of the bio-optical, morphological and biochemical features of the kelps, that determine their light trapping and acclimation, were studied along a gradient of varying turbidity and light conditions at the land-terminating glacier of fjord Yendegaia in the Beagle Channel. These habitats are marked by glacial retreat, and M. pyrilem has successfully colonized new areas due to the effects of warming. Results indicated that under a sharp gradient of turbidity and light availability, the kelps have adapted shading characteristics. The photobiological traits (e.g. light absorption, pigment concentration, photochemistry and blade optics) of algae from depths between 6 and 13 m varied in relation to the degree of turbidity along the fjord. However, these populations did not show obvious intrathallus variation along the longitudinal profile e.g. blades located at different depths showed relatively similar acclimation potential to the prevailing light field. Only basal sporophylls showed general differences in comparison with the vegetative fronds. Otherwise, the high phenolic (phlorotannin) content, which was reflected in the massive presence of intracellular physodes, suggests that these organisms could be biochemically well-equipped to cope with changes in physical conditions or the presence of herbivore invertebrates (e.g. sea urchins). (C) 2020 Elsevier B.V. All rights reserved.</t>
  </si>
  <si>
    <t>[Palacios, Mauricio] Univ Austral Chile, Fac Ciencias, Programa Doctorado Biol Marina, Valdivia, Chile; [Osman, Dayane; Ramirez, Jaime; Huovinen, Pirjo; Gomez, Ivan] Univ Austral Chile, Inst Ciencias Marinas &amp; Limnol, Fac Ciencias, Valdivia, Chile; [Palacios, Mauricio; Osman, Dayane; Ramirez, Jaime; Huovinen, Pirjo; Gomez, Ivan] Ctr FONDAP Invest Dinam Ecosistemas Marinos Altos, Valdivia, Chile; [Palacios, Mauricio] Univ Magallanes, Fac Ciencias, Punta Arenas, Chile</t>
  </si>
  <si>
    <t>Universidad Austral de Chile; Universidad Austral de Chile; Universidad de Magallanes</t>
  </si>
  <si>
    <t>Palacios, M (corresponding author), Univ Austral Chile, Fac Ciencias, Programa Doctorado Biol Marina, Valdivia, Chile.</t>
  </si>
  <si>
    <t>mauricio.palacios@alumnos.uach.cl</t>
  </si>
  <si>
    <t>Huovinen, Pirjo/0000-0002-7754-4933; Gomez, Ivan/0000-0001-8381-3792; Palacios, Mauricio/0000-0002-5484-8459</t>
  </si>
  <si>
    <t>CONICYT through the FONDAP Project [15150003]; Conicyt [21171029]; Fondecyt [1201069]</t>
  </si>
  <si>
    <t>CONICYT through the FONDAP Project; Conicyt(Comision Nacional de Investigacion Cientifica y Tecnologica (CONICYT)); Fondecyt(Comision Nacional de Investigacion Cientifica y Tecnologica (CONICYT)CONICYT FONDECYT)</t>
  </si>
  <si>
    <t>This research was funded by CONICYT through the FONDAP Project 15150003 (IDEAL) and Conicyt 21171029 Doctoral Grant (to MP) and Fondecyt 1201069. The support provided by members of Centro IDEAL, B. Garrido, H. Bartsch, L.M. Pardo, E. Alarcon and A. Mora (Oxford University, UK), during the field campaigns in the Beagle Channel is greatly acknowledged. Finally, thanks to M. Gonzalez from the Chilean Antarctic Institute (INACH) who provided some facilities for pigment analyses in Punta Arenas and H. Gonz.ilez (Centro IDEAL) who facilitated data on total particulate matter from Yendegaia fjord.</t>
  </si>
  <si>
    <t>10.1016/j.scitotenv.2020.141810</t>
  </si>
  <si>
    <t>OO3RT</t>
  </si>
  <si>
    <t>WOS:000587300800095</t>
  </si>
  <si>
    <t>Kim, SU; Kim, KY</t>
  </si>
  <si>
    <t>Kim, Seung-Uk; Kim, Kwang-Yul</t>
  </si>
  <si>
    <t>Impact of climate change on the primary production and related biogeochemical cycles in the coastal and sea ice zone of the Southern Ocean</t>
  </si>
  <si>
    <t>Southern Ocean; Biogeochemical cycle; Climate change; CSEOF; Primary production</t>
  </si>
  <si>
    <t>NORTHERN MARGUERITE BAY; INTERANNUAL VARIABILITY; ANTARCTIC PENINSULA; MARINE PRODUCTIVITY; CO2 UPTAKE; ACIDIFICATION; WEST; ECOSYSTEMS; IRON; 21ST-CENTURY</t>
  </si>
  <si>
    <t>Climate change in the Southern Hemisphere has exerted impact on the primary production in the Southern Ocean (SO). Using a recently released reanalysis dataset on global biogeochemistry, a comprehensive analysis was conducted on the complex biogeochemical seasonal cycle and the impact of climate change with a focus in areas within the meridional excursion of the sea ice boundary-coastal and continental shelf zone (CCSZ) and seasonal sea ice zone (SIZ). The seasonal cycles of primary production and related nutrients are closely linked with the seasonal changes in sea ice and sea surface temperatures. As sea ice retreats and allows energy and gas exchange across the sea surface, phytoplankton growth is initiated, consuming accumulated nutrients within the shallow depth of similar to 40m. The seasonal evolutions of physical, biological and chemical variables show both spatial and temporal consistency with each other. Climate change has altered the timing and amplitude of the seasonal cycle. While primary production has generally increased along with an intensified uptake of CO2, some areas show a reduction in production (e.g., Prydz Bay, eastern Indian Ocean). In the CCSZ, increased iron utilization and light availability allowed production to be increased. However, the mechanism by which these factors are altered varies from one location to another, including changes in sea ice cover, surface stratification, and downwelling/upwelling. In the SIZ, where iron is generally a limiting factor, iron supply is a key driver of changes in primary production regardless of other nutrients. There is a clear influence of climatic change on the biogeochemical cycle although the signal is still weak. (C) 2020 The Authors. Published by Elsevier B.V.</t>
  </si>
  <si>
    <t>[Kim, Seung-Uk; Kim, Kwang-Yul] Seoul Natl Univ, Coll Nat Sci, Sch Earth &amp; Environm Sci, Seoul 08826, South Korea</t>
  </si>
  <si>
    <t>Seoul National University (SNU)</t>
  </si>
  <si>
    <t>Kim, KY (corresponding author), Seoul Natl Univ, Coll Nat Sci, Sch Earth &amp; Environm Sci, Seoul 08826, South Korea.</t>
  </si>
  <si>
    <t>kwang56@snu.ac.kr</t>
  </si>
  <si>
    <t>kim, kwang-yul/0000-0001-8526-6737</t>
  </si>
  <si>
    <t>National Research Foundation of Korea [NRF-2020R1A2B5B01002600]</t>
  </si>
  <si>
    <t>National Research Foundation of Korea(National Research Foundation of Korea)</t>
  </si>
  <si>
    <t>We thank Prof. Sian Henley, University of Edinburgh, and anonymous reviewers for critical and valuable comments that significantly improve the manuscript. This study was supported by the National Research Foundation of Korea grant (NRF-2020R1A2B5B01002600).</t>
  </si>
  <si>
    <t>10.1016/j.scitotenv.2020.141678</t>
  </si>
  <si>
    <t>WOS:000587300800047</t>
  </si>
  <si>
    <t>Miller, MB; Howard, DA; Pierce, AM; Cook, KR; Keywood, M; Powell, J; Gustin, MS; Edwards, GC</t>
  </si>
  <si>
    <t>Miller, Matthieu B.; Howard, Dean A.; Pierce, Ashley M.; Cook, Kellie R.; Keywood, Melita; Powell, Jennifer; Gustin, Mae S.; Edwards, Grant C.</t>
  </si>
  <si>
    <t>Atmospheric reactive mercury concentrations in coastal Australia and the Southern Ocean</t>
  </si>
  <si>
    <t>Gaseous elemental mercury; Gaseous oxidized mercury; Tekran 2537; Cape Grim Baseline Air Pollution Station; Southern hemisphere; Cation exchange membranes</t>
  </si>
  <si>
    <t>GASEOUS OXIDIZED MERCURY; MARINE BOUNDARY-LAYER; KCL-COATED DENUDERS; PARTICULATE MERCURY; ELEMENTAL MERCURY; SPRINGTIME DEPLETION; CHEMICAL-COMPOUNDS; ATLANTIC-OCEAN; EXCHANGE; CHEMISTRY</t>
  </si>
  <si>
    <t>Mercury (Hg), especially reactive Hg (RM), data from the Southern Hemisphere (SH) are limited. In this study, long-term measurements of both gaseous elemental Hg (GEM) and RM were made at two ground-based monitoring locations in Australia, the Cape Grim Baseline Air Pollution Station (CGBAPS) in Tasmania, and the Macquarie University Automatic Weather Station (MQAWS) in Sydney, New South Wales. Measurements were also made on board the Australian RV Investigator (RVI) during an ocean research voyage to the East Antarctic coast. GEM was measured using the standard Tekran (R) 2537 series analytical platform, and RM was measured using cation exchange membranes (CEM) in a filter-based sampling method. Overall mean RM concentrations at CGBAPS and MQAWS were 15.9 +/- 6.7 pg m(-3) and 17.8 +/- 6.6 pg m(-3), respectively. For the 10-week austral summer period on RVI, mean RM was 23.5 +/- 6.7 pg m(-3). RM concentrations at CGBAPS were seasonally invariable, while those at MQAWS were significantly different between summer and winter due to seasonal changes in synoptic wind patterns. During the RVI voyage, RM concentrations were relatively enhanced along the Antarctic coast (up to 30 pg m(-3)) and GEM concentrations were variable (0.2 to 0.9 ngm(-3)), suggesting periods of enrichment and depletion. Both RM and GEM concentrations were relatively lower while transiting the Southern Ocean farther north of Antarctica. RM concentrations measured in this study were higher in comparison to most other reported measurements of RM in the global marine boundary layer (MBL), especially for remote SH locations. As observations of GEM and RM concentrations inform global ocean-atmosphere model simulations of the atmospheric Hg budget, our results have important implications for understanding of total atmospheric Hg (TAM). (C) 2020 Elsevier B.V. All rights reserved.</t>
  </si>
  <si>
    <t>[Miller, Matthieu B.; Pierce, Ashley M.; Cook, Kellie R.; Edwards, Grant C.] Macquarie Univ, Fac Sci &amp; Engn, Dept Environm Sci, Sydney, NSW 2113, Australia; [Howard, Dean A.] Univ Colorado, Inst Arctic &amp; Alpine Res, Boulder, CO 80303 USA; [Keywood, Melita; Powell, Jennifer] Australian Commonwealth Sci &amp; Ind Res Org, Ctr Australian Climate &amp; Weather Res, Melbourne, Vic, Australia; [Gustin, Mae S.] Univ Nevada, Dept Nat Resources &amp; Environm Sci, Reno, NV 89557 USA</t>
  </si>
  <si>
    <t>Macquarie University; University of Colorado System; University of Colorado Boulder; Melbourne Genomics Health Alliance; Commonwealth Scientific &amp; Industrial Research Organisation (CSIRO); Nevada System of Higher Education (NSHE); University of Nevada Reno</t>
  </si>
  <si>
    <t>Miller, MB (corresponding author), Macquarie Univ, Fac Sci &amp; Engn, Dept Environm Sci, Sydney, NSW 2113, Australia.</t>
  </si>
  <si>
    <t>matthieu.b.miller@gmail.com</t>
  </si>
  <si>
    <t>; keywood, melita/C-5139-2011</t>
  </si>
  <si>
    <t>Cook, Kellie/0000-0002-6922-2723; Pierce, Ashley/0000-0002-7956-7565; keywood, melita/0000-0001-9953-6806</t>
  </si>
  <si>
    <t>Macquarie University iMQRES [2015148]; NSF [629679]</t>
  </si>
  <si>
    <t>Macquarie University iMQRES; NSF(National Science Foundation (NSF))</t>
  </si>
  <si>
    <t>The authors would like to acknowledge funding from Macquarie University iMQRES 2015148 and NSF Grant 629679. The authors also thank the students and staff of Dr. Gustin's research group at the University of Nevada Keno, and Dr. Edwards' research group at Macquarie University. Thanks goes to RVI voyage volunteer Jack Simmons for assistant with sample collection. Continued support for the Cape Grim Program from the Australian Bureau of Meteorology and Commonwealth Scientific and Industrial Research Organization (CSIKO) and the personal effort of the outstanding Cape Grim support staff maintaining equipment and collecting samples is gratefully acknowledged. We all bid an untimely farewell to Dr. Grant C. Edwards, who was ever a cheerful friend, mentor, and colleague. Dr. Edwards passed away unexpectedly on September 10, 2018.</t>
  </si>
  <si>
    <t>10.1016/j.scitotenv.2020.141681</t>
  </si>
  <si>
    <t>WOS:000587300800049</t>
  </si>
  <si>
    <t>Clark, MS; Peck, LS; Thyrring, J</t>
  </si>
  <si>
    <t>Clark, Melody S.; Peck, Lloyd S.; Thyrring, Jakob</t>
  </si>
  <si>
    <t>Resilience in Greenland intertidal Mytilus: The hidden stress defense</t>
  </si>
  <si>
    <t>HSP70; Cellular stress response; Thermal tolerance; Mytilus edulis; Climate change; Blue mussel</t>
  </si>
  <si>
    <t>LONG-TERM ACCLIMATION; RNA-SEQ DATA; CLIMATE-CHANGE; BLUE MUSSEL; ENVIRONMENTAL TEMPERATURES; TRANSCRIPTOMIC RESPONSES; GENOME ANNOTATION; BODY-TEMPERATURE; SEASONAL-CHANGES; GENE-EXPRESSION</t>
  </si>
  <si>
    <t>The Arctic is experiencing particularly rapid rates of warming, consequently invasive boreal species are now able to survive the less extreme Arctic winter temperatures. Whilst persistence of intertidal and terrestrial species in the Arctic is primarily determined by their ability to tolerate the freezing winters, air temperatures in the Arctic summer can reach 36 degrees C in the intertidal, which is beyond the upper thermal limits of many marine species. This is normally lethal for the conspicuous ecosystem engineer Mytilus edulis. Transcriptomic analyses were undertaken on both in situ collected and experimentally warmed animals to understand whether M. edulis is able to tolerate these very high summer temperatures. Surprisingly there was no significant enrichment for Gene Ontology terms (GO) when comparing the inner and outer fjord intertidal animals with outer fjord subtidal (control) animals, representing animals collected at 27 degrees C, 19 degrees C and 3 T respectively. This lack of differentiation indicated a wide acclimation ability in this species. Conversely, significant enrichment for processes such as signal transduction, cytoskeleton and cellular protein modification was identified in the expression profiles of the 22 degrees C and 32 degrees C experimentally heated animals. This difference in gene expression between in situ collected and experimentally warmed animals was almost certainly due to the former being acclimated to a fluctuating, but predictable, temperature regime, which has increased their thermal tolerances. Interestingly, there was no evidence for enrichment of the classical cellular stress response in any of the animals sampled. Identification of a massive expansion of the HSPA12 heat shock protein 70 kDa gene family presented the possibility of these genes acting as intertidal regulators underpinning thermal resilience. This expansion has resulted in a modified cellular stress response, as an evolutionary adaptation to the rigour of the invasive intertidal life style. Thus, M. edulis appear to have considerable capacity to withstand the current rates of Arctic warming, and the very large attendant thermal variation. (C) 2020 The Author(s). Published by Elsevier B.V.</t>
  </si>
  <si>
    <t>[Clark, Melody S.; Peck, Lloyd S.; Thyrring, Jakob] British Antarctic Survey, Nat Environm Res Council, Madingley Rd, Cambridge CB3 0ET, England; [Thyrring, Jakob] Univ British Columbia, Dept Zool, 4200-6270 Univ Blvd, Vancouver, BC V6T 1Z4, Canada; [Thyrring, Jakob] Aarhus Univ, Dept Biosci Marine Ecol, Vejlsovej 25, DK-8600 Silkeborg, Denmark</t>
  </si>
  <si>
    <t>UK Research &amp; Innovation (UKRI); Natural Environment Research Council (NERC); NERC British Antarctic Survey; University of British Columbia; Aarhus University</t>
  </si>
  <si>
    <t>Clark, MS (corresponding author), British Antarctic Survey, Nat Environm Res Council, Madingley Rd, Cambridge CB3 0ET, England.</t>
  </si>
  <si>
    <t>mscl@bas.ac.uk</t>
  </si>
  <si>
    <t>Clark, Melody S/D-7371-2014; Thyrring, Jakob/M-9479-2015</t>
  </si>
  <si>
    <t>Thyrring, Jakob/0000-0002-1029-3105</t>
  </si>
  <si>
    <t>Carlsberg Foundation; Independent Research Fund Denmark (Danmarks Frie Forskningsfond) [7027-00060B]; Marie Sklodowska-Curie Individual Fellowship (IF) [797387]; Aage V. Jensens Fond (Aage V. Jensens Foundation); NERC-UKRI; NERC [bas0100036] Funding Source: UKRI; Marie Curie Actions (MSCA) [797387] Funding Source: Marie Curie Actions (MSCA)</t>
  </si>
  <si>
    <t>Carlsberg Foundation(Carlsberg Foundation); Independent Research Fund Denmark (Danmarks Frie Forskningsfond); Marie Sklodowska-Curie Individual Fellowship (IF); Aage V. Jensens Fond (Aage V. Jensens Foundation); NERC-UKRI; NERC(UK Research &amp; Innovation (UKRI)Natural Environment Research Council (NERC)); Marie Curie Actions (MSCA)(Marie Curie Actions)</t>
  </si>
  <si>
    <t>This work was supported by the Carlsberg Foundation, the Independent Research Fund Denmark (Danmarks Frie Forskningsfond) (DFF-International Postdoc; case no. 7027-00060B), a Marie Sklodowska-Curie Individual Fellowship (IF) under contract number 797387 and Aage V. Jensens Fond (Aage V. Jensens Foundation) and NERC-UKRI core funding to the British Antarctic Survey. The authors would like to thank Laura Gerrish and Jamie Oliver, both at the British Antarctic Survey, for help in drawing themap and designing the graphical abstract respectively.</t>
  </si>
  <si>
    <t>MAY 1</t>
  </si>
  <si>
    <t>10.1016/j.scitotenv.2020.144366</t>
  </si>
  <si>
    <t>QG6GE</t>
  </si>
  <si>
    <t>hybrid, Green Published, Green Accepted</t>
  </si>
  <si>
    <t>WOS:000617681100034</t>
  </si>
  <si>
    <t>Ye, YQ; Zhan, HC; Yu, XW; Li, J; Wang, XM; Xie, ZQ</t>
  </si>
  <si>
    <t>Ye, Yuqing; Zhan, Haicong; Yu, Xiawei; Li, Juan; Wang, Xinming; Xie, Zhouqing</t>
  </si>
  <si>
    <t>Detection of organosulfates and nitrooxy-organosulfates in Arctic and Antarctic atmospheric aerosols, using ultra-high resolution FT-ICR mass spectrometry</t>
  </si>
  <si>
    <t>Organosulfate; Arctic; Antarctic; Molecular characteristics; Potential precursor appointment; FT-ICR-MS</t>
  </si>
  <si>
    <t>Organosulfates (OSs) are recognized as important secondary organic aerosols (SOAs) in recent years. Due to their amphipathy and light absorptive capacity, OSs may potentially impact climate. Moreover, OSs can serve as molecular tracers for precursors and multiple processes leading to the generation of SOA. However, studies on OSs are lacking in the polar regions which limits our understanding of both their formation pathways and impacts on the polar environment. Here we present the first investigation into OSs in both the Arctic and Antarctic. Organic compounds in aerosol samples collected from the polar regions during the 2013/2014 Chinese National Arctic/Antarctic Research Expedition (CHINARE) were analyzed by Fourier transform ion cyclotron resonance mass spectrometry (FT-ICR-MS) coupled with negative ion mode electrospray ionization (ESI( - )). Hundreds to thousands of OSs were detected at the polar sampling sites. The estimated total concentrations of OSs were in the range of 46-670 ng/m(3) in the Arctic sampling area, and 47-260 ng/m(3) in the Antarctic sampling area, accounting for 1-16% of total OM. OSs were found to have undergone a high degree of oxidation in the aerosol samples, which might be due to the combined effects of enhanced photo-oxidation in summertime or continuous oxidation during transport to the polar region. The potential appointment of OS precursors highlights the important role of long-range air-mass transport on the OSs derived from biogenic precursors and a notably large contribution from anthropogenic emissions, suggesting that human activities have significant impacts in remote polar environments. The results of this study provide important insights into the characteristics of OSs in the polar atmosphere. However, the need for further research focusing on the quantification, formation mechanisms and impacts of OSs on climate is emphasized. (C) 2020 Elsevier B.V. All rights reserved.</t>
  </si>
  <si>
    <t>[Ye, Yuqing; Zhan, Haicong; Yu, Xiawei; Li, Juan; Xie, Zhouqing] Univ Sci &amp; Technol China, Sch Earth &amp; Space Sci, Inst Polar Environm, Hefei 230026, Anhui, Peoples R China; [Ye, Yuqing; Zhan, Haicong; Yu, Xiawei; Li, Juan; Xie, Zhouqing] Univ Sci &amp; Technol China, Sch Earth &amp; Space Sci, Anhui Key Lab Polar Environm &amp; Global Change, Hefei 230026, Anhui, Peoples R China; [Ye, Yuqing; Zhan, Haicong; Yu, Xiawei; Li, Juan; Xie, Zhouqing] Univ Sci &amp; Technol China, Dept Environm Sci &amp; Engn, Hefei 230026, Anhui, Peoples R China; [Wang, Xinming] Chinese Acad Sci, Guangzhou Inst Geochem, State Key Lab Organ Geochem, Guangzhou 510640, Peoples R China; [Wang, Xinming] Chinese Acad Sci, Guangzhou Inst Geochem, Guangdong Key Lab Environm Protect &amp; Resources Ut, Guangzhou 510640, Peoples R China; [Xie, Zhouqing] Chinese Acad Sci, Inst Urban Environm, Ctr Excellence Urban Atmospher Environm, Xiamen 361021, Fujian, Peoples R China; [Li, Juan] Univ Sci &amp; Technol China, Div Life Sci &amp; Med, Affiliated Hosp USTC 1, Dept Anesthesiol, Hefei 230001, Anhui, Peoples R China</t>
  </si>
  <si>
    <t>Chinese Academy of Sciences; University of Science &amp; Technology of China, CAS; Chinese Academy of Sciences; University of Science &amp; Technology of China, CAS; Chinese Academy of Sciences; University of Science &amp; Technology of China, CAS; Chinese Academy of Sciences; Guangzhou Institute of Geochemistry, CAS; Chinese Academy of Sciences; Guangzhou Institute of Geochemistry, CAS; Chinese Academy of Sciences; Institute of Urban Environment, CAS; Chinese Academy of Sciences; University of Science &amp; Technology of China, CAS</t>
  </si>
  <si>
    <t>Xie, ZQ (corresponding author), Univ Sci &amp; Technol China, Sch Earth &amp; Space Sci, Inst Polar Environm, Hefei 230026, Anhui, Peoples R China.;Xie, ZQ (corresponding author), Univ Sci &amp; Technol China, Sch Earth &amp; Space Sci, Anhui Key Lab Polar Environm &amp; Global Change, Hefei 230026, Anhui, Peoples R China.;Xie, ZQ (corresponding author), Univ Sci &amp; Technol China, Dept Environm Sci &amp; Engn, Hefei 230026, Anhui, Peoples R China.</t>
  </si>
  <si>
    <t>zqxie@ustc.edu.cn</t>
  </si>
  <si>
    <t>Wang, Xinming/A-7388-2014</t>
  </si>
  <si>
    <t>Wang, Xinming/0000-0002-1982-0928</t>
  </si>
  <si>
    <t>National Natural Science Foundation of China [41676173, 41941014]</t>
  </si>
  <si>
    <t>National Natural Science Foundation of China(National Natural Science Foundation of China (NSFC))</t>
  </si>
  <si>
    <t>This work was supported by the National Natural Science Foundation of China (grant no. 41676173, 41941014). We thank Pengzhen He for obtaining the samples during the 6st China Arctic Research Expedition. We thank China Arctic and Antarctic Administration for fieldwork support. We thank Bin Jiang for his help in instrumental operation. The authors acknowledge theNOAA Air Resources Laboratory (ARL) for developing the HYSPLIT transport and dispersion model available on the Internet (http://www.arl.noaa.gov/ready.html).We acknowledge the use of imagery from the Worldview Snapshots application (https://wvs.earthdata.nasa.gov), part of the Earth Observing System Data and Information System (EOSDIS).</t>
  </si>
  <si>
    <t>10.1016/j.scitotenv.2020.144339</t>
  </si>
  <si>
    <t>WOS:000617681100022</t>
  </si>
  <si>
    <t>Wu, J; Blagoveshchenskaya, NF; Wu, J; Shen, XH; Rietveld, MT; Haggstrom, I; Xu, T; Xu, ZW</t>
  </si>
  <si>
    <t>Wu, Jun; Blagoveshchenskaya, N. F.; Wu, Jian; Shen, Xuhui; Rietveld, Michael T.; Haggstrom, Ingemar; Xu, Tong; Xu, Zhengwen</t>
  </si>
  <si>
    <t>Altitude descents in high-frequency enhanced plasma and ion lines during ionospheric heating at EISCAT</t>
  </si>
  <si>
    <t>JOURNAL OF ATMOSPHERIC AND SOLAR-TERRESTRIAL PHYSICS</t>
  </si>
  <si>
    <t>Active ionosphere; Incoherent scatter radar; Plasma and ion lines; Altitude descent; EISCAT</t>
  </si>
  <si>
    <t>INCOHERENT-SCATTER SPECTRUM; HIGH-LATITUDE IONOSPHERE; HF RADIO-WAVES; ELECTRON-DENSITY; F-REGION; TROMSO; DEPENDENCE; TURBULENCE; LAYERS; 5TH</t>
  </si>
  <si>
    <t>An observation of altitude descents in high-frequency enhanced ion line (HFIL) and plasma line (HFPL) are examined, and an alternative explanation are presented. The HFIL and HFPL altitudes should be governed by the dispersion relations of ion acoustic and Langmuir waves respectively, and those altitude descents in HFIL and HFPL may be in consequence of the significantly enhanced electron temperature and the thermal conduction. When heating the ionosphere, the HFIL should be observed at a lower altitude, at which a larger mass of ion may match the enhanced electron temperature so that the enhanced ion acoustic wave may meet the Bragg condition. Similarly, the enhanced electron temperature should match a smaller electron density at a lower altitude, where the enhanced Langmuir wave may meet the Bragg condition and the HFPL is observed. Some previously observed altitude descents in the HFIL and HFPL demonstrate the consistency with the suggested theory.</t>
  </si>
  <si>
    <t>[Wu, Jun; Wu, Jian; Xu, Tong; Xu, Zhengwen] China Res Inst Radio Wave Propagat, Natl Key Lab Electromagnet Environm, Beijing 102206, Peoples R China; [Blagoveshchenskaya, N. F.] Arctic &amp; Antarctic Res Inst, St Petersburg, Russia; [Shen, Xuhui] China Earthquake Adm, Inst Crustal Dynam, Beijing 100085, Peoples R China; [Rietveld, Michael T.] EISCAT, N-9027 Ramfjordbotn, Norway; [Haggstrom, Ingemar] EISCAT Sci Assoc, Kiruna, Sweden; [Rietveld, Michael T.] Arctic Univ Norway, UiT, Tromso, Norway</t>
  </si>
  <si>
    <t>Arctic &amp; Antarctic Research Institute; China Earthquake Administration; UiT The Arctic University of Tromso</t>
  </si>
  <si>
    <t>Wu, J (corresponding author), China Res Inst Radio Wave Propagat, Natl Key Lab Electromagnet Environm, Beijing 102206, Peoples R China.</t>
  </si>
  <si>
    <t>wujun1969@163.com</t>
  </si>
  <si>
    <t>, Wu Jun/AHB-5099-2022; Xu, Zheng-Wen/B-2152-2008</t>
  </si>
  <si>
    <t>Xu, Zheng-Wen/0000-0001-8814-6706; Haggstrom, Ingemar/0000-0003-1070-6915; Wu, Jun/0000-0002-3774-1713</t>
  </si>
  <si>
    <t>1364-6826</t>
  </si>
  <si>
    <t>1879-1824</t>
  </si>
  <si>
    <t>J ATMOS SOL-TERR PHY</t>
  </si>
  <si>
    <t>J. Atmos. Sol.-Terr. Phys.</t>
  </si>
  <si>
    <t>10.1016/j.jastp.2020.105425</t>
  </si>
  <si>
    <t>Geochemistry &amp; Geophysics; Meteorology &amp; Atmospheric Sciences</t>
  </si>
  <si>
    <t>PU0WG</t>
  </si>
  <si>
    <t>WOS:000609029900005</t>
  </si>
  <si>
    <t>Cavanagh, RD; Melbourne-Thomas, J; Grant, SM; Barnes, DKA; Hughes, KA; Halfter, S; Meredith, MP; Murphy, EJ; Trebilco, R; Hill, SL</t>
  </si>
  <si>
    <t>Cavanagh, Rachel D.; Melbourne-Thomas, Jess; Grant, Susie M.; Barnes, David K. A.; Hughes, Kevin A.; Halfter, Svenja; Meredith, Michael P.; Murphy, Eugene J.; Trebilco, Rowan; Hill, Simeon L.</t>
  </si>
  <si>
    <t>Future Risk for Southern Ocean Ecosystem Services Under Climate Change</t>
  </si>
  <si>
    <t>Southern Ocean; Antarctic krill; blue carbon; ecosystem services; climate change; Antarctic tourism; Antarctic Treaty System; IPCC (Intergovernmental Panel on Climate Change)</t>
  </si>
  <si>
    <t>KRILL EUPHAUSIA-SUPERBA; ANTARCTIC KRILL; MANAGEMENT; RESPONSES; TOURISM; MODEL; PROTECTION; DECISIONS; FEEDBACK; HABITATS</t>
  </si>
  <si>
    <t>The Southern Ocean supports ecosystem services that are important on a global scale. Climate change and human activities (tourism, fishing, and research) will affect both the demand for, and the provision of, these services into the future. Here we synthesize recent assessments of the current status and expected future climate-driven changes in Southern Ocean ecosystems and evaluate the potential consequences of these changes for the provision of ecosystem services. We explore in detail three key services (the 'blue carbon' pathway, the Antarctic krill fishery, and Antarctic tourism), tracing the consequences of climate change from physical drivers through biological impacts to the benefits to humans. We consider potential non-climatic drivers of change, current and future demands for the services, and the main global and regional policy frameworks that could be used to manage risks to the provision of these services in a changing climate. We also develop a formal representation of the network of interactions between the suite of potential drivers and the suite of services, providing a framework to capture the complexity of this network and its embedded feedback loops. Increased consideration of the linkages and feedbacks between drivers and ecosystem services will be required to underpin robust management responses into the future.</t>
  </si>
  <si>
    <t>[Cavanagh, Rachel D.; Grant, Susie M.; Barnes, David K. A.; Hughes, Kevin A.; Meredith, Michael P.; Murphy, Eugene J.; Hill, Simeon L.] British Antarctic Survey, Cambridge, England; [Melbourne-Thomas, Jess; Trebilco, Rowan] CSIRO Oceans &amp; Atmosphere, Hobart, Tas, Australia; [Melbourne-Thomas, Jess; Trebilco, Rowan] Univ Tasmania, Ctr Marine Socioecol, Hobart, Tas, Australia; [Halfter, Svenja] Univ Tasmania, Inst Marine &amp; Antarctic Studies, Hobart, Tas, Australia</t>
  </si>
  <si>
    <t>UK Research &amp; Innovation (UKRI); Natural Environment Research Council (NERC); NERC British Antarctic Survey; Commonwealth Scientific &amp; Industrial Research Organisation (CSIRO); University of Tasmania; University of Tasmania</t>
  </si>
  <si>
    <t>Cavanagh, RD (corresponding author), British Antarctic Survey, Cambridge, England.</t>
  </si>
  <si>
    <t>rcav@bas.ac.uk</t>
  </si>
  <si>
    <t>Melbourne-Thomas, Jess/N-2437-2019; Simeon, Hill L/B-2307-2008; Hughes, Kevin/JVZ-0793-2024; Halfter, Svenja/AGW-5810-2022; Trebilco, Rowan/I-5311-2012; murphy, eugene/GZL-1620-2022</t>
  </si>
  <si>
    <t>Melbourne-Thomas, Jess/0000-0001-6585-876X; Halfter, Svenja/0000-0002-0480-0350; Trebilco, Rowan/0000-0001-9712-8016; Grant, Susie/0000-0001-7941-3948; Meredith, Michael/0000-0002-7342-7756</t>
  </si>
  <si>
    <t>Natural Environment Research Council (NERC); Australian Research Council [FL160100131]; NERC [bas0100036, bas0100035, bas010011, NE/N018095/1] Funding Source: UKRI</t>
  </si>
  <si>
    <t>Natural Environment Research Council (NERC)(UK Research &amp; Innovation (UKRI)Natural Environment Research Council (NERC)); Australian Research Council(Australian Research Council); NERC(UK Research &amp; Innovation (UKRI)Natural Environment Research Council (NERC))</t>
  </si>
  <si>
    <t>The BAS authors (DB, RC, SG, SHi, KH, MM, and EM) are supported by the Natural Environment Research Council (NERC) core funding to BAS. SHa was supported by the Australian Research Council through a Laureate awarded to Philip Wallace Boyd, IMAS, UTAS, Australia (FL160100131).</t>
  </si>
  <si>
    <t>JAN 8</t>
  </si>
  <si>
    <t>10.3389/fmars.2020.615214</t>
  </si>
  <si>
    <t>PX1FK</t>
  </si>
  <si>
    <t>WOS:000611108800015</t>
  </si>
  <si>
    <t>Chernonozhkin, SM; McKibbin, SJ; Goderis, S; Van Malderen, SJM; Claeys, P; Vanhaecke, F</t>
  </si>
  <si>
    <t>Chernonozhkin, Stepan M.; McKibbin, Seann J.; Goderis, Steven; Van Malderen, Stijn J. M.; Claeys, Philippe; Vanhaecke, Frank</t>
  </si>
  <si>
    <t>New constraints on the formation of main group pallasites derived from in situ trace element analysis and 2D mapping of olivine and phosphate</t>
  </si>
  <si>
    <t>LA-ICP-MS; Element mapping; Pallasite; Olivine; Phosphate; Oscillatory zoning; Merrillite; Stanfieldite</t>
  </si>
  <si>
    <t>Pallasites are stony-iron meteorites consisting mainly of olivine and Fe-Ni metal with a formation history that remains widely debated. Despite their simple mineralogy, relatively limited data are available on their geochemistry and the lateral elemental distribution in individual pallasite olivine crystals. In this work, laser ablation - inductively coupled plasma - mass spectrometry (LA-ICP-MS) was used for the elemental analysis of both pallasite olivine and phosphate phases, including 2D trace element mapping of olivine crystals. While the results obtained are in good agreement with literature values, important differences are observed for Al and Ni concentrations compared with bulk analytical methods. The element distribution maps reveal complex zoning in pallasite olivine, which can be explained based on i) diffusion gradients formed during olivine cooling, ii) the crystal chemistry of element substitution due to charge-balancing, and iii) inherited features of olivine before the metal-olivine mixing. Oscillatory zoning in an olivine crystal from Imilac provides strong evidence for the olivine not being a restite of partial melting, but rather having crystallized from a melt. Concentrations of Cr and Al are correlated both within single olivine crystals and between olivine crystals of different pallasites, forming a 1:1 linear trend. This likely results from a spinel-type charge-balancing substitution mechanism in pallasite olivine. Additionally, principle component analysis of laterally resolved multi-element concentration data of pallasite olivine provides an independent measure of the genetic relationships between the different main group pallasites within their parent body (-ies). Rare earth element (REE) contents of pallasite phosphate grains range from concentrations typically measured for chondritic or primitive achondrite-like phosphates to more (light) RE-depleted signatures, revealing the overall primitive nature of the melts from which the phosphate minerals crystallized. Phosphate in pallasites may thus have formed through the consumption of apatites during pro-grade metamorphism, melting, and melt extraction. Combined, the trace element signatures of olivine and phosphate in pallasites of the main group (PMG) suggest that these meteorites are common products of planetary processes on chondritic or primitive achondrite-like precursor bodies, with the different subgroups highlighting distinct formation and evolution histories.</t>
  </si>
  <si>
    <t>[Chernonozhkin, Stepan M.; Van Malderen, Stijn J. M.; Vanhaecke, Frank] Univ Ghent, Dept Chem Atom &amp; Mass Spectrometry, A&amp;MS Res Unit, Campus Sterre,Krijgslaan,281-S12, B-9000 Ghent, Belgium; [McKibbin, Seann J.] Georg August Univ Gottingen, Abt Isotopengeol, Geowissensch Zentrum, Goldschmidtstr 1, D-37073 Gottingen, Germany; [Goderis, Steven; Claeys, Philippe] Vrije Univ Brussel, Analyt Environm &amp; Geochem, Pleinlaan 2, B-1050 Brussels, Belgium</t>
  </si>
  <si>
    <t>Ghent University; University of Gottingen; Vrije Universiteit Brussel</t>
  </si>
  <si>
    <t>Chernonozhkin, SM (corresponding author), Univ Ghent, Dept Chem Atom &amp; Mass Spectrometry, A&amp;MS Res Unit, Campus Sterre,Krijgslaan,281-S12, B-9000 Ghent, Belgium.</t>
  </si>
  <si>
    <t>Stepan.Chernonozhkin@gmail.com</t>
  </si>
  <si>
    <t>(VUB), VRIJE UNIVERSITEIT BRUSSEL/B-4895-2008; Goderis, Steven/F-9908-2011; Vanhaecke, Frank/AAO-4582-2020</t>
  </si>
  <si>
    <t>(VUB), VRIJE UNIVERSITEIT BRUSSEL/0000-0002-4585-7687; Goderis, Steven/0000-0002-6666-7153; Vanhaecke, Frank/0000-0002-1884-3853; Chernonozhkin, Stepan/0000-0003-4521-0805</t>
  </si>
  <si>
    <t>Interuniversity Attraction Poles Program; Belgian Science Policy Office (BELSPO); Flemish Research Foundation (FWO) [30442502]; Alexander von Humboldt Foundation; FWO; BELSPO; VUB Strategic Research; BOF-UGent; Teledyne CETAC Technologies; NSF; NASA</t>
  </si>
  <si>
    <t>Interuniversity Attraction Poles Program(Belgian Federal Science Policy Office); Belgian Science Policy Office (BELSPO)(Belgian Federal Science Policy Office); Flemish Research Foundation (FWO)(FWO); Alexander von Humboldt Foundation(Alexander von Humboldt Foundation); FWO(FWO); BELSPO(Belgian Federal Science Policy Office); VUB Strategic Research; BOF-UGent; Teledyne CETAC Technologies; NSF(National Science Foundation (NSF)); NASA(National Aeronautics &amp; Space Administration (NASA))</t>
  </si>
  <si>
    <t>This research was funded by the Planet Topers, Interuniversity Attraction Poles Program initiated by the Belgian Science Policy Office (BELSPO). SCh acknowledges his postdoctoral fellowship from the Flemish Research Foundation (FWO) in form of an Excellence of Science (EoS) project (ET-HoME - ID 30442502). SVM is a postdoctoral fellow of the Research Foundation - Flanders. SJM was supported by a postdoctoral fellowship from the Alexander von Humboldt Foundation. SG and PC acknowledge the support from the FWO, BELSPO and the VUB Strategic Research. FV acknowledges the support from FWO under the form of the aforementioned Excellence of Science (EoS) project and BOF-UGent. He also wants to acknowledge Teledyne CETAC Technologies for logistic and financial support. US Antarctic meteorite samples have been recovered by the Antarctic Search for Meteorites (ANSMET) program, which has been funded by the NSF and NASA, and characterized and curated by the Department of Mineral Sciences of the Smithsonian Institution and Astromaterials Curation Office at NASA Johnson Space Center. The Smithsonian Museum is especially acknowledged for lending the section of Cumulus Peak 04071. The Research School of Earth Sciences, Australian National University, and the Royal Belgian Institute of Natural Sciences are thanked for providing additional pallasite samples. Dr. Anastasiya Sergievskaya is acknowledged for typesetting and editing of the data tables of the manuscript. David Chew, Andrew M. Davis, and one anonymous reviewer are acknowledged for their comments and corrections which helped improving the quality of the manuscript.</t>
  </si>
  <si>
    <t>10.1016/j.chemgeo.2020.119996</t>
  </si>
  <si>
    <t>WOS:000615171000002</t>
  </si>
  <si>
    <t>Shen, Q; Wu, HM; Wang, HH; Zhao, QL; Xue, J; Ma, JF; Wang, HX</t>
  </si>
  <si>
    <t>Shen, Qing; Wu, Huanming; Wang, Honghai; Zhao, Qiaoling; Xue, Jing; Ma, Jianfeng; Wang, Haixing</t>
  </si>
  <si>
    <t>Monodisperse microsphere-based immobilized metal affinity chromatography approach for preparing Antarctic krill phospholipids followed by HILIC-MS analysis</t>
  </si>
  <si>
    <t>FOOD CHEMISTRY</t>
  </si>
  <si>
    <t>Monodisperse microsphere; Immobilized metal affinity chromatography; Lipidomics; Krill; Mass spectrometry</t>
  </si>
  <si>
    <t>SOLID-PHASE EXTRACTION; MASS-SPECTROMETRY; OXIDATION CHARACTERISTICS; EUPHAUSIA-SUPERBA; OIL; LIPIDOMICS</t>
  </si>
  <si>
    <t>Phospholipids enriched krill is a functional food beneficial in cardiovascular diseases. Herein, monodisperse microsphere-based immobilized metal affinity chromatographic material (MM-IMAC) was synthesized with Ti4+ incorporated to enrich phospholipids from krill by coordination with phosphate group. The extract was profiled by hydrophilic interaction chromatography-mass spectrometry (HILIC-MS) with 154 phospholipid molecular species detected. The parameters were loading solvent n-hexane/isopmpanol (2:8, v/v), flow rate 0.8 mL.min(-1), and eluting volume 1 mL. Besides, eicosapentaenoic and docosahexaenoic acids structured phospholipids were located, such as phosphatidylcholine (PC) 20:5/22:6, phosphatidylinositol (PI) 18:0/20:5, etc. Finally, this method was validated in linearity (R-2 &gt;= 0.9953), sensitivity (LOD &lt;= 0.53 mu g.mL(-1) and LOQ &lt;= 1.66 mu g.mL(-1)), precision (RSDintraday &lt;= 4.86% and RSDinterday &lt;= 6.25%), and recovery (58-83%). It indicated that the MM-Ti4+-IMAC-HILIC-MS was reliable and efficient in specific study of phospholipids in food matrix.</t>
  </si>
  <si>
    <t>[Shen, Qing; Ma, Jianfeng; Wang, Haixing] Wenzhou Med Univ, Zhejiang Prov Key Lab Anesthesiol, Affiliated Hosp 2, 109 Xueyuan West Rd, Wenzhou, Peoples R China; [Shen, Qing; Ma, Jianfeng; Wang, Haixing] Wenzhou Med Univ, Yuying Childrens Hosp, 109 Xueyuan West Rd, Wenzhou, Peoples R China; [Shen, Qing; Wang, Honghai; Xue, Jing] Zhejiang Gongshang Univ, Collaborat Innovat Ctr Seafood Deep Proc, Inst Seafood, Zhejiang Prov Joint Key Lab Aquat Prod Proc, Hangzhou, Peoples R China; [Wu, Huanming] Ningbo Univ, Inst Mass Spectrometry, Zhejiang Prov Key Lab Adv Mass Spectrometry &amp; Mol, Ningbo 315211, Zhejiang, Peoples R China; [Zhao, Qiaoling] Zhoushan Inst Food &amp; Drug Control, Zhoushan 316000, Peoples R China</t>
  </si>
  <si>
    <t>Wenzhou Medical University; Wenzhou Medical University; Zhejiang Gongshang University; Ningbo University</t>
  </si>
  <si>
    <t>Wang, HX (corresponding author), Wenzhou Med Univ, Zhejiang Prov Key Lab Anesthesiol, Affiliated Hosp 2, 109 Xueyuan West Rd, Wenzhou, Peoples R China.;Wang, HX (corresponding author), Wenzhou Med Univ, Yuying Childrens Hosp, 109 Xueyuan West Rd, Wenzhou, Peoples R China.;Xue, J (corresponding author), Zhejiang Gongshang Univ, Collaborat Innovat Ctr Seafood Deep Proc, Inst Seafood, Zhejiang Prov Joint Key Lab Aquat Prod Proc, Hangzhou, Peoples R China.</t>
  </si>
  <si>
    <t>xuejing@zjgsu.edu.cn; wanghaixing@wmu.edu.cn</t>
  </si>
  <si>
    <t>Ma, Jianfeng/GZB-0110-2022</t>
  </si>
  <si>
    <t>Wang, Haixing/0000-0003-4846-8449</t>
  </si>
  <si>
    <t>National Key R&amp;D Program of China [2018YFD0901103]; Zhejiang Provincial Public Welfare Technology Research Project [LGN18C200001, LGF19H180013]; project of Zhejiang Provincial Food and Drug Administration [2018001]</t>
  </si>
  <si>
    <t>National Key R&amp;D Program of China; Zhejiang Provincial Public Welfare Technology Research Project; project of Zhejiang Provincial Food and Drug Administration</t>
  </si>
  <si>
    <t>This work was supported by the National Key R&amp;D Program of China (2018YFD0901103), the Zhejiang Provincial Public Welfare Technology Research Project (LGN18C200001 and LGF19H180013), and the project of Zhejiang Provincial Food and Drug Administration (2018001).</t>
  </si>
  <si>
    <t>0308-8146</t>
  </si>
  <si>
    <t>1873-7072</t>
  </si>
  <si>
    <t>FOOD CHEM</t>
  </si>
  <si>
    <t>Food Chem.</t>
  </si>
  <si>
    <t>MAY 15</t>
  </si>
  <si>
    <t>10.1016/j.foodchem.2020.128585</t>
  </si>
  <si>
    <t>Chemistry, Applied; Food Science &amp; Technology; Nutrition &amp; Dietetics</t>
  </si>
  <si>
    <t>Chemistry; Food Science &amp; Technology; Nutrition &amp; Dietetics</t>
  </si>
  <si>
    <t>PT1SL</t>
  </si>
  <si>
    <t>WOS:000608399800012</t>
  </si>
  <si>
    <t>Yu, L; Sun, J; Hui, ZL; Xiong, XJ; Jin, SS; Wang, L; Yang, GB; Guo, YL; Ju, X; Chen, L; Hu, XM; Li, Y</t>
  </si>
  <si>
    <t>Yu, Long; Sun, Jia; Hui, Zhenli; Xiong, Xuejun; Jin, Shanshan; Wang, Lu; Yang, Guangbing; Guo, Yanliang; Ju, Xia; Chen, Liang; Hu, Xiaomin; Li, Ying</t>
  </si>
  <si>
    <t>The Ocean Heat Content Changes in the South China Sea due to Tropical Cyclones with Different Tracks</t>
  </si>
  <si>
    <t>PURE AND APPLIED GEOPHYSICS</t>
  </si>
  <si>
    <t>Ocean heat content; upper-ocean; tropical cyclone; South China Sea</t>
  </si>
  <si>
    <t>ANTARCTIC MODE WATER; IMPACT; TRANSPORT; PASSAGE; VARIABILITY; REANALYSIS; CLIMATE; FLUXES; SPRAY; WIND</t>
  </si>
  <si>
    <t>The influences of the tropical cyclones (TCs) on the ocean heat content (OHC) of the South China Sea (SCS) was investigated by observations and numerical simulations. Ensemble analyses based on observations showed notable differences in OHC changes caused by TCs with different tracks: (1) TCs which generated over the western North Pacific (WNP) and did not enter the SCS (TC-P) decreased the OHC mainly in the central SCS while increasing the OHC in southern SCS and coastal areas along South China; (2) TCs which generated over the WNP and entered the SCS (TC-PS) decreased the OHC in most of the SCS beyond the coastal areas with a higher amplitude than that caused by TC-P; and (3) TCs which generated over the SCS (TC-S) induced the strongest OHC decrease and a distinct OHC increase in the southeastern SCS and Sulu Sea (SS). The distinct response of the SCS OHC was mainly attributed to the different surface heat fluxes and oceanic transports caused by TCs. Strong surface heat flux proximal to TC tracks led to ocean heat release to the atmosphere and decreased the OHC in these areas, while the oceanic current caused by the TC cyclonic wind field transported the OHC to areas distant from the TC center. Eastward transport of the OHC south of 15 degrees N increased the OHC in the southeastern SCS and SS. These results expressed the detailed response of the OHC to TCs with different tracks over the WNP and SCS, and clarified the influences of TCs on the ocean environments of the SCS and for predicting the changes in the SCS.</t>
  </si>
  <si>
    <t>[Yu, Long; Sun, Jia; Hui, Zhenli; Xiong, Xuejun; Yang, Guangbing; Guo, Yanliang; Ju, Xia; Chen, Liang; Hu, Xiaomin; Li, Ying] Minist Nat Resources, Inst Oceanog 1, Qingdao 266061, Peoples R China; [Yu, Long; Sun, Jia; Hui, Zhenli; Xiong, Xuejun; Yang, Guangbing; Guo, Yanliang; Ju, Xia; Chen, Liang; Hu, Xiaomin; Li, Ying] Qingdao Natl Lab Marine Sci &amp; Technol, Lab Reg Oceanog &amp; Numer Modeling, Qingdao, Peoples R China; [Yu, Long; Sun, Jia; Hui, Zhenli; Xiong, Xuejun; Wang, Lu; Yang, Guangbing; Guo, Yanliang; Ju, Xia; Chen, Liang; Hu, Xiaomin; Li, Ying] Minist Nat Resources, Key Lab Marine Sci &amp; Numer Modeling, Qingdao, Peoples R China; [Jin, Shanshan] Natl Univ Def Technol, Coll Meteorol &amp; Oceanog, Nanjing, Peoples R China; [Wang, Lu] Univ Massachusetts Dartmouth, Sch Marine Sci &amp; Technol, New Bedford, MA USA</t>
  </si>
  <si>
    <t>First Institute of Oceanography, Ministry of Natural Resources; Ministry of Natural Resources of the People's Republic of China; Laoshan Laboratory; Ministry of Natural Resources of the People's Republic of China; National University of Defense Technology - China; University of Massachusetts System; University Massachusetts Dartmouth</t>
  </si>
  <si>
    <t>Sun, J (corresponding author), Minist Nat Resources, Inst Oceanog 1, Qingdao 266061, Peoples R China.;Sun, J (corresponding author), Qingdao Natl Lab Marine Sci &amp; Technol, Lab Reg Oceanog &amp; Numer Modeling, Qingdao, Peoples R China.;Sun, J (corresponding author), Minist Nat Resources, Key Lab Marine Sci &amp; Numer Modeling, Qingdao, Peoples R China.</t>
  </si>
  <si>
    <t>sunjia@fio.org.cn</t>
  </si>
  <si>
    <t>Hu, Xiaomin/GRY-1539-2022; Sun, Jia/H-5043-2015</t>
  </si>
  <si>
    <t>Sun, Jia/0000-0002-8703-8161</t>
  </si>
  <si>
    <t>Basic Scientific Fund for National Public Research Institutes of China [2020Q05]; National Natural Science Foundation of China [41706034, 41376038]; Laboratory for Regional Oceanography and Numerical Modeling, Qingdao National Laboratory for Marine Science and Technology [2019A02]; National Science and Technology Major Project [2016ZX05057015]; National Programme on Global Change and Air-Sea Interaction [GASI-03-01-01-02, GASI-IPOVAI-01-05]; NSFC-Shandong Joint Fund for Marine Science Research Centers [U1606405]</t>
  </si>
  <si>
    <t>Basic Scientific Fund for National Public Research Institutes of China; National Natural Science Foundation of China(National Natural Science Foundation of China (NSFC)); Laboratory for Regional Oceanography and Numerical Modeling, Qingdao National Laboratory for Marine Science and Technology; National Science and Technology Major Project; National Programme on Global Change and Air-Sea Interaction; NSFC-Shandong Joint Fund for Marine Science Research Centers</t>
  </si>
  <si>
    <t>This work was supported by the Basic Scientific Fund for National Public Research Institutes of China (2020Q05), the National Natural Science Foundation of China (41706034 and 41376038), Laboratory for Regional Oceanography and Numerical Modeling, Qingdao National Laboratory for Marine Science and Technology (2019A02); National Science and Technology Major Project (2016ZX05057015), National Programme on Global Change and Air-Sea Interaction (GASI-03-01-01-02 and GASI-IPOVAI-01-05), and NSFC-Shandong Joint Fund for Marine Science Research Centers (U1606405).</t>
  </si>
  <si>
    <t>SPRINGER BASEL AG</t>
  </si>
  <si>
    <t>BASEL</t>
  </si>
  <si>
    <t>PICASSOPLATZ 4, BASEL, 4052, SWITZERLAND</t>
  </si>
  <si>
    <t>0033-4553</t>
  </si>
  <si>
    <t>1420-9136</t>
  </si>
  <si>
    <t>PURE APPL GEOPHYS</t>
  </si>
  <si>
    <t>Pure Appl. Geophys.</t>
  </si>
  <si>
    <t>10.1007/s00024-020-02630-w</t>
  </si>
  <si>
    <t>QA4RV</t>
  </si>
  <si>
    <t>WOS:000606828400007</t>
  </si>
  <si>
    <t>Zheng, F; Li, JP; Yao, SL</t>
  </si>
  <si>
    <t>Zheng, Fei; Li, Jianping; Yao, Shuailei</t>
  </si>
  <si>
    <t>Intermodel Diversity of Simulated Long-term Changes in the Austral Winter Southern Annular Mode: Role of the Southern Ocean Dipole</t>
  </si>
  <si>
    <t>ADVANCES IN ATMOSPHERIC SCIENCES</t>
  </si>
  <si>
    <t>Southern Annular Mode; Southern Ocean Dipole; intermodel spread; air-sea interactions</t>
  </si>
  <si>
    <t>EXTRATROPICAL SST ANOMALIES; ANTARCTIC OSCILLATION; CLIMATE-CHANGE; CIRCULATION; IMPACTS; CMIP5; PRECIPITATION; FEEDBACK; MONSOON; TRENDS</t>
  </si>
  <si>
    <t>The Southern Annular Mode (SAM) plays an important role in regulating Southern Hemisphere extratropical circulation. State-of-the-art models exhibit intermodel spread in simulating long-term changes in the SAM. Results from Atmospheric Model Intercomparison Project (AMIP) experiments from 28 models archived in CMIP5 show that the intermodel spread in the linear trend in the austral winter (June-July-August) SAM is significant, with an intermodel standard deviation of 0.28 (10 yr)(-1), larger than the multimodel ensemble mean of 0.18 (10 yr)(-1). This study explores potential factors underlying the model difference from the aspect of extratropical sea surface temperature (SST). Extratropical SST anomalies related to the SAM exhibit a dipole-like structure between middle and high latitudes, referred to as the Southern Ocean Dipole (SOD). The role of SOD-like SST anomalies in influencing the SAM is found in the AMIP simulations. Model performance in simulating the SAM trend is linked with model skill in reflecting the SOD-SAM relationship. Models with stronger linkage between the SOD and the SAM tend to simulate a stronger SAM trend. The explained variance is about 40% in the AMIP runs. These results suggest improved simulation of the SOD-SAM relationship may help reproduce long-term changes in the SAM.</t>
  </si>
  <si>
    <t>[Zheng, Fei; Yao, Shuailei] Chinese Acad Sci, Inst Atmospher Phys, State Key Lab Numer Modeling Atmospher Sci &amp; Geop, Beijing 10029, Peoples R China; [Li, Jianping] Ocean Univ China, Inst Adv Ocean Studies, Frontiers Sci Ctr Deep Ocean Multispheres &amp; Earth, Key Lab Phys Oceanog, Qingdao 266100, Peoples R China; [Li, Jianping] Pilot Qingdao Natl Lab Marine Sci &amp; Technol QNLM, Lab Ocean Dynam &amp; Climate, Qingdao 266100, Peoples R China</t>
  </si>
  <si>
    <t>Chinese Academy of Sciences; Institute of Atmospheric Physics, CAS; Ocean University of China; Laoshan Laboratory</t>
  </si>
  <si>
    <t>Zheng, F (corresponding author), Chinese Acad Sci, Inst Atmospher Phys, State Key Lab Numer Modeling Atmospher Sci &amp; Geop, Beijing 10029, Peoples R China.</t>
  </si>
  <si>
    <t>zhengfei08@mail.iap.ac.cn</t>
  </si>
  <si>
    <t>li, jianping/HGB-6631-2022; Zheng, Fei/AAV-7512-2021; Li, Jianping/I-2661-2012</t>
  </si>
  <si>
    <t>Zheng, Fei/0000-0001-6135-6148; Li, Jianping/0000-0003-0625-1575</t>
  </si>
  <si>
    <t>Strategic Priority Research Program of the Chinese Academy of Sciences [XDA19070402]; National Key Research and Development Project [2018YFA0606404]; National Natural Science Foundation of China [41790474, 41775090]</t>
  </si>
  <si>
    <t>Strategic Priority Research Program of the Chinese Academy of Sciences(Chinese Academy of Sciences); National Key Research and Development Project; National Natural Science Foundation of China(National Natural Science Foundation of China (NSFC))</t>
  </si>
  <si>
    <t>This work was jointly supported by the Strategic Priority Research Program of the Chinese Academy of Sciences (Grant No. XDA19070402), a National Key Research and Development Project (Grant No. 2018YFA0606404), and the National Natural Science Foundation of China (Grant Nos. 41790474 and 41775090). We acknowledge the World Climate Research Programme's Working Group on Coupled Modelling, which is responsible for CMIP, and we thank the climate modeling groups for producing and making available their model output. The authors appreciate the comments of the two anonymous reviewers and the editor.</t>
  </si>
  <si>
    <t>0256-1530</t>
  </si>
  <si>
    <t>1861-9533</t>
  </si>
  <si>
    <t>ADV ATMOS SCI</t>
  </si>
  <si>
    <t>Adv. Atmos. Sci.</t>
  </si>
  <si>
    <t>10.1007/s00376-020-0241-1</t>
  </si>
  <si>
    <t>QC5FL</t>
  </si>
  <si>
    <t>WOS:000606210400001</t>
  </si>
  <si>
    <t>Polycyclic Aromatic Hydrocarbons, Mercury and Arsenic Content in Soils of Larsemann Hills, Pravda Coast and Fulmar Island, Eastern Antarctica</t>
  </si>
  <si>
    <t>BULLETIN OF ENVIRONMENTAL CONTAMINATION AND TOXICOLOGY</t>
  </si>
  <si>
    <t>Trace elements; PAHs; Soils; Eastern Antarctica; Environmental pollution</t>
  </si>
  <si>
    <t>KING GEORGE ISLAND; RESEARCH STATION; MCMURDO SOUND; SEDIMENTS; CONTAMINATION; TEMPERATURE; ENVIRONMENT; ELEMENTS; METALS; REGION</t>
  </si>
  <si>
    <t>This study is aimed at investigation of various potential contaminants (arsenic, mercury and polycyclic aromatic hydrocarbons) content in soils of different landscapes of Eastern Antarctica ice-free areas. Our data not only showed that intensive human impact might result in significant direct contamination of surrounding landforms, but also revealed a specific role of ornithogenic transport in distribution of contaminants. Analysis revealed that the contents of investigated elements were 0.100-8.055 mg kg(-1) (arsenic), 0.025-0.027 mg kg(-1) (mercury) in Larsemann Hills and 0.100-1.213 mg kg(-1) (arsenic), 0.023-0.593 mg kg(-1) (mercury) in vicinities of Mirny station and Fulmar Island. Accumulation of some elements in guano-derived and moss materials lead to higher values of other soil pollution indices at natural sites. Results of our study revealed the predominance of light molecular weight PAHs (fluorene and acenaphthylene) in studied soils. Results of our study are not completely in agreement with the idea of an practically uncontaminated Antarctic ecosystem which was previously reported for Eastern Antarctica ice-free areas. Various human activities carried out at local scale have been found to be responsible for increase of metal levels in studied Antarctic environments.</t>
  </si>
  <si>
    <t>Alekseev, Ivan/H-5338-2016; Abakumov, Evgeny/AAO-8580-2020; Abakumov, e_abakumov@mail.ru/ADJ-1297-2022</t>
  </si>
  <si>
    <t>Alekseev, Ivan/0000-0002-0512-3849; Abakumov, Evgeny/0000-0002-5248-9018; Abakumov, e_abakumov@mail.ru/0000-0002-5248-9018</t>
  </si>
  <si>
    <t>Russian Scientific Foundation for Basic Research [19-54-18003, 19-05-50107, 18-04-00900]; Russian Antarctic Expedition (Arctic and Antarctic Research Institute, Saint Petersburg, Russia)</t>
  </si>
  <si>
    <t>Russian Scientific Foundation for Basic Research(Russian Science Foundation (RSF)); Russian Antarctic Expedition (Arctic and Antarctic Research Institute, Saint Petersburg, Russia)</t>
  </si>
  <si>
    <t>This study was supported by Russian Scientific Foundation for Basic Research, Grants No. 19-54-18003 Assessment of regional contribution Assessment of regional of soils of Antarctic Islands into global carbon balance including degree of stabilization and humification of organic matter, 19-05-50107 The role of organic matter microparticles in degradation of glacier cover of polar regions and formation of soil-like bodies, 18-04-00900 Ornithogenic soils of Antarctica: formation, geography and biogeochemistry and Russian Antarctic Expedition (Arctic and Antarctic Research Institute, Saint Petersburg, Russia).</t>
  </si>
  <si>
    <t>0007-4861</t>
  </si>
  <si>
    <t>1432-0800</t>
  </si>
  <si>
    <t>B ENVIRON CONTAM TOX</t>
  </si>
  <si>
    <t>Bull. Environ. Contam. Toxicol.</t>
  </si>
  <si>
    <t>10.1007/s00128-020-03063-w</t>
  </si>
  <si>
    <t>QH9SI</t>
  </si>
  <si>
    <t>WOS:000606306300001</t>
  </si>
  <si>
    <t>Bartlett, JC; Convey, P; Hughes, KA; Thorpe, SE; Hayward, SAL</t>
  </si>
  <si>
    <t>Bartlett, Jesamine C.; Convey, P.; Hughes, K. A.; Thorpe, S. E.; Hayward, S. A. L.</t>
  </si>
  <si>
    <t>Ocean currents as a potential dispersal pathway for Antarctica's most persistent non-native terrestrial insect</t>
  </si>
  <si>
    <t>Near-surface drifters; Chironomidae; Salinity tolerance; Invasive species; Insect; Physiology; Climate change</t>
  </si>
  <si>
    <t>BELGICA-ANTARCTICA; CARABID BEETLE; MIDGE; DIPTERA; LIFE; INVERTEBRATE; CHIRONOMIDAE; PENINSULA; PHENOLOGY; TOLERANCE</t>
  </si>
  <si>
    <t>The non-native midge Eretmoptera murphyi is Antarctica's most persistent non-native insect and is known to impact the terrestrial ecosystems. It inhabits by considerably increasing litter turnover and availability of soil nutrients. The midge was introduced to Signy Island, South Orkney Islands, from its native South Georgia, and routes of dispersal to date have been aided by human activities, with little known about non-human-assisted methods of dispersal. This study is the first to determine the potential for dispersal of a terrestrial invertebrate species in Antarctica by combining physiological sea water tolerance data with quantitative assessments of ocean current journey times. Fourth instar larvae tolerated sea water submergence for up to 21 days, but submerged egg sacs had significantly reduced hatching success. Using near-surface drifter data, we conclude that ocean current dispersal from Signy Island would not present a risk of species transfer beyond the South Orkney Islands on the tested timescales. However, if E. murphyi were to be introduced to the South Shetlands Islands or Adelaide Island, which are located offshore of the Antarctic Peninsula, there would be a risk of successful oceanic dispersal to neighbouring islands and the Antarctic Peninsula mainland. This study emphasises the need for effective biosecurity measures and demonstrates the role that currently undocumented pathways may have in dispersing non-native species.</t>
  </si>
  <si>
    <t>[Bartlett, Jesamine C.; Hayward, S. A. L.] Univ Birmingham, Birmingham B15 2TT, W Midlands, England; [Bartlett, Jesamine C.] Norwegian Inst Nat Res, N-7034 Trondheim, Norway; [Convey, P.; Hughes, K. A.; Thorpe, S. E.] British Antarctic Survey, Nat Environm Res Council, Cambridge CB3 0ET, England</t>
  </si>
  <si>
    <t>University of Birmingham; Norwegian Institute Nature Research; UK Research &amp; Innovation (UKRI); Natural Environment Research Council (NERC); NERC British Antarctic Survey</t>
  </si>
  <si>
    <t>Bartlett, JC (corresponding author), Univ Birmingham, Birmingham B15 2TT, W Midlands, England.;Bartlett, JC (corresponding author), Norwegian Inst Nat Res, N-7034 Trondheim, Norway.</t>
  </si>
  <si>
    <t>jesamine.bartlett@nina.no</t>
  </si>
  <si>
    <t>Hughes, Kevin/JVZ-0793-2024; Convey, Peter/AAV-5728-2020</t>
  </si>
  <si>
    <t>Convey, Peter/0000-0001-8497-9903; Bartlett, Jesamine/0000-0001-7464-5440</t>
  </si>
  <si>
    <t>Natural Environment Research Council [RRBN19276]; British Antarctic Survey [CASS121]; NERC [bas0100036, bas0100035, bas010011] Funding Source: UKRI</t>
  </si>
  <si>
    <t>Natural Environment Research Council(UK Research &amp; Innovation (UKRI)Natural Environment Research Council (NERC)); British Antarctic Survey; NERC(UK Research &amp; Innovation (UKRI)Natural Environment Research Council (NERC))</t>
  </si>
  <si>
    <t>The funding was supported by Natural Environment Research Council (Grant No. RRBN19276) and British Antarctic Survey (Grant No. CASS121).</t>
  </si>
  <si>
    <t>10.1007/s00300-020-02792-2</t>
  </si>
  <si>
    <t>WOS:000606215800001</t>
  </si>
  <si>
    <t>de Souza, LMD; Ogaki, MB; Câmara, PEAS; Pinto, OHB; Convey, P; Carvalho-Silva, M; Rosa, CA; Rosa, LH</t>
  </si>
  <si>
    <t>de Souza, Lauren M. D.; Ogaki, Mayara B.; Camara, Paulo E. A. S.; Pinto, Otavio H. B.; Convey, Peter; Carvalho-Silva, Micheline; Rosa, Carlos A.; Rosa, Luiz H.</t>
  </si>
  <si>
    <t>Assessment of fungal diversity present in lakes of Maritime Antarctica using DNA metabarcoding: a temporal microcosm experiment</t>
  </si>
  <si>
    <t>EXTREMOPHILES</t>
  </si>
  <si>
    <t>Antarctica; Freshwater; Fungi; Ingoldian; Pounds</t>
  </si>
  <si>
    <t>COMMUNITIES; RESPONSES</t>
  </si>
  <si>
    <t>We evaluated the fungal diversity in two lakes on the South Shetland Islands, using DNA metabarcoding through high-throughput sequencing (HTS). A microcosm experiment was deployed for two consecutive years in lakes on Deception and King George islands to capture potential decomposer freshwater fungi. Analyses of the baits revealed 258,326 DNA reads distributed in 34 fungal taxa of the phyla Ascomycota, Basidiomycota, Mortierellomycota, Chytridiomycota and Rozellomycota. Tetracladium marchalianum, Tetracladium sp., Rozellomycota sp., Fungal sp. 1 and Fungal sp. 2 were the most common taxa detected. However, the majority of the communities comprised intermediate and rare taxa. Both fungal communities displayed moderate indices of diversity, richness and dominance. Only six taxa were detected in both lakes, including the most dominant T. marchalianum and Tetracladium sp. The high numbers of reads of the known aquatic saprotrophic hyphomycetes T. marchalianum and Tetracladium sp. in the baits suggest that these fungi may digest organic material in Antarctic lakes, releasing available carbon and nutrients to the other aquatic organisms present in the complex lake food web. Our data confirm that the use of cotton baits together with HTS approaches can be appropriate to study the diversity of resident freshwater fungi present in Antarctic lakes.</t>
  </si>
  <si>
    <t>[de Souza, Lauren M. D.; Ogaki, Mayara B.; Rosa, Carlos A.; Rosa, Luiz H.] Univ Fed Minas Gerais, Inst Ciencias Biol, Lab Microbiol Polar &amp; Conexoes Trop, Dept Microbiol, BR-31270901 Belo Horizonte, MG, Brazil; [Camara, Paulo E. A. S.; Carvalho-Silva, Micheline] Univ Brasilia, Dept Bot, Brasilia, DF, Brazil; [Pinto, Otavio H. B.] Univ Brasilia, Dept Biol Celular, Brasilia, DF, Brazil; [Convey, Peter] British Antarctic Survey, NERC, High Cross,Madingley Rd, Cambridge CB3 0ET, England</t>
  </si>
  <si>
    <t>Universidade Federal de Minas Gerais; Universidade de Brasilia; Universidade de Brasilia; UK Research &amp; Innovation (UKRI); Natural Environment Research Council (NERC); NERC British Antarctic Survey</t>
  </si>
  <si>
    <t>Rosa, LH (corresponding author), Univ Fed Minas Gerais, Inst Ciencias Biol, Lab Microbiol Polar &amp; Conexoes Trop, Dept Microbiol, BR-31270901 Belo Horizonte, MG, Brazil.</t>
  </si>
  <si>
    <t>lhrosa@icb.ufmg.br</t>
  </si>
  <si>
    <t>Ogaki, Mayara/AAE-3088-2021; Camara, Paulo/GPP-2054-2022; Convey, Peter/AAV-5728-2020</t>
  </si>
  <si>
    <t>Camara, Paulo/0000-0002-3944-996X; Convey, Peter/0000-0001-8497-9903; Silva, Micheline/0000-0002-2389-3804; Pinto, Otavio/0000-0002-8382-2987</t>
  </si>
  <si>
    <t>CNPq; PROANTAR; FAPEMIG; CoordenacAo de Aperfeicoamento de Pessoal de Nivel Superior-Brasil (CAPES); INCT Criosfera 2; NERC; NERC [bas0100036] Funding Source: UKRI</t>
  </si>
  <si>
    <t>CNPq(Conselho Nacional de Desenvolvimento Cientifico e Tecnologico (CNPQ)); PROANTAR; FAPEMIG(Fundacao de Amparo a Pesquisa do Estado de Minas Gerais (FAPEMIG)); CoordenacAo de Aperfeicoamento de Pessoal de Nivel Superior-Brasil (CAPES)(Coordenacao de Aperfeicoamento de Pessoal de Nivel Superior (CAPES)); INCT Criosfera 2; NERC(UK Research &amp; Innovation (UKRI)Natural Environment Research Council (NERC)); NERC(UK Research &amp; Innovation (UKRI)Natural Environment Research Council (NERC))</t>
  </si>
  <si>
    <t>This study received financial support from CNPq, PROANTAR, FAPEMIG, CoordenacAo de Aperfeicoamento de Pessoal de Nivel Superior-Brasil (CAPES), INCT Criosfera 2. P. Convey is supported by NERC core funding to the British Antarctic Survey's 'Biodiversity, Evolution and Adaptation' Team. We also thank congresswoman Jo Moraes and the Biological Sciences Institute of the University of Brasilia.</t>
  </si>
  <si>
    <t>SPRINGER JAPAN KK</t>
  </si>
  <si>
    <t>TOKYO</t>
  </si>
  <si>
    <t>SHIROYAMA TRUST TOWER 5F, 4-3-1 TORANOMON, MINATO-KU, TOKYO, 105-6005, JAPAN</t>
  </si>
  <si>
    <t>1431-0651</t>
  </si>
  <si>
    <t>1433-4909</t>
  </si>
  <si>
    <t>Extremophiles</t>
  </si>
  <si>
    <t>10.1007/s00792-020-01212-x</t>
  </si>
  <si>
    <t>Biochemistry &amp; Molecular Biology; Microbiology</t>
  </si>
  <si>
    <t>PT2AE</t>
  </si>
  <si>
    <t>WOS:000606169400001</t>
  </si>
  <si>
    <t>Drennan, R; Dahlgren, TG; Linse, K; Glover, AG</t>
  </si>
  <si>
    <t>Drennan, Regan; Dahlgren, Thomas G.; Linse, Katrin; Glover, Adrian G.</t>
  </si>
  <si>
    <t>Annelid Fauna of the Prince Gustav Channel, a Previously Ice-Covered Seaway on the Northeastern Antarctic Peninsula</t>
  </si>
  <si>
    <t>polychaeta; Weddell Sea; species checklist; Southern Ocean; benthic; morphology; taxonomy</t>
  </si>
  <si>
    <t>SOUTH SHETLAND ISLANDS; KING GEORGE ISLAND; WEDDELL SEA; POLYNOIDAE ANNELIDA; COASTAL WATERS; AMUNDSEN SEA; LARSEN-A; SHELF; HISTORY; OCEAN</t>
  </si>
  <si>
    <t>The Prince Gustav Channel is a narrow seaway located in the western Weddell Sea on the northeastern-most tip of the Antarctic Peninsula. The channel is notable for both its deep (&gt; 1200 m) basins, and a dynamic glacial history that most recently includes the break-up of the Prince Gustav Ice Shelf, which covered the southern portion of the channel until its collapse in 1995. However, the channel remains mostly unsampled, with very little known about its benthic biology. We present a preliminary account of the benthic annelid fauna of the Prince Gustav Channel in addition to samples from Duse Bay, a sheltered, glacier-influenced embayment in the northwestern portion of the channel. Samples were collected using an Agassiz Trawl, targeting megafaunal and large macrofaunal sized animals at depths ranging between 200-1200 m; the seafloor and associated fauna were also documented in situ using a Shallow Underwater Camera System (SUCS). Sample sites varied in terms of depth, substrate type, and current regime, and communities were locally variable across sites in terms of richness, abundance, and both taxonomic and functional composition. The most diverse family included the motile predator/scavenger Polynoidae, with 105 individuals in at least 12 morphospecies, primarily from a single site. This study provides first insights into diverse and spatially heterogeneous benthic communities in a dynamic habitat with continuing glacial influence, filling sampling gaps in a poorly studied region of the Southern Ocean at direct risk from climate change. These specimens will also be utilized in future molecular investigations, both in terms of describing the genetic biodiversity of this site and as part of wider phylogeographic and population genetic analyses assessing the connectivity, evolutionary origins, and demographic history of annelid fauna in the region.</t>
  </si>
  <si>
    <t>[Drennan, Regan; Glover, Adrian G.] Nat Hist Museum, Life Sci Dept, London, England; [Drennan, Regan] Univ Southampton, Ocean &amp; Earth Sci, Southampton, Hants, England; [Dahlgren, Thomas G.] NORCE Norwegian Res Ctr, Bergen, Norway; [Dahlgren, Thomas G.] Univ Gothenburg, Dept Marine Sci, Gothenburg, Sweden; [Linse, Katrin] British Antarctic Survey, Cambridge, England</t>
  </si>
  <si>
    <t>Natural History Museum London; University of Southampton; Norwegian Research Centre (NORCE); University of Gothenburg; UK Research &amp; Innovation (UKRI); Natural Environment Research Council (NERC); NERC British Antarctic Survey</t>
  </si>
  <si>
    <t>Drennan, R (corresponding author), Nat Hist Museum, Life Sci Dept, London, England.;Drennan, R (corresponding author), Univ Southampton, Ocean &amp; Earth Sci, Southampton, Hants, England.</t>
  </si>
  <si>
    <t>r.drennan@nhm.ac.uk</t>
  </si>
  <si>
    <t>Drennan, Regan/AAS-5913-2020</t>
  </si>
  <si>
    <t>Drennan, Regan/0000-0003-0137-5464; Dahlgren, Thomas/0000-0001-6854-2031</t>
  </si>
  <si>
    <t>National Environment Research Council; NERC INSPIRE DTP [NE/S007210/1]; Norwegian Research Centre NORCE; NERC urgency grant [JR17003a, NE/R012296/1]; NERC [NE/R012296/1, bas0100036] Funding Source: UKRI</t>
  </si>
  <si>
    <t>National Environment Research Council(UK Research &amp; Innovation (UKRI)Natural Environment Research Council (NERC)); NERC INSPIRE DTP; Norwegian Research Centre NORCE; NERC urgency grant(UK Research &amp; Innovation (UKRI)Natural Environment Research Council (NERC)); NERC(UK Research &amp; Innovation (UKRI)Natural Environment Research Council (NERC))</t>
  </si>
  <si>
    <t>This work was supported by the National Environment Research Council grants: RD has support by the NERC INSPIRE DTP (NE/S007210/1). KL is part of the British Antarctic Survey's Polar Science for Planet Earth Programme (NC-Science). TD was funded by the Norwegian Research Centre NORCE and the RSS James Clark Ross expedition JR17003a was funded by the NERC urgency grant NE/R012296/1 and enabled the participation of KL, AG, and TD.</t>
  </si>
  <si>
    <t>10.3389/fmars.2020.595303</t>
  </si>
  <si>
    <t>PV0MY</t>
  </si>
  <si>
    <t>Green Accepted, gold, Green Published</t>
  </si>
  <si>
    <t>WOS:000609691400001</t>
  </si>
  <si>
    <t>Gil-Solsona, R; Rodriguez-Mozaz, S; Diaz-Cruz, MS; Sunyer-Caldú, A; Luarte, T; Höfer, J; Galban-Malagón, C; Gago-Ferrero, P</t>
  </si>
  <si>
    <t>Gil-Solsona, R.; Rodriguez-Mozaz, S.; Diaz-Cruz, M. S.; Sunyer-Caldu, A.; Luarte, T.; Hofer, J.; Galban-Malagon, C.; Gago-Ferrero, P.</t>
  </si>
  <si>
    <t>A protocol for wide-scope non-target analysis of contaminants in small amounts of biota using bead beating tissuelyser extraction and LC-HRMS</t>
  </si>
  <si>
    <t>METHODSX</t>
  </si>
  <si>
    <t>Biota; Non-target screening; Suspect screening; Bead beating; Mixed-mode solid phase extraction; HRMS</t>
  </si>
  <si>
    <t>This work describes a robust and powerful method for wide-scope target and non-target analysis of xenobiotics in biota samples based on bead beating tissuelyser extraction, solid phase extraction (SPE) clean-up and further detection by liquid chromatography coupled to high resolution mass spectrometry (LC-HRMS). Unlike target methodologies, non-target methods usually aim at determining a wide range of still unknown substances with different physicochemical properties. Therefore, losses during the extraction process were minimised. Apart from that, the reduction of possible interferences showed to be necessary to expand the number of compounds that can be detected. This was achieved with an additional SPE clean-up step carried out with mixed-bed multi-layered cartridges. The method was validated with a set of 27 compounds covering a wide range of physicochemical properties, and further applied to the analysis of krill and fish samples. The bead beating extraction was efficient for a wide range of organic pollutants in small quantities of biota samples. Multi-layered solid phase extraction clean-up yield a wide xenobiotics coverage reducing matrix effects. Method validation with 27 compounds led to a suitable method for non-target analysis of organic pollutants in biota. (C) 2020 The Authors. Published by Elsevier B.V.</t>
  </si>
  <si>
    <t>[Gil-Solsona, R.; Rodriguez-Mozaz, S.; Gago-Ferrero, P.] Catalan Inst Water Res, Girona, Spain; [Gil-Solsona, R.; Diaz-Cruz, M. S.; Sunyer-Caldu, A.; Gago-Ferrero, P.] Spanish Council Sci Res CSIC, Severo Ochoa Excellence Ctr, Inst Environm Assessment &amp; Water Res IDAEA, Jordi Girona 18-26, E-08034 Barcelona, Spain; [Gil-Solsona, R.; Rodriguez-Mozaz, S.; Gago-Ferrero, P.] Univ Girona, Girona, Spain; [Luarte, T.] Univ Andres Bello, Fac Ciencias Vida, Med Conservac, Santiago, Chile; [Luarte, T.; Galban-Malagon, C.] POLARIX, Anillo Invest Ciencia Antartica, Santiago, Chile; [Hofer, J.] Pontificia Univ Catolica Valparaiso, Fac Ciencias Mar &amp; Geog, Escuela Ciencias Mar, Valparaiso, Chile; [Hofer, J.] Ctr FONDAP, Invest Dinam Ecosistemas Marinos Altas Latitu IDE, Valdivia, Chile; [Galban-Malagon, C.] Univ Mayor, GEMA Ctr Gen Ecol &amp; Environm, Huechuraba, Chile</t>
  </si>
  <si>
    <t>Institut Catala de Recerca de l'Aigua (ICRA); Consejo Superior de Investigaciones Cientificas (CSIC); CSIC - Centro de Investigacion y Desarrollo Pascual Vila (CID-CSIC); CSIC - Instituto de Diagnostico Ambiental y Estudios del Agua (IDAEA); Universitat de Girona; Universidad Andres Bello; Pontificia Universidad Catolica de Valparaiso; Universidad Mayor</t>
  </si>
  <si>
    <t>Gil-Solsona, R; Gago-Ferrero, P (corresponding author), Catalan Inst Water Res, Girona, Spain.;Galban-Malagón, C (corresponding author), POLARIX, Anillo Invest Ciencia Antartica, Santiago, Chile.</t>
  </si>
  <si>
    <t>ruben.gil@idaea.csic.es; cristobalgalvan@yahoo.es; pablo.gago@idaea.csic.es</t>
  </si>
  <si>
    <t>Rodriguez-Mozaz, Sara/P-6048-2014; Sunyer Caldú, Adrià/ITT-0593-2023; Galbán-Malagón, Cristobal/B-2170-2017; Sunyer Caldú, Adrià/IAM-9292-2023; Galban Malagon, Cristobal/J-2384-2015</t>
  </si>
  <si>
    <t>Sunyer Caldú, Adrià/0000-0001-5134-1196; Sunyer Caldú, Adrià/0000-0001-5134-1196; Galban Malagon, Cristobal/0000-0001-8397-5804; Diaz Cruz, Silvia/0000-0003-3331-4076; Hofer, Juan/0000-0002-5887-4929; Gil Solsona, Ruben/0000-0002-4269-1036; Gago-Ferrero, Pablo/0000-0002-5987-0399</t>
  </si>
  <si>
    <t>CERCA program - Spanish Ministry of Economy and Competitiveness (MINECO) [CTM2017-89701-C3-2-R]; Ramon y Cajal program [RYC-2014-16707]; Chilean Antarctic Institute [RT_12_17]; Chilean Agency for Research and Development through the FONDAP initiative [15150 0 03]; Anillos de Investigacion en Ciencia Antartica [ANID-PIA-ACT-INACH Anillo ACT192057]; Spanish Ministry of Science and Innovation [CEX2018-000794-S]</t>
  </si>
  <si>
    <t>CERCA program - Spanish Ministry of Economy and Competitiveness (MINECO); Ramon y Cajal program(Spanish Government); Chilean Antarctic Institute; Chilean Agency for Research and Development through the FONDAP initiative; Anillos de Investigacion en Ciencia Antartica; Spanish Ministry of Science and Innovation(Spanish Government)</t>
  </si>
  <si>
    <t>ICRA researchers thank funding from CERCA program. This work has been funded by the Spanish Ministry of Economy and Competitiveness (MINECO) : project PLAS-MED (CTM2017-89701-C3-2-R) . SRM acknowledges the Ramon y Cajal program (RYC-2014-16707) . This project has been funded by the Chilean Antarctic Institute through project RT_12_17. The Chilean Agency for Research and Development through the FONDAP initiative (grant no. 15150 0 03) Centro de Investigacion Dinamica de Ecosistemas Marinos de Altas Latitudes (IDEAL) ; and Anillos de Investigacion en Ciencia Antartica (grant no. ANID-PIA-ACT-INACH Anillo ACT192057) . IDAEA researchers acknowledge the Spanish Ministry of Science and Innovation (Severo Ochoa, Project CEX2018-000794-S) .</t>
  </si>
  <si>
    <t>2215-0161</t>
  </si>
  <si>
    <t>MethodsX</t>
  </si>
  <si>
    <t>10.1016/j.mex.2020.101193</t>
  </si>
  <si>
    <t>Emerging Sources Citation Index (ESCI)</t>
  </si>
  <si>
    <t>WG7QA</t>
  </si>
  <si>
    <t>WOS:000707188500024</t>
  </si>
  <si>
    <t>Piovesan, EK; Correia, OJ; Melo, RM; Lacerda, LD; Dos Santos, RO; Pinheiro, AP; Costa, FR; Sayao, JM; Kellner, AWA</t>
  </si>
  <si>
    <t>Piovesan, Enelise Katia; Correia Filho, Osvaldo Jose; Melo, Robbyson Mendes; Lacerda, Luiz Drude; Dos Santos, Rodolfo Otavio; Pinheiro, Allysson Pontes; Costa, Fabiana Rodrigues; Sayao, Juliana Manso; Armin Kellner, Alexander Wilhelm</t>
  </si>
  <si>
    <t>The Campanian-Maastrichtian interval at The Naze, James Ross Island, Antarctica: microbiostratigraphic and paleoenvironmental study</t>
  </si>
  <si>
    <t>CRETACEOUS RESEARCH</t>
  </si>
  <si>
    <t>Agglutinated foraminifera; Paleoecology; Biostratigraphy; Hg-TOC stratigraphy; Campanian-Maastrichtian</t>
  </si>
  <si>
    <t>LATE CRETACEOUS STRATIGRAPHY; SANTA-MARTA FORMATION; BENTHIC FORAMINIFERA; AGGLUTINATED FORAMINIFERA; DISTRIBUTION PATTERNS; ORGANIC-CARBON; SEA; BASIN; MERCURY; EXTINCTION</t>
  </si>
  <si>
    <t>A biostratigraphic and paleoenvironmental characterization of the Campanian-Maastrichtian deposits on The Naze (James Ross Island, Antarctica) based on the foraminiferal assemblages, lithofacies analysis, and Hg/total organic carbon (TOC) data was developed. The sedimentary deposits mapped in The Naze region showed an association of four sedimentary lithofacies, including greenish-gray claystone, shales with levels of concretion, bioturbated marl, and sandstone. The sedimentary deposits have been covered by a fifth lithofacies, the James Ross Island Volcanic Group (JRIVG), which consists of pyroclastic rocks interbedded with basalt bodies. The association of agglutinated foraminifera was found to consist mainly of Rzehakina epigona, Trochammina ribstonensis, Gaudryina healyi, Karreriella aegra, Dorothia elongata, Alveolophragmium macellarii, Cyclammina complanata and Spiroplectammina spectabilis, that allow to infer a Campanian-early Maastrichtian age to the studied interval. An association of opportunistic agglutinated foraminifera predominated in this stressful environment. The absence of Hg-TOC unassociated excursions ruled out distal volcanism as a source of environmental stress, while Hg/TOC ratio variability suggested that regional oceanic processes were the major environmental change driver. (C) 2020 Elsevier Ltd. All rights reserved.</t>
  </si>
  <si>
    <t>[Piovesan, Enelise Katia; Melo, Robbyson Mendes] Univ Fed Pernambuco, Lab Micropaleontol Aplicada, LAGESE, LITPEG, Recife, PE, Brazil; [Correia Filho, Osvaldo Jose] Univ Fed Pernambuco, Dept Geol, Programa Posgrad Geociencias, Recife, PE, Brazil; [Lacerda, Luiz Drude] Univ Fed Ceara, Inst Ciencias Mar, LABOMAR, Fortaleza, Ceara, Brazil; [Dos Santos, Rodolfo Otavio] Univ Sao Paulo, Inst Biociencias, Lab Herpetol &amp; Paleontol USP, Sao Paulo, Brazil; [Pinheiro, Allysson Pontes] Univ Reg Cariri, Lab Crustaceos Semiarido LACRUSE, Crato, Ceara, Brazil; [Costa, Fabiana Rodrigues] Univ Fed ABC, Lab Paleontol Vertebrados &amp; Comportamento Anim LA, Sao Bernardo Do Campo, SP, Brazil; [Sayao, Juliana Manso] Univ Fed Rio de Janeiro, Lab Paleobiol &amp; Paleogeog Antartica, Museu Nacl, Rio De Janeiro, Brazil; [Armin Kellner, Alexander Wilhelm] Univ Fed Rio de Janeiro, Dept Geol &amp; Paleontol, Lab Sistemat &amp; Tafon Vertebrados Fosseis, Museu Nacl, Rio De Janeiro, Brazil</t>
  </si>
  <si>
    <t>Universidade Federal de Pernambuco; Universidade Federal de Pernambuco; Universidade Federal do Ceara; Universidade de Sao Paulo; Universidade Regional do Cariri; Universidade Federal do ABC (UFABC); Universidade Federal do Rio de Janeiro; Universidade Federal do Rio de Janeiro</t>
  </si>
  <si>
    <t>Piovesan, EK (corresponding author), Univ Fed Pernambuco, Lab Micropaleontol Aplicada, LAGESE, LITPEG, Recife, PE, Brazil.</t>
  </si>
  <si>
    <t>katiapiovesan@gmail.com; osv.correia@yahoo.com.br; robbysonmelo@gmail.com; ldrude1956@gmail.com; rodolfosantos013@gmail.com; allysson.pinheiro@urca.br; fabiana.costa@ufabc.edu.br; jmsayao@gmail.com; kellner@mn.ufrj.br</t>
  </si>
  <si>
    <t>Costa, Fabiana/AFU-7785-2022; Pinheiro, Allysson/AAH-1785-2020; Piovesan, Enelise Katia/Q-2953-2017; Lacerda, Luiz/AAI-9004-2020</t>
  </si>
  <si>
    <t>Costa, Fabiana/0000-0003-3596-0143; Pinheiro, Allysson/0000-0003-1565-6371; Piovesan, Enelise Katia/0000-0002-0433-0395; Mendes Melo, Robbyson/0000-0002-6557-3999</t>
  </si>
  <si>
    <t>Programa Antartico Brasileiro -PROANTAR (CNPq) [442677/2018-9]; Conselho Nacional de Desenvolvimento Cientifico e Tecnologico CNPq [311715/2017-6, 313461/2018-0]; Fundacao de Desenvolvimento Carlos Chagas Filho de Amparo a Pesquisa do Estado do Rio de Janeiro - FAPERJ [E-26/202.905/2018]; Fundacao Cearense de Apoio ao Desenvolvimento Cientifico e Tecnologico (FUNCAP) [BP3-0139-00166.01.00/18]; Pro-Reitoria de Pesquisa e Pos-Graduacao of Universidade Federal de Pernambuco PROPESQ-UFPE; Coordenacao de Aperfeicoamento de Pessoal de Nivel Superior -Brasil (CAPES) [001]</t>
  </si>
  <si>
    <t>Programa Antartico Brasileiro -PROANTAR (CNPq); Conselho Nacional de Desenvolvimento Cientifico e Tecnologico CNPq(Conselho Nacional de Desenvolvimento Cientifico e Tecnologico (CNPQ)); Fundacao de Desenvolvimento Carlos Chagas Filho de Amparo a Pesquisa do Estado do Rio de Janeiro - FAPERJ(Fundacao Carlos Chagas Filho de Amparo a Pesquisa do Estado do Rio De Janeiro (FAPERJ)); Fundacao Cearense de Apoio ao Desenvolvimento Cientifico e Tecnologico (FUNCAP)(Fundacao Cearense de Apoio ao Desenvolvimento Cientifico e Tecnologico (FUNCAP)); Pro-Reitoria de Pesquisa e Pos-Graduacao of Universidade Federal de Pernambuco PROPESQ-UFPE; Coordenacao de Aperfeicoamento de Pessoal de Nivel Superior -Brasil (CAPES)(Coordenacao de Aperfeicoamento de Pessoal de Nivel Superior (CAPES))</t>
  </si>
  <si>
    <t>This study was supported by the Programa Antartico Brasileiro -PROANTAR (CNPq #442677/2018-9 to AWAK). The team of the PALEOANTAR Project wants to thank all the NApOc Ary Rongel military group and pilots of the HU-1 helicopter squadron for safely transporting personal and equipment to Antarctica. Alberto Barioni and Nelson Barretta ensured the team's physical integrity during commuting around The Naze on JRI, and also kept the camp running during the expedition at the XXXVI Antarctic Operation. We would like to thank the additional support received from the Conselho Nacional de Desenvolvimento Cientifico e Tecnologico CNPq to JMS (#311715/2017-6) and AWAK (#313461/2018-0); Fundacao de Desenvolvimento Carlos Chagas Filho de Amparo a Pesquisa do Estado do Rio de Janeiro - FAPERJ to AWAK (#E-26/202.905/2018), Fundacao Cearense de Apoio ao Desenvolvimento Cientifico e Tecnologico (FUNCAP #BP3-0139-00166.01.00/18 to APP) and Pro-Reitoria de Pesquisa e Pos-Graduacao of Universidade Federal de Pernambuco PROPESQ-UFPE for fellowship to JMS and EKP. This study was financed in part by the Coordenacao de Aperfeicoamento de Pessoal de Nivel Superior -Brasil (CAPES) - Finance Code 001. The authors thank the anonymous reviewers and the Editor, E.A.M. Koutsoukos, for their suggestions, which allowed us to improve our manuscript significantly.</t>
  </si>
  <si>
    <t>ACADEMIC PRESS LTD- ELSEVIER SCIENCE LTD</t>
  </si>
  <si>
    <t>24-28 OVAL RD, LONDON NW1 7DX, ENGLAND</t>
  </si>
  <si>
    <t>0195-6671</t>
  </si>
  <si>
    <t>1095-998X</t>
  </si>
  <si>
    <t>CRETACEOUS RES</t>
  </si>
  <si>
    <t>Cretac. Res.</t>
  </si>
  <si>
    <t>10.1016/j.cretres.2020.104725</t>
  </si>
  <si>
    <t>Geology; Paleontology</t>
  </si>
  <si>
    <t>PY2XJ</t>
  </si>
  <si>
    <t>WOS:000611911600002</t>
  </si>
  <si>
    <t>Linnebjerg, JF; Baak, JE; Barry, T; Gavrilo, MV; Mallory, ML; Merkel, FR; Price, C; Strand, J; Walker, TR; Provencher, JF</t>
  </si>
  <si>
    <t>Linnebjerg, Jannie F.; Baak, Julia E.; Barry, Tom; Gavrilo, Maria, V; Mallory, Mark L.; Merkel, Flemming R.; Price, Courtney; Strand, Jakob; Walker, Tony R.; Provencher, Jennifer F.</t>
  </si>
  <si>
    <t>Review of plastic pollution policies of Arctic countries in relation to seabirds</t>
  </si>
  <si>
    <t>FACETS</t>
  </si>
  <si>
    <t>Arctic; marine debris; marine litter; plastic reduction policies; plastic pollution; seabirds</t>
  </si>
  <si>
    <t>FULMAR FULMARUS-GLACIALIS; SHORT-TAILED SHEARWATERS; MARINE POLLUTION; NORTHERN FULMARS; URIA-LOMVIA; DEBRIS; SEA; LITTER; PARTICLES; INGESTION</t>
  </si>
  <si>
    <t>Marine plastic is a ubiquitous environmental problem that can have an impact on a variety of marine biota, such as seabirds, making it an important concern for scientists and policy makers. Although research on plastic ingestion by seabirds is increasing, few studies have examined policies and long-term monitoring programs to reduce marine plastic in the Arctic. This paper provides a review of international, national, and regional policies and long-term monitoring programs that address marine plastic in relation to seabirds in the Arctic countries: Canada, the Kingdom of Denmark (Greenland and the Faroe Islands), Finland, Iceland, Norway, the Russian Federation, Sweden, and the United States of America. Results show that a broad range of international, national, regional and local policies address marine debris, specifically through waste management and the prevention of pollution from ships. However, few policies directly address seabirds and other marine biota. Further, policies are implemented inconsistently across regions, making it difficult to enforce and monitor the efficacy of these policies given the long-range transport of plastic pollution globally. To reduce marine plastic pollution in the Arctic environment, pan-Arctic and international collaboration is needed to implement standardized policies and long-term monitoring programs for marine plastic in the Arctic and worldwide.</t>
  </si>
  <si>
    <t>[Linnebjerg, Jannie F.; Merkel, Flemming R.; Strand, Jakob] Aarhus Univ, Dept Biosci, Frederiksborgvej 399, DK-4000 Roskilde, Denmark; [Baak, Julia E.; Mallory, Mark L.; Provencher, Jennifer F.] Acadia Univ, Dept Biol, Wolfville, NS B4P 2R6, Canada; [Barry, Tom; Price, Courtney] GAFF Int Secretariat, IS-600 Nordurslod, Akureyri, Iceland; [Barry, Tom] Univ Iceland, Fac Life &amp; Environm Sci, Sch Engn &amp; Nat Sci, Saemundargata 2, IS-102 Reykjavik, Iceland; [Gavrilo, Maria, V] Lieutenant Schmidt Emb, Assoc Maritime Heritage Explore &amp; Sustain, Icebreaker Krassin, 23 Line, St Petersburg 199106, Russia; [Gavrilo, Maria, V] BirdsRussia, 70 Nigegorodskaja Str,Bldg 1, Moscow 109029, Russia; [Gavrilo, Maria, V] Arctic &amp; Antarctic Res Inst AARI, St Petersburg 198397, Russia; [Merkel, Flemming R.] Greenland Inst Nat Resources, POB 570, Nuuk 3900, Greenland; [Walker, Tony R.] Dalhousie Univ, Sch Resource &amp; Environm Studies, Halifax, NS B3H 4R2, Canada; [Provencher, Jennifer F.] Environm &amp; Climate Change Canada, Ecotoxicol &amp; Wildlife Hlth Div, Ottawa, ON K0A 1H0, Canada</t>
  </si>
  <si>
    <t>Aarhus University; Acadia University; University of Iceland; Arctic &amp; Antarctic Research Institute; Greenland Institute of Natural Resources; Dalhousie University; Environment &amp; Climate Change Canada</t>
  </si>
  <si>
    <t>Provencher, JF (corresponding author), Acadia Univ, Dept Biol, Wolfville, NS B4P 2R6, Canada.;Provencher, JF (corresponding author), Environm &amp; Climate Change Canada, Ecotoxicol &amp; Wildlife Hlth Div, Ottawa, ON K0A 1H0, Canada.</t>
  </si>
  <si>
    <t>jannie.linnebjerg@gmail.com</t>
  </si>
  <si>
    <t>Barry, Tom/AAI-7111-2021; Baak, Julia E./AAT-5109-2021; Provencher, Jennifer F/J-2839-2016; Walker BSc, MPhil, PhD, Tony R./ABA-4581-2020; Mallory, Mark L/A-1952-2017; Gavrilo, Maria V/R-7091-2016; Merkel, Flemming R/J-7409-2013</t>
  </si>
  <si>
    <t>Barry, Tom/0000-0002-0633-3602; Baak, Julia E./0000-0003-3284-4833; Walker BSc, MPhil, PhD, Tony R./0000-0001-9008-0697; Gavrilo, Maria V/0000-0002-3500-9617; Merkel, Flemming Ravn/0000-0003-3779-8012; Price, Courtney/0000-0002-2406-4290; Linnebjerg, Jannie Fries/0000-0003-4043-0606</t>
  </si>
  <si>
    <t>Arctic Council Project Support Instrument (PSI); CAFF working group of the Arctic Council; Natural Sciences and Engineering Research Council scholarship at Acadia University</t>
  </si>
  <si>
    <t>We thank Maria Pettersvik Arvnes, Amalie Ask, Katrin Soley Bjarnadottir, Andreas Haugaard Christensen, Nina Dehnhard, Laura Dukowski, Geir W. Gabrielsen, Ingeborg Hallanger, Sint-Our Hammer, Andrew Horan, Marthe Margrethe Haugen, Hermanni Kaartokallio, Margaret McCauley, Peter Murphy, Caitlin Owen, Eirik Drablos Pettersen, Elisabet Rosendal, Mia Ronka, Kine Oren, and and members of the Conservation of Arctic Flora and Fauna (CAFF) Circumpolar Seabird Expert Group for useful comments and for contributing information on legal frameworks. This work was supported by the Arctic Council Project Support Instrument (PSI), managed by the Nordic Environment Finance Corporation (NEFCO) and the CAFF working group of the Arctic Council. JEB was supported by a Natural Sciences and Engineering Research Council scholarship at Acadia University.</t>
  </si>
  <si>
    <t>CANADIAN SCIENCE PUBLISHING</t>
  </si>
  <si>
    <t>OTTAWA</t>
  </si>
  <si>
    <t>65 AURIGA DR, SUITE 203, OTTAWA, ON K2E 7W6, CANADA</t>
  </si>
  <si>
    <t>2371-1671</t>
  </si>
  <si>
    <t>Facets</t>
  </si>
  <si>
    <t>JAN 7</t>
  </si>
  <si>
    <t>10.1139/facets-2020-0052</t>
  </si>
  <si>
    <t>PT6NV</t>
  </si>
  <si>
    <t>WOS:000608731100001</t>
  </si>
  <si>
    <t>De Rydt, J; Reese, R; Paolo, FS; Gudmundsson, GH</t>
  </si>
  <si>
    <t>De Rydt, Jan; Reese, Ronja; Paolo, Fernando S.; Gudmundsson, G. Hilmar</t>
  </si>
  <si>
    <t>Drivers of Pine Island Glacier speed-up between 1996 and 2016</t>
  </si>
  <si>
    <t>ANTARCTIC ICE-SHEET; AMUNDSEN SEA EMBAYMENT; WEST ANTARCTICA; THWAITES GLACIERS; BASAL CONDITIONS; MASS-LOSS; STREAM-B; SHELF; SATELLITE; SENSITIVITY</t>
  </si>
  <si>
    <t>Pine Island Glacier in West Antarctica is among the fastest changing glaciers worldwide. Over the last 2 decades, the glacier has lost in excess of a trillion tons of ice, or the equivalent of 3mm of sea level rise. The ongoing changes are thought to have been triggered by ocean-induced thinning of its floating ice shelf, grounding line retreat, and the associated reduction in buttressing forces. However, other drivers of change, such as large-scale calving and changes in ice rheology and basal slipperiness, could play a vital, yet unquantified, role in controlling the ongoing and future evolution of the glacier. In addition, recent studies have shown that mechanical properties of the bed are key to explaining the observed speed-up. Here we used a combination of the latest remote sensing datasets between 1996 and 2016, data assimilation tools, and numerical perturbation experiments to quantify the relative importance of all processes in driving the recent changes in Pine Island Glacier dynamics. We show that (1) calving and ice shelf thinning have caused a comparable reduction in ice shelf buttressing over the past 2 decades; that (2) simulated changes in ice flow over a viscously deforming bed are only compatible with observations if large and widespread changes in ice viscosity and/or basal slipperiness are taken into account; and that (3) a spatially varying, predominantly plastic bed rheology can closely reproduce observed changes in flow without marked variations in ice-internal and basal properties. Our results demonstrate that, in addition to its evolving ice thickness, calving processes and a heterogeneous bed rheology play a key role in the contemporary evolution of Pine Island Glacier.</t>
  </si>
  <si>
    <t>[De Rydt, Jan; Gudmundsson, G. Hilmar] Northumbria Univ, Dept Geog &amp; Environm Sci, Newcastle Upon Tyne, Tyne &amp; Wear, England; [Reese, Ronja] Potsdam Inst Climate Impact Res PIK, Potsdam, Germany; [Reese, Ronja] Leibniz Assoc, Potsdam, Germany; [Paolo, Fernando S.] CALTECH, Jet Prop Lab, Pasadena, CA USA</t>
  </si>
  <si>
    <t>Northumbria University; Potsdam Institut fur Klimafolgenforschung; National Aeronautics &amp; Space Administration (NASA); NASA Jet Propulsion Laboratory (JPL); California Institute of Technology</t>
  </si>
  <si>
    <t>De Rydt, J (corresponding author), Northumbria Univ, Dept Geog &amp; Environm Sci, Newcastle Upon Tyne, Tyne &amp; Wear, England.</t>
  </si>
  <si>
    <t>jan.rydt@northumbria.ac.uk</t>
  </si>
  <si>
    <t>Gudmundsson, Gudmundur Hilmar/AAU-5987-2020; Paolo, Fernando/AGQ-9348-2022; De Rydt, Jan/H-5692-2018</t>
  </si>
  <si>
    <t>Gudmundsson, Gudmundur Hilmar/0000-0003-4236-5369; Paolo, Fernando/0000-0002-6439-2918; De Rydt, Jan/0000-0002-2978-8706; Reese, Ronja/0000-0001-7625-040X</t>
  </si>
  <si>
    <t>European Union's Horizon 2020 research and innovation programme [820575]; Deutsche Forschungsgemeinschaft (DFG) [WI4556/3-1]; NSFPLR-NERC [NE/S006745/1]; NERC [NE/S006745/1] Funding Source: UKRI; H2020 Societal Challenges Programme [820575] Funding Source: H2020 Societal Challenges Programme</t>
  </si>
  <si>
    <t>European Union's Horizon 2020 research and innovation programme; Deutsche Forschungsgemeinschaft (DFG)(German Research Foundation (DFG)); NSFPLR-NERC; NERC(UK Research &amp; Innovation (UKRI)Natural Environment Research Council (NERC)); H2020 Societal Challenges Programme(Horizon 2020European Union (EU)H2020 Societal Challenges Programme)</t>
  </si>
  <si>
    <t>This research has been supported by the European Union's Horizon 2020 research and innovation programme (grant no. 820575), the Deutsche Forschungsgemeinschaft (DFG) (grant no. WI4556/3-1), and the NSFPLR-NERC (grant no. NE/S006745/1).</t>
  </si>
  <si>
    <t>10.5194/tc-15-113-2021</t>
  </si>
  <si>
    <t>PT6DV</t>
  </si>
  <si>
    <t>WOS:000608704900001</t>
  </si>
  <si>
    <t>Su, ZM; Pilo, GS; Corney, S; Holbrook, NJ; Mori, M; Ziegler, P</t>
  </si>
  <si>
    <t>Su, Zimeng; Pilo, Gabriela S.; Corney, Stuart; Holbrook, Neil J.; Mori, Mao; Ziegler, Philippe</t>
  </si>
  <si>
    <t>Characterizing Marine Heatwaves in the Kerguelen Plateau Region</t>
  </si>
  <si>
    <t>climate extremes; ocean extremes; anomalous temperatures; ocean warming; Patagonian toothfish; hot-spot</t>
  </si>
  <si>
    <t>EAST AUSTRALIAN CURRENT; SOUTHERN-OCEAN; NORTH PACIFIC; CLIMATE; TEMPERATURE; VARIABILITY; MANAGEMENT; ATLANTIC; ECOLOGY; EDDIES</t>
  </si>
  <si>
    <t>Marine heatwaves (MHWs) are prolonged extreme oceanic warm water events. Globally, the frequency and intensity of MHWs have been increasing in recent years, and it is expected that this trend is reflected in the Kerguelen Plateau region. MHWs can negatively impact the structure of marine biodiversity, marine ecosystems, and commercial fisheries. Considering that the KP is a hot-spot for marine biodiversity, characterizing MHWs and their drivers for this region is important, but has not been performed. Here, we characterize MHWs in the KP region between January 1994 and December 2016 using a combination of remotely sensed observations and output from a publicly available model hindcast simulation. We describe a strong MHW event that starts during the 2011/2012 austral summer and persists through winter, dissipating in late 2012. During the winter months, the anomalous temperature signal deepens from the surface to a depth of at least 150 m. We show that downwelling-favorable winds occur in the region during these months. At the end of 2012, as the MHW dissipates, upwelling-favorable winds prevail. We also show that the ocean temperature on the KP is significantly correlated with key modes of climate variability. Over the KP, temperature at both the ocean surface and at a depth of 150 m correlates significantly with the Indian Ocean Dipole. To the south of the KP, temperature variations are significantly correlated with the El Nino Southern Oscillation, and to both the north and south of the KP, with the Southern Annular Mode. These results suggest there may be potential predictability in ocean temperatures, and their extremes, in the KP region. Strong MHWs, like the event in 2012, may be detrimental to the unique ecosystem of this region, including economically relevant species, such as the Patagonian Toothfish.</t>
  </si>
  <si>
    <t>[Su, Zimeng; Pilo, Gabriela S.; Corney, Stuart; Holbrook, Neil J.; Mori, Mao] Univ Tasmania, Inst Marine &amp; Antarctic Studies, Hobart, Tas, Australia; [Su, Zimeng; Pilo, Gabriela S.; Holbrook, Neil J.] Univ Tasmania, Australian Res Council Ctr Excellence Climate Ext, Hobart, Tas, Australia; [Su, Zimeng] Ocean Univ China, Coll Ocean &amp; Atmospher Sci, Qingdao, Peoples R China; [Pilo, Gabriela S.] CSIRO, Hobart, Tas, Australia; [Mori, Mao] Tokyo Univ Marine Sci &amp; Technol, Dept Ocean Sci, Tokyo, Japan; [Ziegler, Philippe] Dept Agr Water &amp; Environm, Australian Antarctic Div, Hobart, Tas, Australia</t>
  </si>
  <si>
    <t>University of Tasmania; University of Tasmania; Ocean University of China; Commonwealth Scientific &amp; Industrial Research Organisation (CSIRO); Tokyo University of Marine Science &amp; Technology; Australian Antarctic Division</t>
  </si>
  <si>
    <t>Corney, S (corresponding author), Univ Tasmania, Inst Marine &amp; Antarctic Studies, Hobart, Tas, Australia.</t>
  </si>
  <si>
    <t>stuart.corney@utas.edu.au</t>
  </si>
  <si>
    <t>Holbrook, Neil/M-7544-2013</t>
  </si>
  <si>
    <t>Holbrook, Neil/0000-0002-3523-6254</t>
  </si>
  <si>
    <t>Australian Research Council Centre of Excellence for Climate Extremes [CE170100023]; JSPS KAKENHI [JP19J01838]; Fisheries Research and Development Corporation [FRDC 2018-133]</t>
  </si>
  <si>
    <t>Australian Research Council Centre of Excellence for Climate Extremes(Australian Research Council); JSPS KAKENHI(Ministry of Education, Culture, Sports, Science and Technology, Japan (MEXT)Japan Society for the Promotion of ScienceGrants-in-Aid for Scientific Research (KAKENHI)); Fisheries Research and Development Corporation</t>
  </si>
  <si>
    <t>GP and NH received funding support from the Australian Research Council Centre of Excellence for Climate Extremes (CE170100023). MM received funding support from JSPS KAKENHI (JP19J01838). SC, NH, and PZ received funding support from the Fisheries Research and Development Corporation (FRDC 2018-133).</t>
  </si>
  <si>
    <t>10.3389/fmars.2020.531297</t>
  </si>
  <si>
    <t>PU2NR</t>
  </si>
  <si>
    <t>Green Accepted, gold</t>
  </si>
  <si>
    <t>WOS:000609143200001</t>
  </si>
  <si>
    <t>Stober, G; Janches, D; Matthias, V; Fritts, D; Marino, J; Moffat-Griffin, T; Baumgarten, K; Lee, W; Murphy, D; Kim, YH; Mitchell, N; Palo, S</t>
  </si>
  <si>
    <t>Stober, Gunter; Janches, Diego; Matthias, Vivien; Fritts, Dave; Marino, John; Moffat-Griffin, Tracy; Baumgarten, Kathrin; Lee, Wonseok; Murphy, Damian; Kim, Yong Ha; Mitchell, Nicholas; Palo, Scott</t>
  </si>
  <si>
    <t>Seasonal evolution of winds, atmospheric tides, and Reynolds stress components in the Southern Hemisphere mesosphere-lower thermosphere in 2019</t>
  </si>
  <si>
    <t>ANNALES GEOPHYSICAE</t>
  </si>
  <si>
    <t>METEOR RADAR OBSERVATIONS; WAVE MOMENTUM FLUXES; LATENT-HEAT RELEASE; GRAVITY-WAVE; LUNAR TIDES; ANTARCTIC MESOSPHERE; MESOPAUSE REGION; VERTICAL WINDS; HIGH-LATITUDES; MIDDLE</t>
  </si>
  <si>
    <t>In this study we explore the seasonal variability of the mean winds and diurnal and semidiurnal tidal amplitude and phases, as well as the Reynolds stress components during 2019, utilizing meteor radars at six Southern Hemisphere locations ranging from midlatitudes to polar latitudes. These include Tierra del Fuego, King Edward Point on South Georgia island, King Sejong Station, Rothera, Davis, and Mc-Murdo stations. The year 2019 was exceptional in the Southern Hemisphere, due to the occurrence of a rare minor stratospheric warming in September. Our results show a substantial longitudinal and latitudinal seasonal variability of mean winds and tides, pointing towards a wobbling and asymmetric polar vortex. Furthermore, the derived momentum fluxes and wind variances, utilizing a recently developed algorithm, reveal a characteristic seasonal pattern at each location included in this study. The longitudinal and latitudinal variability of vertical flux of zonal and meridional momentum is discussed in the context of polar vortex asymmetry, spatial and temporal variability, and the longitude and latitude dependence of the vertical propagation conditions of gravity waves. The horizontal momentum fluxes exhibit a rather consistent seasonal structure between the stations, while the wind variances indicate a clear seasonal behavior and altitude dependence, showing the largest values at higher altitudes during the hemispheric winter and two variance minima during the equinoxes. Also the hemispheric summer mesopause and the zonal wind reversal can be identified in the wind variances.</t>
  </si>
  <si>
    <t>[Stober, Gunter] Univ Bern, Inst Appl Phys, Bern, Switzerland; [Stober, Gunter] Univ Bern, Oeschger Ctr Climate Change Res, Microwave Phys, Bern, Switzerland; [Janches, Diego] NASA, Goddard Space Flight Ctr, ITM Phys Lab, Mail Code 675, Greenbelt, MD 20771 USA; [Matthias, Vivien] German Aerosp Ctr, Inst Solar Terr Phys, Neustrelitz, Germany; [Fritts, Dave] GATS, Boulder, CO USA; [Fritts, Dave] Embry Riddle Aeronaut Univ, Ctr Space &amp; Atmospher Res, Daytona Beach, FL USA; [Marino, John; Palo, Scott] Univ Colorado, Colorado Ctr Astrodynam Res, Boulder, CO 80309 USA; [Baumgarten, Kathrin] Fraunhofer Inst Comp Graph Res IGD, Rostock, Germany; [Lee, Wonseok; Kim, Yong Ha] Chungnam Natl Univ, Dept Astron Space Sci &amp; Geol, Daejeon 34134, South Korea; [Murphy, Damian] Australian Antarctic Div, Kingston, Tas, Australia; [Moffat-Griffin, Tracy; Mitchell, Nicholas] British Antarctic Survey, Cambridge CB3 0ET, England; [Mitchell, Nicholas] Univ Bath, Dept Elect &amp; Elect Engn, Bath, Avon, England</t>
  </si>
  <si>
    <t>University of Bern; University of Bern; National Aeronautics &amp; Space Administration (NASA); NASA Goddard Space Flight Center; Helmholtz Association; German Aerospace Centre (DLR); Embry-Riddle Aeronautical University; University of Colorado System; University of Colorado Boulder; Fraunhofer Gesellschaft; Chungnam National University; Australian Antarctic Division; UK Research &amp; Innovation (UKRI); Natural Environment Research Council (NERC); NERC British Antarctic Survey; University of Bath</t>
  </si>
  <si>
    <t>Stober, G (corresponding author), Univ Bern, Inst Appl Phys, Bern, Switzerland.;Stober, G (corresponding author), Univ Bern, Oeschger Ctr Climate Change Res, Microwave Phys, Bern, Switzerland.</t>
  </si>
  <si>
    <t>gunter.stober@iap.unibe.ch</t>
  </si>
  <si>
    <t>Janches, Diego/D-4674-2012; Kim, Yong Ha/AAS-9908-2021</t>
  </si>
  <si>
    <t>Marino, John/0000-0002-9955-5916; Lee, Wonseok/0000-0002-9524-8505; Stober, Gunter/0000-0002-7909-6345; Wendt, Vivien/0000-0003-1806-4507</t>
  </si>
  <si>
    <t>NASA Heliophysics ISFM program; NASA SSO; NESC assessment [TI-17-01204]; NSF [AGS1647354]; Natural Environment Research Council [25, NE/R001391/1, NE/R001235/1]; Korea Polar Research Institute; Australian Antarctic Science project; European Union; NERC [NE/R001235/1, NE/R001391/1, bas0100032] Funding Source: UKRI</t>
  </si>
  <si>
    <t>NASA Heliophysics ISFM program; NASA SSO; NESC assessment; NSF(National Science Foundation (NSF)); Natural Environment Research Council(UK Research &amp; Innovation (UKRI)Natural Environment Research Council (NERC)); Korea Polar Research Institute(Korea Polar Research Institute of Marine Research Placement (KOPRI)); Australian Antarctic Science project; European Union(European Union (EU)); NERC(UK Research &amp; Innovation (UKRI)Natural Environment Research Council (NERC))</t>
  </si>
  <si>
    <t>Diego Janches was supported by the NASA Heliophysics ISFM program. TDF's operation is supported by NASA SSO, NESC assessment TI-17-01204, and NSF grant AGS1647354. For Nicholas Mitchell and Tracy Moffat-Griffin, this work was supported by the Natural Environment Research Council (grant 25 nos. NE/R001391/1 and NE/R001235/1). Yong Ha Kim and Wonseok Lee are financially supported by the Korea Polar Research Institute. Operation of the Davis meteor radar was supported under the Australian Antarctic Science project. The momentum flux retrievals were developed as part of the ARISE design study (http://arise-project.eu, last access: October 2020) funded by the European Union's Seventh Framework Programme for Research and Technological Development. Gunter Stober is a member of the Oeschger Center for Climate Change Research.</t>
  </si>
  <si>
    <t>0992-7689</t>
  </si>
  <si>
    <t>1432-0576</t>
  </si>
  <si>
    <t>ANN GEOPHYS-GERMANY</t>
  </si>
  <si>
    <t>Ann. Geophys.</t>
  </si>
  <si>
    <t>10.5194/angeo-39-1-2021</t>
  </si>
  <si>
    <t>Astronomy &amp; Astrophysics; Geosciences, Multidisciplinary; Meteorology &amp; Atmospheric Sciences</t>
  </si>
  <si>
    <t>Astronomy &amp; Astrophysics; Geology; Meteorology &amp; Atmospheric Sciences</t>
  </si>
  <si>
    <t>PS0UO</t>
  </si>
  <si>
    <t>WOS:000607647700001</t>
  </si>
  <si>
    <t>Tewari, K; Mishra, SK; Dewan, A; Ozawa, H</t>
  </si>
  <si>
    <t>Tewari, Kamal; Mishra, Saroj K.; Dewan, Anupam; Ozawa, Hisashi</t>
  </si>
  <si>
    <t>Effects of the Antarctic elevation on the atmospheric circulation</t>
  </si>
  <si>
    <t>THEORETICAL AND APPLIED CLIMATOLOGY</t>
  </si>
  <si>
    <t>SOUTH ASIAN MONSOON; SEA-ICE EXTENT; GENERAL-CIRCULATION; HEMISPHERE CLIMATE; SHEET; SENSITIVITY; TOPOGRAPHY; LATITUDE; PLATEAU; PARAMETERIZATION</t>
  </si>
  <si>
    <t>The orographic effects of Antarctica on the atmospheric circulation are investigated through idealized orographic reduction numerical experiments performed using the NCAR CAM5 model. The investigation shows that, in the absence of the orography over the continent, the troposphere becomes warmer and wetter, the sea level pressure reduces, and the precipitation is enhanced. Furthermore, over the continent, the height of the tropopause increases, the stationary waves become weaker, and the southern polar jet gets more energetic. The radiative budget also gets altered, with more outgoing longwave radiation over the continent, which drives circulation changes beneath. The mean atmospheric circulation is weakened with weakening and shrinking of the Polar cell and widening of the Ferrel cell in the Southern Hemisphere, which decreases the contribution by mean flow towards poleward energy transport. An increase in transient eddy due to an enhancement of baroclinicity over the region supports poleward energy transport and compensates for a higher outgoing longwave radiation over the Antarctic continent. These significant changes observed in idealized Antarctic orographic reduction demonstrate the importance of the present Antarctic orography and ice cover for the Southern Hemisphere. The impact of these changes provides valuable insights on the future role of Antarctic orography on the earth's climate system from a fundamental point of view.</t>
  </si>
  <si>
    <t>[Tewari, Kamal; Dewan, Anupam] Indian Inst Technol Delhi, Dept Appl Mech, New Delhi 110016, India; [Mishra, Saroj K.] Indian Inst Technol Delhi, Ctr Atmospher Sci, New Delhi 110016, India; [Ozawa, Hisashi] Hiroshima Univ, Grad Sch Integrated Arts &amp; Sci, Higashihiroshima, Japan</t>
  </si>
  <si>
    <t>Indian Institute of Technology System (IIT System); Indian Institute of Technology (IIT) - Delhi; Indian Institute of Technology System (IIT System); Indian Institute of Technology (IIT) - Delhi; Hiroshima University</t>
  </si>
  <si>
    <t>Mishra, SK (corresponding author), Indian Inst Technol Delhi, Ctr Atmospher Sci, New Delhi 110016, India.</t>
  </si>
  <si>
    <t>skm@iitd.ac.in</t>
  </si>
  <si>
    <t>Mishra, Shravan/AAD-7569-2022; Tewari, Kamal/AAX-5966-2021; Dewan, Anupam/A-8404-2013; Ozawa, Hisashi/N-6414-2019</t>
  </si>
  <si>
    <t>Mishra, Shravan/0000-0001-8354-1803; Dewan, Anupam/0000-0002-1561-713X; Ozawa, Hisashi/0000-0001-9692-9532; Tewari, Kamal/0000-0002-9147-5276</t>
  </si>
  <si>
    <t>DST Centre of Excellence in Climate Modeling at the Indian Institute of Technology Delhi, India; MHRD; Japan Student Service Organization (JASSO)</t>
  </si>
  <si>
    <t>The research was partially supported by the DST Centre of Excellence in Climate Modeling at the Indian Institute of Technology Delhi, India. K. Tewari acknowledges the Ph.D. fellowship from MHRD and the financial assistance received from Japan Student Service Organization (JASSO) for the ILDP Exchange program for his visit to Hiroshima University, Japan, duringwhich a part of this work was carried out.</t>
  </si>
  <si>
    <t>SPRINGER WIEN</t>
  </si>
  <si>
    <t>WIEN</t>
  </si>
  <si>
    <t>SACHSENPLATZ 4-6, PO BOX 89, A-1201 WIEN, AUSTRIA</t>
  </si>
  <si>
    <t>0177-798X</t>
  </si>
  <si>
    <t>1434-4483</t>
  </si>
  <si>
    <t>THEOR APPL CLIMATOL</t>
  </si>
  <si>
    <t>Theor. Appl. Climatol.</t>
  </si>
  <si>
    <t>3-4</t>
  </si>
  <si>
    <t>10.1007/s00704-020-03456-1</t>
  </si>
  <si>
    <t>QC6FH</t>
  </si>
  <si>
    <t>WOS:000605879100002</t>
  </si>
  <si>
    <t>How, JR; de la Mare, WK; Coughran, DK; Double, MC; de Lestang, S</t>
  </si>
  <si>
    <t>How, Jason R.; de la Mare, William K.; Coughran, Douglas K.; Double, Michael C.; de Lestang, Simon</t>
  </si>
  <si>
    <t>Gear modifications reduced humpback whale entanglements in a commercial rock lobster fishery</t>
  </si>
  <si>
    <t>MARINE MAMMAL SCIENCE</t>
  </si>
  <si>
    <t>bycatch; entanglement; fishing; gear modifications; humpback whale; lobster</t>
  </si>
  <si>
    <t>MANAGEMENT</t>
  </si>
  <si>
    <t>Entanglement of whales in fishing gear occurs globally and where populations are recovering from past exploitation, entanglement frequency is likely to increase. The Western Australian population of humpback whales (Megaptera novaeangliae) is growing rapidly, yet from 1990 to 2010 the number of whales reported entangled in gear from the pot-based western rock lobster fishery was relatively stable at around one per year. However, from 2010, reported entanglements increased, reaching a maximum of 17 in 2013. This increase occurred immediately after a shift to a year-round quota-based fishery that eliminated the annual 41/2-month closure that coincided with the whale migration. Gear modifications that eliminated surface rope, shortened rope lengths, and reduced float numbers were implemented in June 2014 to reduce whale entanglements. The effectiveness of these modifications was evaluated using a Bayesian model that incorporated changes in humpback whale population size, entanglement reporting probability, fishing effort, and whale migration timing. Our analyses indicate that gear modifications reduced entanglement in fishing gear from the rock lobster fishery by at least 25% (with 95% probability), with a median reduction of 64%. The model also showed that the greatest entanglement risk occurs on the northward migration and in water depths of 55-73 m.</t>
  </si>
  <si>
    <t>[How, Jason R.; de Lestang, Simon] Western Australian Fisheries &amp; Marine Res Labs, Hillarys, WA, Australia; [de la Mare, William K.; Double, Michael C.] Australian Marine Mammal Ctr, Dept Environm &amp; Energy, Australian Antarctic Div, Hobart, Tas, Australia; [Coughran, Douglas K.] Australian Large Whale Disentanglement Response N, Padbury, WA, Australia</t>
  </si>
  <si>
    <t>Western Australian Fisheries &amp; Marine Research Laboratories; Australian Antarctic Division</t>
  </si>
  <si>
    <t>How, JR (corresponding author), POB 20, North Beach, WA 6920, Australia.</t>
  </si>
  <si>
    <t>jason.how@dpird.wa.gov.au</t>
  </si>
  <si>
    <t>de Lestang, Simon/HZJ-1589-2023</t>
  </si>
  <si>
    <t>How, Jason/0000-0001-8217-751X</t>
  </si>
  <si>
    <t>Fisheries Research and Development Corporation [FRDC 2014-004]</t>
  </si>
  <si>
    <t>Fisheries Research and Development Corporation</t>
  </si>
  <si>
    <t>Fisheries Research and Development Corporation, Grant/Award Number: FRDC 2014-004</t>
  </si>
  <si>
    <t>0824-0469</t>
  </si>
  <si>
    <t>1748-7692</t>
  </si>
  <si>
    <t>MAR MAMMAL SCI</t>
  </si>
  <si>
    <t>Mar. Mamm. Sci.</t>
  </si>
  <si>
    <t>10.1111/mms.12774</t>
  </si>
  <si>
    <t>Marine &amp; Freshwater Biology; Zoology</t>
  </si>
  <si>
    <t>TE9HJ</t>
  </si>
  <si>
    <t>WOS:000605306200001</t>
  </si>
  <si>
    <t>Schmid, M; Guihéneuf, F; Nitschke, U; Stengel, DB</t>
  </si>
  <si>
    <t>Schmid, Matthias; Guiheneuf, Freddy; Nitschke, Udo; Stengel, Dagmar B.</t>
  </si>
  <si>
    <t>Acclimation potential and biochemical response of four temperate macroalgae to light and future seasonal temperature scenarios</t>
  </si>
  <si>
    <t>ALGAL RESEARCH-BIOMASS BIOFUELS AND BIOPRODUCTS</t>
  </si>
  <si>
    <t>Macroalgae; Temperature; Climate change; Fatty acids; Pigments; Acclimation</t>
  </si>
  <si>
    <t>MACROCYSTIS-PYRIFERA LAMINARIALES; FATTY-ACID-COMPOSITION; MARINE MACROALGAE; PIGMENT COMPOSITION; PALMARIA-PALMATA; LIPID-COMPOSITION; FORMING SEAWEEDS; MEMBRANE-LIPIDS; GROWTH-RATES; NORTH-SEA</t>
  </si>
  <si>
    <t>Resilience and biochemical response to predicted future North Atlantic Ocean temperature conditions (+2 degrees C of current seasonal observations) and different light conditions were investigated in four commercially valuable macroalgae that naturally inhabit different shore levels (Ascophyllum nodosum, Fucus serratus, Laminaria digitata and Palmaria palmata). Increased irradiances had a positive effect on growth rates of the intertidal species (Ascophyllum. nodosum and Fucus serratus). Growth and chlorophyll contents of Laminaria digitata were most strongly impacted by temperature, but its fatty acid contents and composition were more strongly controlled by light. Neither changes in light nor temperature affected growth of Palmaria palmata although biochemical composition was highly sensitive to temperature. Pigments and polyunsaturated fatty acids exhibited a correlated response in the brown canopy-forming macroalgae, with decreasing concentrations with increasing light conditions. By integrating growth and changes in biochemical composition, new production of essential and commercially relevant biomolecules was evaluated, Effects of individual and combined environmental factors on growth and key biochemical composition were linked to the specific acclimation potential of macroalgae from different habitats. Results demonstrate that future global change will not only impact on coastal food webs but also has likely impacts on sustainable production of algal biomass and high-value compounds due to changes in productivity and biochemical composition under anticipated future environmental regimes.</t>
  </si>
  <si>
    <t>[Schmid, Matthias; Guiheneuf, Freddy; Nitschke, Udo; Stengel, Dagmar B.] Natl Univ Ireland Galway, Ryan Inst Environm Marine &amp; Energy Res, Sch Nat Sci, Bot &amp; Plant Sci, Galway, Ireland; [Guiheneuf, Freddy] SAS Inalve, 181 Chemin Lazaret, F-06230 Villefranche Sur Mer, France</t>
  </si>
  <si>
    <t>Ollscoil na Gaillimhe-University of Galway</t>
  </si>
  <si>
    <t>Schmid, M (corresponding author), Univ Tasmania, Inst Marine &amp; Antarctic Studies, Hobart, Tas, Australia.</t>
  </si>
  <si>
    <t>matthias.schmid@utas.edu.au</t>
  </si>
  <si>
    <t>Brophy, Deirdre/JQW-0281-2023</t>
  </si>
  <si>
    <t>Stengel, Dagmar/0000-0001-5871-9550</t>
  </si>
  <si>
    <t>NutraMara; Irish Marine Functional Foods Research Initiative - Irish Marine Institute [MFFRI/07/01]; Department of Agriculture, Food and the Marine (DAFM); Deutsche Forschungsgemeinschaft (DFG) [SCHM 3335/1-1]</t>
  </si>
  <si>
    <t>NutraMara; Irish Marine Functional Foods Research Initiative - Irish Marine Institute; Department of Agriculture, Food and the Marine (DAFM); Deutsche Forschungsgemeinschaft (DFG)(German Research Foundation (DFG))</t>
  </si>
  <si>
    <t>This research was supported by NutraMara, the Irish Marine Functional Foods Research Initiative (MFFRI/07/01) funded by the Irish Marine Institute and the Department of Agriculture, Food and the Marine (DAFM). During the write-up MS was supported by funding through the Deutsche Forschungsgemeinschaft (DFG, grant ID: SCHM 3335/1-1). We thank three anonymous reviewers for helpful comments on earlier drafts of the manuscript.</t>
  </si>
  <si>
    <t>2211-9264</t>
  </si>
  <si>
    <t>ALGAL RES</t>
  </si>
  <si>
    <t>Algal Res.</t>
  </si>
  <si>
    <t>10.1016/j.algal.2021.102190</t>
  </si>
  <si>
    <t>Biotechnology &amp; Applied Microbiology</t>
  </si>
  <si>
    <t>RB7MM</t>
  </si>
  <si>
    <t>WOS:000632292300006</t>
  </si>
  <si>
    <t>Person, MJ; Bosh, AS; Zuluaga, CA; Sickafoose, AA; Levine, SE; Pasachoff, JM; Babcock, BA; Dunham, EW; McLean, IS; Wolf, J; Abe, F; Becklin, EE; Bida, TA; Bright, LP; Brothers, T; Christie, G; Durst, RF; Gilmore, AC; Hamilton, RT; Harris, HC; Johnson, C; Kilmartin, PM; Kosiarek, M; Leppik, K; Logsdon, SE; Lucas, R; Mathers, S; Morley, CJK; Nelson, P; Ngan, H; Pfüller, E; Natusch, T; Sallum, S; Savage, ML; Seeger, CH; Siu, HC; Stockdale, C; Suzuki, D; Thanathibodee, T; Tilleman, T; Tristram, PJ; Vacca, WD; Van Cleve, J; Varughese, C; Weisenbach, LW; Widen, E; Wiedemann, M</t>
  </si>
  <si>
    <t>Person, Michael J.; Bosh, Amanda S.; Zuluaga, Carlos A.; Sickafoose, Amanda A.; Levine, Stephen E.; Pasachoff, Jay M.; Babcock, Bryce A.; Dunham, Edward W.; McLean, Ian S.; Wolf, Jurgen; Abe, Fumio; Becklin, E. E.; Bida, Thomas A.; Bright, Len P.; Brothers, Tim; Christie, Grant; Durst, Rebecca F.; Gilmore, Alan C.; Hamilton, Ryan T.; Harris, Hugh C.; Johnson, Chris; Kilmartin, Pamela M.; Kosiarek, Molly; Leppik, Karina; Logsdon, Sarah E.; Lucas, Robert; Mathers, Shevill; Morley, C. J. K.; Nelson, Peter; Ngan, Haydn; Pfuller, Enrico; Natusch, Tim; Sallum, Stephanie; Savage, Maureen L.; Seeger, Christina H.; Siu, Ho Chit; Stockdale, Chris; Suzuki, Daisuke; Thanathibodee, Thanawuth; Tilleman, Trudy; Tristram, Paul J.; Vacca, William D.; Van Cleve, Jeffrey; Varughese, Carolle; Weisenbach, Luke W.; Widen, Elizabeth; Wiedemann, Manuel</t>
  </si>
  <si>
    <t>Haze in Pluto's atmosphere: Results from SOFIA and ground-based observations of the 2015 June 29 Pluto occultation</t>
  </si>
  <si>
    <t>ICARUS</t>
  </si>
  <si>
    <t>Pluto; Atmosphere; Atmospheres; Structure; Occultations</t>
  </si>
  <si>
    <t>STELLAR OCCULTATION; ALL-SKY; ENCELADUS; METHANE; SURFACE; IMAGER; CHARON</t>
  </si>
  <si>
    <t>On UT 29 June 2015, the occultation by Pluto of a bright star (r' = 11.9) was observed from the Stratospheric Observatory for Infrared Astronomy (SOFIA) and several ground-based stations in New Zealand and Australia. Pre-event astrometry allowed for an in-flight update to the SOFIA team with the result that SOFIA was deep within the central flash zone (similar to 22 km from center). Analysis of the combined data leads to the result that Pluto's middle atmosphere is essentially unchanged from 2011 and 2013 (Person et al. 2013; Bosh et al. 2015); there has been no significant expansion or contraction of the atmosphere. Additionally, our multi-wavelength observations allow us to conclude that a haze component in the atmosphere is required to reproduce the light curves obtained. This haze scenario has implications for understanding the photochemistry of Pluto's atmosphere.</t>
  </si>
  <si>
    <t>[Person, Michael J.; Bosh, Amanda S.; Zuluaga, Carlos A.; Sickafoose, Amanda A.; Levine, Stephen E.; Brothers, Tim; Kosiarek, Molly; Siu, Ho Chit] MIT, Dept Earth Atmospher &amp; Planetary Sci, 77 Mass Ave, Cambridge, MA 02139 USA; [Bosh, Amanda S.; Levine, Stephen E.; Dunham, Edward W.; Bida, Thomas A.; Bright, Len P.; Hamilton, Ryan T.] Lowell Observ, 1400 W Mars Hill Rd, Flagstaff, AZ 86001 USA; [Sickafoose, Amanda A.] South African Astron Observ, POB 9, ZA-7935 Cape Town, South Africa; [Pasachoff, Jay M.; Babcock, Bryce A.; Durst, Rebecca F.; Lucas, Robert; Seeger, Christina H.] Williams Coll, Astron Dept, 33 Lab Campus Dr, Williamstown, MA 01267 USA; [McLean, Ian S.; Becklin, E. E.; Johnson, Chris] Univ Calif Los Angeles, Dept Phys &amp; Astron, 430 Portola Plaza, Los Angeles, CA 90095 USA; [Wolf, Jurgen; Pfuller, Enrico; Wiedemann, Manuel] Univ Stuttgart, Deutsch SOFIA Inst, Pfaffenwaldring 29, D-70569 Stuttgart, Germany; [Abe, Fumio] Nagoya Univ, Inst Space Earth Environm Res, Nagoya, Aichi 4648601, Japan; [Becklin, E. E.; Leppik, Karina; Savage, Maureen L.; Vacca, William D.; Van Cleve, Jeffrey] NASA, Ames Res Ctr, SOFIA USRA, Mail Stop N232-12, Moffett Field, CA 94035 USA; [Christie, Grant; Ngan, Haydn; Natusch, Tim] Auckland Observ, 670 Manukau Rd, Auckland 1345, New Zealand; [Gilmore, Alan C.; Kilmartin, Pamela M.] Univ Canterbury, Dept Phys &amp; Astron, Christchurch 8041, New Zealand; [Harris, Hugh C.; Tilleman, Trudy] US Naval Observ, 10391 W Naval Obs Rd, Flagstaff, AZ 86001 USA; [Wolf, Jurgen; Pfuller, Enrico; Wiedemann, Manuel] NASA, SOFIA Sci Ctr, Ames Res Ctr, SOFIA, MS211-1, Moffett Field, MS 94035 USA; [Lucas, Robert] Williams Coll, Sydney, NSW, Australia; [Mathers, Shevill] Southern Cross Observ, 819A Cambridge Rd, Cambridge, Tas 7170, Australia; [Morley, C. J. K.] Sandy Ridge Observ, POB 459, Moe, Vic 3825, Australia; [Nelson, Peter] Ellinbank Observ, Melbourne, Vic, Australia; [Sallum, Stephanie] Univ Arizona, Astron Dept, 933 North Cherry Ave, Tucson, AZ 85721 USA; [Stockdale, Chris] Hazelwood Observ, Churchill, Vic, Australia; [Suzuki, Daisuke] Univ Notre Dame, Dept Phys, Notre Dame, IN 46556 USA; [Thanathibodee, Thanawuth; Weisenbach, Luke W.] MIT, Dept Phys, 77 Mass Ave, Cambridge, MA 02139 USA; [Tristram, Paul J.] Mt John Observ, POB 56, Lake Tekapo 7945, New Zealand; [Varughese, Carolle] Earth &amp; Sky Ltd, State Highway 8, Lake Tekapo 7945, New Zealand; [Widen, Elizabeth] US Antarctic Program, McMurdo Stn, Ross Isl, New Zealand; [Pasachoff, Jay M.] CALTECH, Planetary Sci Dept, 150-21,1200 E Calif Blvd, Pasadena, CA 91125 USA; [Logsdon, Sarah E.] NASA, Goddard Space Flight Ctr, Greenbelt, MD 20771 USA</t>
  </si>
  <si>
    <t>Massachusetts Institute of Technology (MIT); National Research Foundation - South Africa; South African Astronomical Observatory; Williams College; University of California System; University of California Los Angeles; University of Stuttgart; Nagoya University; National Aeronautics &amp; Space Administration (NASA); NASA Ames Research Center; University of Canterbury; National Aeronautics &amp; Space Administration (NASA); NASA Ames Research Center; Melbourne Genomics Health Alliance; Ellinbank Observatory; University of Arizona; University of Notre Dame; Massachusetts Institute of Technology (MIT); California Institute of Technology; National Aeronautics &amp; Space Administration (NASA); NASA Goddard Space Flight Center</t>
  </si>
  <si>
    <t>Person, MJ (corresponding author), MIT, Dept Earth Atmospher &amp; Planetary Sci, 77 Mass Ave, Cambridge, MA 02139 USA.</t>
  </si>
  <si>
    <t>mjperson@mit.edu</t>
  </si>
  <si>
    <t>Moody, Michael P/H-9377-2013; Durst, Rebecca/JJF-8511-2023</t>
  </si>
  <si>
    <t>Logsdon, Sarah/0000-0002-9632-9382; Thanathibodee, Thanawuth/0000-0003-4507-1710</t>
  </si>
  <si>
    <t>NASA contract [NAS2-97001]; DLR contract [50 OK 0901]; NASA by USRA [SOF 03-0028]; W.M. Keck Foundation; NASA SSO grants [NNX15AJ82G, NNX10AB27G, NNX12AJ29G]; National Research Foundation of South Africa; NASA [NNX15AJ82G, 807175, NNX10AB27G, NNX12AJ29G, 43372, 136467] Funding Source: Federal RePORTER</t>
  </si>
  <si>
    <t>NASA contract; DLR contract(Helmholtz AssociationGerman Aerospace Centre (DLR)); NASA by USRA; W.M. Keck Foundation(W.M. Keck Foundation); NASA SSO grants; National Research Foundation of South Africa(National Research Foundation - South Africa); NASA(National Aeronautics &amp; Space Administration (NASA))</t>
  </si>
  <si>
    <t>This work is based, in part, on observations made with the NASA/DLR Stratospheric Observatory for Infrared Astronomy (SOFIA). SOFIA is jointly operated by the Universities Space Research Association, Inc. (USRA), under NASA contract NAS2-97001, and the Deutsches SOFIA Institut (DSI) under DLR contract 50 OK 0901 to the University of Stuttgart. Additional financial support for this work was provided by NASA through award #SOF 03-0028 issued by USRA.r Some of the data presented herein were obtained at the W.M. Keck Observatory, which is operated as a scientific partnership among the California Institute of Technology, the University of California and the National Aeronautics and Space Administration. The Observatory was made possible by the generous financial support of the W.M. Keck Foundation.r Partial support for this work was provided by NASA SSO grants NNX15AJ82G to Lowell Observatory, NNX10AB27G to MIT, and NNX12AJ29G to Williams College. AAS acknowledges support from the National Research Foundation of South Africa.</t>
  </si>
  <si>
    <t>ACADEMIC PRESS INC ELSEVIER SCIENCE</t>
  </si>
  <si>
    <t>SAN DIEGO</t>
  </si>
  <si>
    <t>525 B ST, STE 1900, SAN DIEGO, CA 92101-4495 USA</t>
  </si>
  <si>
    <t>0019-1035</t>
  </si>
  <si>
    <t>1090-2643</t>
  </si>
  <si>
    <t>Icarus</t>
  </si>
  <si>
    <t>10.1016/j.icarus.2019.113572</t>
  </si>
  <si>
    <t>Astronomy &amp; Astrophysics</t>
  </si>
  <si>
    <t>PP3JG</t>
  </si>
  <si>
    <t>WOS:000605762200001</t>
  </si>
  <si>
    <t>Jamieson, AJ; Linley, TD</t>
  </si>
  <si>
    <t>Jamieson, Alan J.; Linley, Thomas D.</t>
  </si>
  <si>
    <t>Hydrozoans, scyphozoans, larvaceans and ctenophores observed in situ at hadal depths</t>
  </si>
  <si>
    <t>JOURNAL OF PLANKTON RESEARCH</t>
  </si>
  <si>
    <t>jellyfish; trachymedusae; narcomedusae; siphonophorae; Appendicularia; comb jellies; gelatinous zooplankton; deep sea; hadal zone</t>
  </si>
  <si>
    <t>Hydrozoa, Scyphozoa, Larvacea (Appendicularia) and Ctenophora are not typically associated with hadal communities. Here, we report observations of these groups based on 136 benthic camera lander deployments that spanned all five oceans, encompassing 14 deep sites, culminating in &gt;1000 h of video in the near-bottom waters between 5000 and 10 925 m. Of theHydrozoa, trachymedusae had a maximum depth of 9066min the Mariana Trench, narcomedusae were recorded to a maximum depth of 7220 m in the San Cristobal Trench and a single siphonophore was seen at 7888 m in the Mariana Trench. Scyphozoans were seen as deep as 6898 m in the New Hebrides Trench. The deepest ctenophore was seen at 6037 m in the Kermadec Trench. Larvaceans were seen in the Agulhas Fracture Zone and the Puerto Rico, Kermadec, South Shetland and Java trenches, with the deepest being 7176 m in the Java Trench. None of these groups were seen in the deep Arctic or Antarctic deeper than 6000 m. Narcomedusae, siphonophorae, Scyphozoa and Ctenophora appear very rare at hadal depths, while the larvaceans and trachymedusae appear to be relatively conspicuous in the benthopelagic at hadal depths.</t>
  </si>
  <si>
    <t>[Jamieson, Alan J.; Linley, Thomas D.] Newcastle Univ, Sch Biol Sci, Ridley Bldg 2,Lovers Lane, Newcastle Upon Tyne NE1 7RU, Tyne &amp; Wear, England</t>
  </si>
  <si>
    <t>Newcastle University - UK</t>
  </si>
  <si>
    <t>Jamieson, AJ (corresponding author), Newcastle Univ, Sch Biol Sci, Ridley Bldg 2,Lovers Lane, Newcastle Upon Tyne NE1 7RU, Tyne &amp; Wear, England.</t>
  </si>
  <si>
    <t>alanj@armatusoceanic.com</t>
  </si>
  <si>
    <t>Jamieson, Alan/0000-0001-9835-2909</t>
  </si>
  <si>
    <t>Nippon Foundation [2009765188]; Natural Environmental Research Council [NE/E007171/1]; HADEEP II-IV by TOTAL Foundation (France) through the project 'Multi-disciplinary investigations of the deepest scavengers on Earth' (2010-2012); HADEEP II-IV by TOTAL Foundation (France) through the project 'Trench Connection' (2013-2015); 'Hades-K' by National Science Foundation [1130712]; 'Hades-M' by Schmidt Ocean Institute [FK141109]; 'PharmaDeep' by European Union Research Infrastructures project `EuroFleets 2' under the 7th Framework Programme of the European Commission [312762]; HADES-ERC Advanced Grant 'Benthic diagenesis and microbiology of hadal trenches' [669947]; 'Hadal Zones of our Overseas Territories' by the Darwin Initiative - UKGovernment [DPLUS093]; Five Deeps and Ring of Fire Expeditions - Victor Vescovo of Caladan Oceanic LLC (USA); NERC [NE/E007171/1] Funding Source: UKRI; Directorate For Geosciences; Division Of Ocean Sciences [1130712] Funding Source: National Science Foundation</t>
  </si>
  <si>
    <t>Nippon Foundation(Nippon Foundation); Natural Environmental Research Council(UK Research &amp; Innovation (UKRI)Natural Environment Research Council (NERC)); HADEEP II-IV by TOTAL Foundation (France) through the project 'Multi-disciplinary investigations of the deepest scavengers on Earth' (2010-2012); HADEEP II-IV by TOTAL Foundation (France) through the project 'Trench Connection' (2013-2015); 'Hades-K' by National Science Foundation; 'Hades-M' by Schmidt Ocean Institute; 'PharmaDeep' by European Union Research Infrastructures project `EuroFleets 2' under the 7th Framework Programme of the European Commission; HADES-ERC Advanced Grant 'Benthic diagenesis and microbiology of hadal trenches'; 'Hadal Zones of our Overseas Territories' by the Darwin Initiative - UKGovernment; Five Deeps and Ring of Fire Expeditions - Victor Vescovo of Caladan Oceanic LLC (USA); NERC(UK Research &amp; Innovation (UKRI)Natural Environment Research Council (NERC)); Directorate For Geosciences; Division Of Ocean Sciences(National Science Foundation (NSF)NSF - Directorate for Geosciences (GEO))</t>
  </si>
  <si>
    <t>No funding was received to support the analysis and writing of this study; time in kind was provided for the authors by Armatus Oceanic to whom they were seconded. The HADEEP project was funded by the Nippon Foundation (2009765188) and the Natural Environmental Research Council (NE/E007171/1), HADEEP II-IV by TOTAL Foundation (France) through the projects 'Multi-disciplinary investigations of the deepest scavengers on Earth' (2010-2012) and 'Trench Connection' (2013-2015), 'Hades-K' by National Science Foundation (OCE #1130712), 'Hades-M' by Schmidt Ocean Institute (cruise FK141109), 'PharmaDeep' by European Union Research Infrastructures project `EuroFleets 2' under the 7th Framework Programme of the European Commission (Grant #312762), HADES-ERC Advanced Grant 'Benthic diagenesis and microbiology of hadal trenches' (Grant #669947), the 'Hadal Zones of our Overseas Territories' by the Darwin Initiative funded by the UKGovernment (DPLUS093) and the Five Deeps and Ring of Fire Expeditions, funded by Victor Vescovo of Caladan Oceanic LLC (USA).</t>
  </si>
  <si>
    <t>0142-7873</t>
  </si>
  <si>
    <t>1464-3774</t>
  </si>
  <si>
    <t>J PLANKTON RES</t>
  </si>
  <si>
    <t>J. Plankton Res.</t>
  </si>
  <si>
    <t>JAN-FEB</t>
  </si>
  <si>
    <t>10.1093/plankt/fbaa062</t>
  </si>
  <si>
    <t>Marine &amp; Freshwater Biology; Oceanography</t>
  </si>
  <si>
    <t>RC3KI</t>
  </si>
  <si>
    <t>Bronze</t>
  </si>
  <si>
    <t>WOS:000632702200004</t>
  </si>
  <si>
    <t>Mardones, JI; Paredes, J; Godoy, M; Suarez, R; Norambuena, L; Vargas, V; Fuenzalida, G; Pinilla, E; Artal, O; Rojas, X; Dorantes-Aranda, JJ; Chang, KJL; Anderson, DM; Hallegraeff, GM</t>
  </si>
  <si>
    <t>Mardones, Jorge, I; Paredes, Javier; Godoy, Marcos; Suarez, Rudy; Norambuena, Luis; Vargas, Valentina; Fuenzalida, Gonzalo; Pinilla, Elias; Artal, Osvaldo; Rojas, Ximena; Jose Dorantes-Aranda, Juan; Chang, Kim J. Lee; Anderson, Donald M.; Hallegraeff, Gustaaf M.</t>
  </si>
  <si>
    <t>Disentangling the environmental processes responsible for the world's largest farmed fish-killing harmful algal bloom: Chile, 2016</t>
  </si>
  <si>
    <t>Pseudochattonella verruculosa; Life cycle; Thin layer; Ichthyotoxicity; Fish mortality; Mitigation strategies</t>
  </si>
  <si>
    <t>The dictyochophyte microalga Pseudochattonella verruculosa was responsible for the largest farmed fish mortality ever recorded in the world, with losses for the Chilean salmon industry amounting to US$ 800 M in austral summer 2016. Super-scale climatic anomalies resulted in strong vertical water column stratification that stimulated development of a dynamic P. verruculosa thin layer (up to 38 mu g chl a L-1) for several weeks in Reloncavi Sound. Hydrodynamic modeling (MIKE 3D) indicated that the Sound had extremely low flushing rates (between 121 and 200 days) in summer 2016. Reported algal cell densities of 7000-20,000 cells mL(-1) generated respiratory distress in fish that was unlikely due to low dissolved oxygen (permanently &gt;4 mg L-1). Histological examination of salmon showed that gills were the most affected organ with significant tissue damage and circulatory disorders. It is possible that some of this damage was due to a diatom bloom that preceded the Pseudochattonella event, thereby rendering the fish more susceptible to Pseudochattonella. No correlation between magnitude of fish mortality and algal cell abundance nor fish age was evident. Algal cultures revealed rapid growth rates and high cell densities (up to 600,000 cells mL(-1)), as well as highly complex life cycle stages that can be easily overlooked in monitoring programs. In cell-based bioassays, Chilean P. verruculosa was only toxic to the RTgillWI cell line following exposures to high cell densities of lysed cells (&gt;100,000 cells mL(-1)). Fatty acid profiles of a cultured strain showed elevated concentrations of potentially ichthyotoxic, long-chain polyunsaturated fatty acids (PUFAs) (69.7% +/- 1.8%)- stearidonic (SDA, 18:4 omega 3-28.9%), and docosahexaenoic add (DHA, 22:6 omega 3-22.3%), suggesting that lipid peroxidation may help to explain the mortalities, though superoxide production by Pseudochattonella was low (&lt; 0.21 +/- 0.19 pmol O-2(-) cell(-1) h(-1)). It therefore remains unknown what the mechanisms of salmon mortality were during the Pseudochattonella bloom. Multiple mitigation strategies were used by salmon farmers during the event, with only delayed seeding of juvenile fish into the cages and towing of cages to sanctuary sites being effective. Airlift pumping, used effectively against other fish-killing HABs in the US and Canada was not effective, perhaps because it brought subsurface layers of Pseudochattonella to the surface, or and it also may have lysed the fragile cells, rendering them more lethal. The present study highlights knowledge gaps and inefficiency of contingency plans by the fish farming industry to overcome future fish-killing algal blooms under future climate change scenarios. The use of new technologies based on molecular methods for species detection, good farm practices by fish farms, and possible mitigation strategies are discussed. (C) 2020 Elsevier B.V. All rights reserved. reserved.</t>
  </si>
  <si>
    <t>[Mardones, Jorge, I; Paredes, Javier; Norambuena, Luis; Vargas, Valentina; Fuenzalida, Gonzalo] Inst Fomento Pesquero IFOP, Ctr Estudios Algas Nocivas CREAN, Puerto Montt, Chile; [Mardones, Jorge, I] Ctr EONDAP Invest Dinam Ecosistemas Marinos Altas, Valdivia, Chile; [Godoy, Marcos; Suarez, Rudy] Ctr Invest Biol Aplicadas CIBA, Puerto Montt, Chile; [Godoy, Marcos; Suarez, Rudy] Sede Patagonia, Fac Med Vet, Lab Biotecnol Aplicada, Puerto Montt, Chile; [Godoy, Marcos] Pontificia Univ Catolica Valparaiso, Univ Catolica None, Programa Cooperat Univ Chile, Acuicultura, Valparaiso, Chile; [Suarez, Rudy] Univ Catolica Norte, Acuicultura, Coquimbo, Chile; [Pinilla, Elias; Artal, Osvaldo] Inst Fomento Pesquero IFOP, CIPA Putemun, Castro, Chile; [Rojas, Ximena] Inst Tecnol Salmon INTESAL, Juan Soler Manfredini 41,Of 1802, Puerto Montt, Chile; [Jose Dorantes-Aranda, Juan; Hallegraeff, Gustaaf M.] Univ Tasmania, Inst Marine &amp; Antarctic Studies IMAS, Hobart, Tas, Australia; [Chang, Kim J. Lee] CSIRO Ocean &amp; Atmosphere, GPO Box 1538, Hobart, Tas 7001, Australia; [Anderson, Donald M.] Woods Hole Oceanog Inst WHOI, Biol Dept, Woods Hole, MA USA</t>
  </si>
  <si>
    <t>Instituto de Fomento Pesquero (Valparaiso); Pontificia Universidad Catolica de Valparaiso; Universidad Catolica del Norte; Instituto de Fomento Pesquero (Valparaiso); University of Tasmania; Commonwealth Scientific &amp; Industrial Research Organisation (CSIRO)</t>
  </si>
  <si>
    <t>Mardones, JI (corresponding author), Inst Fomento Pesquero IFOP, Ctr Estudios Algas Nocivas CREAN, Puerto Montt, Chile.</t>
  </si>
  <si>
    <t>jorge.mardones@ifop.cl</t>
  </si>
  <si>
    <t>Dorantes-Aranda, Juan Jose/J-7737-2014; rojas, ximena/JVN-8650-2024; Godoy, Marcos/Q-9774-2019; Hallegraeff, Gustaaf/C-8351-2013</t>
  </si>
  <si>
    <t>Godoy, Marcos/0000-0003-0523-7536; Dorantes-Aranda, Juan J./0000-0003-1513-6501; Norambuena, Luis/0000-0001-8196-1767; Pinilla, Elias/0000-0001-8179-9261; Hallegraeff, Gustaaf/0000-0001-8464-7343; Artal, Osvaldo/0000-0003-1890-9688</t>
  </si>
  <si>
    <t>Instituto de Fomento Pesquero (IFOP) [MR656-129, CORFO 480-018]; Woods Hole Center for Oceans and Human Health (National Science Foundation grant) [OCE-1840381]; Woods Hole Center for Oceans and Human Health (National Institutes of Health grants) [NIEHS-1P01-ES028938-01]</t>
  </si>
  <si>
    <t>Instituto de Fomento Pesquero (IFOP); Woods Hole Center for Oceans and Human Health (National Science Foundation grant); Woods Hole Center for Oceans and Human Health (National Institutes of Health grants)(United States Department of Health &amp; Human ServicesNational Institutes of Health (NIH) - USANIH Division of Research Services (DRS))</t>
  </si>
  <si>
    <t>The authors thank colleagues from the CREAN group for laboratory and field work. Funding was provided by the Instituto de Fomento Pesquero (IFOP) (Grants MR656-129 and CORFO 480-018). Support for DMA was provided through theWoods Hole Center for Oceans and Human Health (National Science Foundation grant OCE-1840381 and National Institutes of Health grants NIEHS-1P01-ES028938-01).</t>
  </si>
  <si>
    <t>APR 20</t>
  </si>
  <si>
    <t>10.1016/j.scitotenv.2020.144383</t>
  </si>
  <si>
    <t>QG6EO</t>
  </si>
  <si>
    <t>WOS:000617676800091</t>
  </si>
  <si>
    <t>Basford, AJ; Makings, N; Mos, B; White, CA; Dworjanyn, S</t>
  </si>
  <si>
    <t>Basford, Alexander J.; Makings, Nirvarna; Mos, Benjamin; White, Camille A.; Dworjanyn, Symon</t>
  </si>
  <si>
    <t>Greenwater, but not live feed enrichment, promotes development, survival, and growth of larval Portunus armatus</t>
  </si>
  <si>
    <t>Portunus armatus; Larval rearing; Microalgae; Cryptomonad; Fatty acids</t>
  </si>
  <si>
    <t>MUD CRAB SCYLLA; FATTY-ACID-COMPOSITION; JUVENILE SWIMMING CRAB; BRACHIONUS-PLICATILIS; LIPID-LEVELS; TRITUBERCULATUS BRACHYURA; JAW MALFORMATION; BODY-COMPOSITION; DIETARY-PROTEIN; TANK COLOR</t>
  </si>
  <si>
    <t>Aquaculture of portunid crabs is hindered by high mortality during larval rearing, which is often attributed to inadequate nutrition. Live feed enrichment and greenwater are techniques used to improve the nutritional quality of feeds for larval fish and some invertebrates, but their usefulness for crab larvae is unclear. This study investigated the effects of live feed enrichment and three different microalgae as greenwaters on the development, growth, and survival of Portunus armatus from hatching to the megalopa stage. P. armatus reared in greenwater had superior development and survival compared to crabs reared without greenwater. Survival and development rates were better when larvae were reared in Nannochloropsis oculata or Proteomonas sulcata greenwaters compared to Tisochrysis lutea greenwater and the crab larvae. P. armatus were also largest when reared in P. sulcata greenwater. The carapace length of megalopa was positively correlated with the biologically important eicosapentaenoic acid (20:5n-3, EPA), but negatively correlated with oleic acid (18:1n-9, OA). This suggests the benefits of using greenwater to rear larval crabs may be tied to live feeds improving their nutritional value by consuming microalgae. Interestingly, enriching live feeds with a commercial lipid emulsion did not affect P. armatus larval development, survival, or growth, despite increasing levels of docosahexaenoic acid (22:6n-3, DHA) in megalopa to a point considered harmful for the larvae of other species of crabs. This study demonstrates the benefits of greenwater when rearing larval crabs as opposed to live feed enrichment, and highlights the potential effectiveness of cryptomonad microalgae as a greenwater media.</t>
  </si>
  <si>
    <t>[Basford, Alexander J.] Northern Terr Govt, Dept Ind Tourism &amp; Trade, Darwin Aquaculture Ctr, Fisheries, Channel Isl 0822, Australia; [Basford, Alexander J.; Makings, Nirvarna; Mos, Benjamin; Dworjanyn, Symon] Southern Cross Univ, Sch Environm Sci &amp; Engn, Natl Marine Sci Ctr, Coffs Harbour 2450, Australia; [White, Camille A.] Univ Tasmania, Inst Marine &amp; Antarctic Studies, Taroona 7052, Australia</t>
  </si>
  <si>
    <t>Northern Territory Government; Southern Cross University; University of Tasmania</t>
  </si>
  <si>
    <t>Basford, AJ (corresponding author), Northern Terr Govt, Dept Ind Tourism &amp; Trade, Darwin Aquaculture Ctr, Fisheries, Channel Isl 0822, Australia.</t>
  </si>
  <si>
    <t>alexander.basford@nt.gov.au</t>
  </si>
  <si>
    <t>Mos, Benjamin/P-2538-2017; dworjanyn, symon/O-5633-2017</t>
  </si>
  <si>
    <t>Mos, Benjamin/0000-0003-3687-516X; dworjanyn, symon/0000-0002-6690-8033</t>
  </si>
  <si>
    <t>New South Wales Recreational Fishing Trust [51809]; Australian Government Research Training Program</t>
  </si>
  <si>
    <t>New South Wales Recreational Fishing Trust; Australian Government Research Training Program(Australian Government)</t>
  </si>
  <si>
    <t>We thank David Rae for collecting the broodstock P. armatus used in this study. Financial support for this study was provided by the New South Wales Recreational Fishing Trust (grant number 51809) and the Australian Government Research Training Program.</t>
  </si>
  <si>
    <t>10.1016/j.aquaculture.2020.736331</t>
  </si>
  <si>
    <t>QC3VP</t>
  </si>
  <si>
    <t>WOS:000614762200004</t>
  </si>
  <si>
    <t>Warren, VE; Sirovic, A; McPherson, C; Goetz, KT; Radford, CA; Constantine, R</t>
  </si>
  <si>
    <t>Warren, Victoria E.; Sirovic, Ana; McPherson, Craig; Goetz, Kimberly T.; Radford, Craig A.; Constantine, Rochelle</t>
  </si>
  <si>
    <t>Passive Acoustic Monitoring Reveals Spatio-Temporal Distributions of Antarctic and Pygmy Blue Whales Around Central New Zealand</t>
  </si>
  <si>
    <t>blue whales; passive acoustic monitoring; distribution; sympatry; New Zealand</t>
  </si>
  <si>
    <t>BALAENOPTERA-MUSCULUS; SOUTHWEST PACIFIC; SOUTHERN-HEMISPHERE; CALLS; RANGE; OCEAN; FREQUENCY; SOUND; SEA; LOCALIZATION</t>
  </si>
  <si>
    <t>Effective management of wild animal populations relies on an understanding of their spatio-temporal distributions. Passive acoustic monitoring (PAM) is a noninvasive method to investigate the distribution of free-ranging species that reliably produce sound. Critically endangered Antarctic blue whales (Balaenoptera musculus intermedia) (ABWs) co-occur with pygmy blue whales (B. m. brevicauda) (PBWs) around New Zealand. Nationally, both are listed as data deficient due to difficulties in access and visual sub-species identification. PAM was used to investigate the distributions of blue whales via sub-species specific song detections in central New Zealand. Propagation models, incorporating ambient noise data, enabled the comparison of detections among recording locations in different marine environments. ABW detections peaked during austral winter and spring, indicating that New Zealand, and the South Taranaki Bight (STB) in particular, is a migratory corridor for ABWs. Some ABW calls were also detected during the breeding season (September and October). PBW calls were highly concentrated in the STB, particularly between March and May, suggesting that an aggregation of PBWs may occur here. Therefore, the STB is of great importance for both sub-species of blue whale. PBW detections were absent from the STB during parts of austral spring, but PBWs were detected at east coast locations during this time. Detection area models were valuable when interpreting and comparing detections among recording locations. The results provide sub-species specific information required for management of critically endangered ABWs and highlight the relative importance of central New Zealand for both sub-species of blue whale.</t>
  </si>
  <si>
    <t>[Warren, Victoria E.; Radford, Craig A.; Constantine, Rochelle] Univ Auckland, Inst Marine Sci, Leigh Marine Lab, Leigh, New Zealand; [Warren, Victoria E.; Goetz, Kimberly T.] Natl Inst Water &amp; Atmospher Res, Wellington, New Zealand; [Sirovic, Ana] Texas A&amp;M Univ, Dept Marine Biol, Galveston, TX 77553 USA; [McPherson, Craig] JASCO Appl Sci Australia Pty Ltd, Capalaba, Qld, Australia; [Goetz, Kimberly T.] NOAA, Natl Marine Mammal Lab, Natl Marine Fisheries Serv, Alaska Fisheries Sci Ctr, Seattle, WA USA; [Constantine, Rochelle] Univ Auckland, Sch Biol Sci, Auckland, New Zealand</t>
  </si>
  <si>
    <t>University of Auckland; National Institute of Water &amp; Atmospheric Research (NIWA) - New Zealand; Texas A&amp;M University System; National Oceanic Atmospheric Admin (NOAA) - USA; University of Auckland</t>
  </si>
  <si>
    <t>Warren, VE (corresponding author), Univ Auckland, Inst Marine Sci, Leigh Marine Lab, Leigh, New Zealand.;Warren, VE (corresponding author), Natl Inst Water &amp; Atmospher Res, Wellington, New Zealand.</t>
  </si>
  <si>
    <t>vwar775@aucklanduni.ac.nz</t>
  </si>
  <si>
    <t>Goetz, Kimberly/AID-8232-2022</t>
  </si>
  <si>
    <t>Sirovic, Ana/0000-0001-5097-1268; McPherson, Craig/0000-0002-9406-9994</t>
  </si>
  <si>
    <t>University of Auckland Doctoral Scholarship; Woodside Marine Mammal Research Grant - Woodside Energy; OMV New Zealand Ltd.; Chevron New Zealand Holdings LLC; Marlborough District Council</t>
  </si>
  <si>
    <t>VW was funded by a University of Auckland Doctoral Scholarship and the Woodside Marine Mammal Research Grant awarded by Woodside Energy. Acoustic data collection was conducted by the National Institute of Water and Atmospheric Research (NIWA), Wellington, supported by funding from OMV New Zealand Ltd., Chevron New Zealand Holdings LLC, and Marlborough District Council.</t>
  </si>
  <si>
    <t>JAN 6</t>
  </si>
  <si>
    <t>10.3389/fmars.2020.575257</t>
  </si>
  <si>
    <t>PU3RV</t>
  </si>
  <si>
    <t>WOS:000609223400001</t>
  </si>
  <si>
    <t>Gon, O; Miya, T; Mcmillan, P; Leslie, R</t>
  </si>
  <si>
    <t>Gon, Ofer; Miya, Tshoanelo; Mcmillan, Peter; Leslie, Robin</t>
  </si>
  <si>
    <t>The distribution of four species of the genus Macrourus (Gadiformes: Macrouridae) from the Southern Ocean based on samples from the toothfish longline fishery</t>
  </si>
  <si>
    <t>ZOOTAXA</t>
  </si>
  <si>
    <t>Dissostichus; grenadier; molecular genetics; scale morphology; Heard Island; McDonald Islands; Ob Bank; Lena Bank; Prince Edward Islands</t>
  </si>
  <si>
    <t>ROSS SEA; DISSOSTICHUS-MAWSONI; MORPHOLOGY; GRENADIER; SLOPE; DIET</t>
  </si>
  <si>
    <t>The known distribution of Macrourus caml is extended to the Ob and Lena Banks area, and southwest of Heard and McDonald Islands. Macrourus holotrachys was recorded from Prince Edward Islands and the Ob and Lena Banks. Macrourus carinatus specimens examined were all from Prince Edward Islands, the type locality. Macrourus whitsoni specimens examined were all from the southeast Atlantic Ocean at about 69 degrees S, close to the Antarctic continent (off Maud Land), consistent with a previous study which reported the species from 64-77 degrees S. A revised identification key is provided.</t>
  </si>
  <si>
    <t>[Gon, Ofer; Miya, Tshoanelo] South African Inst Aquat Biodivers, ZA-6140 Grahamstown, South Africa; [Miya, Tshoanelo] Univ KwaZulu Natal, Durban, South Africa; [Mcmillan, Peter] Museum New Zealand Te Papa Tongarewa, Wellington, New Zealand; [Leslie, Robin] Dept Agr Forestry &amp; Fisheries, Cape Town, South Africa</t>
  </si>
  <si>
    <t>National Research Foundation - South Africa; South African Institute for Aquatic Biodiversity; University of Kwazulu Natal</t>
  </si>
  <si>
    <t>Gon, O (corresponding author), South African Inst Aquat Biodivers, ZA-6140 Grahamstown, South Africa.</t>
  </si>
  <si>
    <t>o.gon@saiab.ac.za; Miyat@ukzn.ac.za; Mcmillanpjnz@outlook.co.nz; roblesliesa@gmail.com</t>
  </si>
  <si>
    <t>Miya, Tshoanelo/AAK-1660-2020; Miya, Tshoanelo/GLV-6732-2022</t>
  </si>
  <si>
    <t>Miya, Tshoanelo/0000-0002-4356-7344; Leslie, Rob/0000-0003-2693-3469</t>
  </si>
  <si>
    <t>National Research Foundation of South Africa (NRF)</t>
  </si>
  <si>
    <t>National Research Foundation of South Africa (NRF)(National Research Foundation - South Africa)</t>
  </si>
  <si>
    <t>We thank Chris Heineken of Capricorn Fisheries Monitoring, Cape Town, for securing the study material via their observers. We are also indebted to the owners, captain and crews of the fishing vessels for the donation of specimens. We are grateful to Roger Bills, Taryn Bodill, Vuyani Hanisi, Nkosinathi Mazungula and Zinzi Somana (SAIAB) for their assistance in processing specimens and tissues. Shirley Pinchuck and Marvin Randall of the Electron Microscopy Unit at Rhodes University, Grahamstown, kindly assisted with the scanning electron microscopy and Susan Jane Baird, NIWA, Wellington, is thanked for the distribution maps. We thank an anonymous reviewer for helpful comments on the manuscript. We acknowledge that opinions, findings and conclusions or recommendations expressed in this publication, partly supported by funds provided by the National Research Foundation of South Africa (NRF), are those of the authors, and that the NRF accepts no liability whatsoever in this regard.</t>
  </si>
  <si>
    <t>MAGNOLIA PRESS</t>
  </si>
  <si>
    <t>AUCKLAND</t>
  </si>
  <si>
    <t>PO BOX 41383, AUCKLAND, ST LUKES 1030, NEW ZEALAND</t>
  </si>
  <si>
    <t>1175-5326</t>
  </si>
  <si>
    <t>1175-5334</t>
  </si>
  <si>
    <t>Zootaxa</t>
  </si>
  <si>
    <t>10.11646/zootaxa.4903.1.6</t>
  </si>
  <si>
    <t>PR2NV</t>
  </si>
  <si>
    <t>WOS:000607079000006</t>
  </si>
  <si>
    <t>Hui, FKC; Hill, NA; Welsh, AH</t>
  </si>
  <si>
    <t>Hui, Francis K. C.; Hill, Nicole A.; Welsh, A. H.</t>
  </si>
  <si>
    <t>Assuming independence in spatial latent variable models: Consequences and implications of misspecification</t>
  </si>
  <si>
    <t>BIOMETRICS</t>
  </si>
  <si>
    <t>community ecology; factor analysis; loadings; multivariate abundance data; spatial; spatiotemporal</t>
  </si>
  <si>
    <t>MAXIMUM-LIKELIHOOD-ESTIMATION; SELECTION; REGRESSION</t>
  </si>
  <si>
    <t>Multivariate spatial data, where multiple responses are simultaneously recorded across spatially indexed observational units, are routinely collected in a wide variety of disciplines. For example, the Southern Ocean Continuous Plankton Recorder survey collects records of zooplankton communities in the Indian sector of the Southern Ocean, with the aim of identifying and quantifying spatial patterns in biodiversity in response to environmental change. One increasingly popular method for modeling such data is spatial generalized linear latent variable models (GLLVMs), where the correlation across sites is captured by a spatial covariance function in the latent variables. However, little is known about the impact of misspecifying the latent variable correlation structure on inference of various parameters in such models. To address this gap in the literature, we investigate how misspecifying and assuming independence for the latent variables' correlation structure impacts estimation and inference in spatial GLLVMs. Through both theory and numerical studies, we show that performance of maximum likelihood estimation and inference on regression coefficients under misspecification depends on a combination of the response type, the magnitude of true regression coefficient, and the corresponding loadings, and, most importantly, whether the corresponding covariate is (also) spatially correlated. On the other hand, estimation and inference of truly nonzero loadings and prediction of latent variables is consistently not robust to misspecification of the latent variable correlation structure.</t>
  </si>
  <si>
    <t>[Hui, Francis K. C.; Welsh, A. H.] Australian Natl Univ, Res Sch Finance Actuarial Studies &amp; Stat, Acton, ACT 2601, Australia; [Hill, Nicole A.] Univ Tasmania, Inst Marine &amp; Antarctic Studies, Hobart, Tas, Australia</t>
  </si>
  <si>
    <t>Australian National University; University of Tasmania</t>
  </si>
  <si>
    <t>Hui, FKC (corresponding author), Australian Natl Univ, Res Sch Finance Actuarial Studies &amp; Stat, Acton, ACT 2601, Australia.</t>
  </si>
  <si>
    <t>francis.hui@anu.edu.au</t>
  </si>
  <si>
    <t>Hui, Francis/0000-0003-0765-3533</t>
  </si>
  <si>
    <t>Australian Research Council [DE200100435, DP180100836]; Australian Research Council [DE200100435] Funding Source: Australian Research Council</t>
  </si>
  <si>
    <t>Australian Research Council(Australian Research Council); Australian Research Council(Australian Research Council)</t>
  </si>
  <si>
    <t>Australian Research Council, Grant/Award Numbers: DE200100435, DP180100836</t>
  </si>
  <si>
    <t>0006-341X</t>
  </si>
  <si>
    <t>1541-0420</t>
  </si>
  <si>
    <t>Biometrics</t>
  </si>
  <si>
    <t>10.1111/biom.13416</t>
  </si>
  <si>
    <t>Biology; Mathematical &amp; Computational Biology; Statistics &amp; Probability</t>
  </si>
  <si>
    <t>Life Sciences &amp; Biomedicine - Other Topics; Mathematical &amp; Computational Biology; Mathematics</t>
  </si>
  <si>
    <t>0D9BL</t>
  </si>
  <si>
    <t>WOS:000605061700001</t>
  </si>
  <si>
    <t>Zeng, YX; Luo, W; Li, HR; Yu, Y</t>
  </si>
  <si>
    <t>Zeng, Yin-Xin; Luo, Wei; Li, Hui-Rong; Yu, Yong</t>
  </si>
  <si>
    <t>High diversity of planktonic prokaryotes in Arctic Kongsfjorden seawaters in summer 2015</t>
  </si>
  <si>
    <t>Planktonic bacteria; Archaea; Pyrosequencing; Kongsfjorden; Arctic</t>
  </si>
  <si>
    <t>SP-NOV.; COMMUNITY STRUCTURE; BACTERIOPLANKTON COMMUNITY; BACTERIAL COMMUNITIES; ATLANTIC WATER; SPRING BLOOM; GEN. NOV.; ARCHAEA; FJORD; PHYTOPLANKTON</t>
  </si>
  <si>
    <t>Kongsfjorden is a typical glacier fjord in the European Arctic. In order to know the distribution and diversity of planktonic prokaryotes in the fjord subjected to strong physical gradient related with local glacier dynamics, prokaryote communities along a transect extending from the outer to the inner fjord was investigated in the summer of 2015 using 454 pyrosequencing of archaeal and bacterial 16S rRNA genes. Higher diversity and species richness were detected in Bacteria than in Archaea in each sample. Archaeal 16S rRNA gene sequences were not detected in the outer area of the fjord. Nitrososphaeria within the phylum Crenarchaeota and Poseidoniia within the Thermoplasmatota were two dominant archaeal groups in the fjord. At the genus level, Nitrosopumilus, Nitrosopelagicus, MGIIa-L1, and MGIIb-O2 dominated seawater archaeal communities. Higher abundances of Poseidoniale-related archaea were observed in the deep water than in the surface water. The Proteobacteria, Bacteroidota, and Actinobacteriota dominated the planktonic bacterial communities, with Verrucomicrobiota (represented by Verrucomicrobiae) dominating the middle area of the fjord. At the class level, Bacteroidia, Alphaproteobacteria, Gammaproteobacteria, and Actinobacteria dominated the bacterial communities within Kongsfjorden. Sequences affiliated with genera Polaribacter and Yoonia were frequently detected in the fjord. Results suggest that planktonic archaeal and bacterial community compositions in Kongsfjorden can be driven by different major environmental factors.</t>
  </si>
  <si>
    <t>[Zeng, Yin-Xin; Luo, Wei; Li, Hui-Rong; Yu, Yong] Polar Res Inst China, Key Lab Polar Sci, Shanghai 200136, Peoples R China</t>
  </si>
  <si>
    <t>Polar Research Institute of China</t>
  </si>
  <si>
    <t>Zeng, YX (corresponding author), Polar Res Inst China, Key Lab Polar Sci, Shanghai 200136, Peoples R China.</t>
  </si>
  <si>
    <t>yxzeng@yahoo.com</t>
  </si>
  <si>
    <t>Zeng, Yin-Xin/0000-0002-3689-7855; Luo, Wei/0000-0002-4472-2182</t>
  </si>
  <si>
    <t>National Natural Science Foundation of China [91851201, 41476171]</t>
  </si>
  <si>
    <t>We appreciate the assistance of the Chinese Arctic and Antarctic Administration (CAA), which organized the Chinese Arctic Yellow River Station Expedition in 2015, and the assistance of Dr. Shu-Nan Cao who collected seawater samples for us. We thank Zhong-Qiang Ji of Second Institute of Oceanography for kindly providing the nutrient and Chl a data. We also are grateful to Veronica Molina and two anonymous reviewers for suggestive comments and modification. This work was supported by the National Natural Science Foundation of China (Grant Nos. 91851201 and 41476171). We thank LetPub (www.letpub.com) for its linguistic assistance during the preparation of this manuscript.</t>
  </si>
  <si>
    <t>10.1007/s00300-020-02791-3</t>
  </si>
  <si>
    <t>WOS:000605488100001</t>
  </si>
  <si>
    <t>Kuma, P; McDonald, AJ; Morgenstern, O; Querel, R; Silber, I; Flynn, CJ</t>
  </si>
  <si>
    <t>Kuma, Peter; McDonald, Adrian J.; Morgenstern, Olaf; Querel, Richard; Silber, Israel; Flynn, Connor J.</t>
  </si>
  <si>
    <t>Ground-based lidar processing and simulator framework for comparing models and observations (ALCF 1.0)</t>
  </si>
  <si>
    <t>GEOSCIENTIFIC MODEL DEVELOPMENT</t>
  </si>
  <si>
    <t>DROPLET EFFECTIVE RADIUS; CEILOMETER NETWORK; INSTRUMENT DESCRIPTION; ATMOSPHERIC RADIATION; BACKSCATTER PROFILES; NUMBER CONCENTRATION; BOUNDARY-LAYER; CLIMATE MODELS; MIXING HEIGHT; WATER-CONTENT</t>
  </si>
  <si>
    <t>Automatic lidars and ceilometers (ALCs) provide valuable information on cloud and aerosols but have not been systematically used in the evaluation of general circulation models (GCMs) and numerical weather prediction (NWP) models. Obstacles associated with the diversity of instruments, a lack of standardisation of data products and open processing tools mean that the value of large ALC networks worldwide is not being realised. We discuss a tool, called the Automatic Lidar and Ceilometer Framework (ALCF), that overcomes these problems and also includes a ground-based lidar simulator, which calculates the radiative transfer of laser radiation and allows one-to-one comparison with models. Our ground-based lidar simulator is based on the Cloud Feedback Model Intercomparison Project (CFMIP) Observation Simulator Package (COSP), which has been extensively used for spaceborne lidar intercomparisons. The ALCF implements all steps needed to transform and calibrate raw ALC data and create simulated attenuated volume backscattering coefficient profiles for one-to-one comparison and complete statistical analysis of clouds. The framework supports multiple common commercial ALCs (Vaisala CL31, CL51, Lufft CHM 15k and Droplet Measurement Technologies MiniMPL), reanalyses (JRA-55, ERA5 and MERRA-2) and models (the Unified Model and AMPS - the Antarctic Mesoscale Prediction System). To demonstrate its capabilities, we present case studies evaluating cloud in the supported reanalyses and models using CL31, CL51, CHM 15k and MiniMPL observations at three sites in New Zealand. We show that the reanalyses and models generally underestimate cloud fraction. If sufficiently high-temporal-resolution model output is available (better than 6-hourly), a direct comparison of individual clouds is also possible. We demonstrate that the ALCF can be used as a generic evaluation tool to examine cloud occurrence and cloud properties in reanalyses, NWP models, and GCMs, potentially utilising the large amounts of ALC data already available. This tool is likely to be particularly useful for the analysis and improvement of low-level cloud simulations which are not well monitored from space. This has previously been identified as a critical deficiency in contemporary models, limiting the accuracy of weather forecasts and future climate projections. While the current focus of the framework is on clouds, support for aerosol in the lidar simulator is planned in the future.</t>
  </si>
  <si>
    <t>[Kuma, Peter; McDonald, Adrian J.] Univ Canterbury, Sch Phys &amp; Chem Sci, Christchurch, New Zealand; [Morgenstern, Olaf] Natl Inst Water &amp; Atmospher Res NIWA, Wellington, New Zealand; [Querel, Richard] Natl Inst Water &amp; Atmospher Res NIWA, Lauder, New Zealand; [Silber, Israel] Penn State Univ, Dept Meteorol &amp; Atmospher Sci, University Pk, PA 16802 USA; [Flynn, Connor J.] Univ Oklahoma, Sch Meteorol, Norman, OK 73019 USA</t>
  </si>
  <si>
    <t>University of Canterbury; National Institute of Water &amp; Atmospheric Research (NIWA) - New Zealand; National Institute of Water &amp; Atmospheric Research (NIWA) - New Zealand; Pennsylvania Commonwealth System of Higher Education (PCSHE); Pennsylvania State University; Pennsylvania State University - University Park; University of Oklahoma System; University of Oklahoma - Norman</t>
  </si>
  <si>
    <t>Kuma, P (corresponding author), Univ Canterbury, Sch Phys &amp; Chem Sci, Christchurch, New Zealand.</t>
  </si>
  <si>
    <t>peter@peterkuma.net</t>
  </si>
  <si>
    <t>; Querel, Richard/D-3770-2015</t>
  </si>
  <si>
    <t>Morgenstern, Olaf/0000-0002-9967-9740; Silber, Israel/0000-0001-6588-2145; Querel, Richard/0000-0001-8792-2486; Kuma, Peter/0000-0002-0910-8646</t>
  </si>
  <si>
    <t>New Zealand Deep South National Science Challenge Clouds and Aerosols project; Ministry of Business, Innovation &amp; Employment Research Infrastructure programme, New Zealand; NeSI</t>
  </si>
  <si>
    <t>New Zealand Deep South National Science Challenge Clouds and Aerosols project; Ministry of Business, Innovation &amp; Employment Research Infrastructure programme, New Zealand(New Zealand Ministry of Business, Innovation and Employment (MBIE)); NeSI</t>
  </si>
  <si>
    <t>This research has been supported by the New Zealand Deep South National Science Challenge Clouds and Aerosols project as well as the NeSI collaborator institutions and Ministry of Business, Innovation &amp; Employment Research Infrastructure programme, New Zealand.</t>
  </si>
  <si>
    <t>1991-959X</t>
  </si>
  <si>
    <t>1991-9603</t>
  </si>
  <si>
    <t>GEOSCI MODEL DEV</t>
  </si>
  <si>
    <t>Geosci. Model Dev.</t>
  </si>
  <si>
    <t>10.5194/gmd-14-43-2021</t>
  </si>
  <si>
    <t>PQ8RG</t>
  </si>
  <si>
    <t>WOS:000606810000001</t>
  </si>
  <si>
    <t>Ogaki, MB; Pinto, OHB; Vieira, R; Neto, AA; Convey, P; Carvalho-Silva, M; Rosa, CA; Câmara, PEAS; Rosa, LH</t>
  </si>
  <si>
    <t>Ogaki, Mayara Baptistucci; Pinto, Otavio Henrique Bezerra; Vieira, Rosemary; Neto, Arthur Ayres; Convey, Peter; Carvalho-Silva, Micheline; Rosa, Carlos Augusto; Camara, Paulo E. A. S.; Rosa, Luiz Henrique</t>
  </si>
  <si>
    <t>Fungi Present in Antarctic Deep-Sea Sediments Assessed Using DNA Metabarcoding</t>
  </si>
  <si>
    <t>MICROBIAL ECOLOGY</t>
  </si>
  <si>
    <t>Antarctica; Ecology; Fungi; Marine; Metabarcoding; Taxonomy</t>
  </si>
  <si>
    <t>MARINE FUNGI; DIVERSITY; COMMUNITIES; PLANT; MACROALGAE; EUKARYOTES; NOV.; SOIL</t>
  </si>
  <si>
    <t>We assessed fungal diversity in deep-sea sediments obtained from different depths in the Southern Ocean using the internal transcribed spacer 2 (ITS2) region of nuclear ribosomal DNA by metabarcoding through high-throughput sequencing (HTS). We detected 655,991 DNA reads representing 263 fungal amplicon sequence variants (ASVs), dominated by Ascomycota, Basidiomycota, Mortierellomycota, Mucoromycota, Chytridiomycota and Rozellomycota, confirming that deep-sea sediments can represent a hotspot of fungal diversity in Antarctica. The community diversity detected included 17 dominant fungal ASVs, 62 intermediate and 213 rare. The dominant fungi included taxa of Mortierella, Penicillium, Cladosporium, Pseudogymnoascus, Phaeosphaeria and Torula. Despite the extreme conditions of the Southern Ocean benthos, the total fungal community detected in these marine sediments displayed high indices of diversity and richness, and moderate dominance, which varied between the different depths sampled. The highest diversity indices were obtained in sediments from 550 m and 250 m depths. Only 49 ASVs (18.63%) were detected at all the depths sampled, while 16 ASVs were detected only in the deepest sediment sampled at 1463 m. Based on sequence identities, the fungal community included some globally distributed taxa, primarily recorded otherwise from terrestrial environments, suggesting transport from these to deep marine sediments. The assigned taxa included symbionts, decomposers and plant-, animal- and human-pathogenic fungi, suggesting that deep-sea sediments host a complex fungal diversity, although metabarcoding does not itself confirm that living or viable organisms are present.</t>
  </si>
  <si>
    <t>[Ogaki, Mayara Baptistucci; Rosa, Carlos Augusto; Rosa, Luiz Henrique] Univ Fed Minas Gerais, Dept Microbiol, Horizonte, Brazil; [Pinto, Otavio Henrique Bezerra] Univ Brasilia, Dept Biol Celular, Brasilia, DF, Brazil; [Vieira, Rosemary; Neto, Arthur Ayres] Univ Fed Fluminense, Inst Geociencias, Niteroi, RJ, Brazil; [Convey, Peter] British Antarctic Survey, NERC, Madingley Rd, Cambridge CB3 0ET, England; [Carvalho-Silva, Micheline; Camara, Paulo E. A. S.] Univ Brasilia, Dept Botan, Brasilia, DF, Brazil; [Rosa, Luiz Henrique] Univ Fed Minas Gerais, Inst Ciencias Biol, Dept Microbiol, Lab Microbiol Polar &amp; Conexoes Tropicais, POB 486, BR-31270901 Belo Horizonte, MG, Brazil</t>
  </si>
  <si>
    <t>Universidade Federal de Minas Gerais; Universidade de Brasilia; Universidade Federal Fluminense; UK Research &amp; Innovation (UKRI); Natural Environment Research Council (NERC); NERC British Antarctic Survey; Universidade de Brasilia; Universidade Federal de Minas Gerais</t>
  </si>
  <si>
    <t>Rosa, LH (corresponding author), Univ Fed Minas Gerais, Dept Microbiol, Horizonte, Brazil.;Rosa, LH (corresponding author), Univ Fed Minas Gerais, Inst Ciencias Biol, Dept Microbiol, Lab Microbiol Polar &amp; Conexoes Tropicais, POB 486, BR-31270901 Belo Horizonte, MG, Brazil.</t>
  </si>
  <si>
    <t>Ogaki, Mayara/AAE-3088-2021; Neto, Arthur Ayres/AAL-2963-2021; Convey, Peter/AAV-5728-2020; Camara, Paulo/GPP-2054-2022</t>
  </si>
  <si>
    <t>Neto, Arthur Ayres/0000-0002-2982-245X; Convey, Peter/0000-0001-8497-9903; Camara, Paulo/0000-0002-3944-996X; Silva, Micheline/0000-0002-2389-3804; Vieira, Rosemary/0000-0003-0312-2890; Pinto, Otavio/0000-0002-8382-2987</t>
  </si>
  <si>
    <t>CNPq; PROANTAR; FAPEMIG; Coordenacao de Aperfeicoamento de Pessoal de Nivel Superior - Brasil (CAPES); INCT Criosfera 2; NERC; NERC [bas0100036] Funding Source: UKRI</t>
  </si>
  <si>
    <t>CNPq(Conselho Nacional de Desenvolvimento Cientifico e Tecnologico (CNPQ)); PROANTAR; FAPEMIG(Fundacao de Amparo a Pesquisa do Estado de Minas Gerais (FAPEMIG)); Coordenacao de Aperfeicoamento de Pessoal de Nivel Superior - Brasil (CAPES)(Coordenacao de Aperfeicoamento de Pessoal de Nivel Superior (CAPES)); INCT Criosfera 2; NERC(UK Research &amp; Innovation (UKRI)Natural Environment Research Council (NERC)); NERC(UK Research &amp; Innovation (UKRI)Natural Environment Research Council (NERC))</t>
  </si>
  <si>
    <t>This study received financial support from the CNPq, PROANTAR, FAPEMIG, Coordenacao de Aperfeicoamento de Pessoal de Nivel Superior - Brasil (CAPES), INCT Criosfera 2. P. Convey is supported by NERC core funding to the British Antarctic Survey's Biodiversity, Evolution and Adaptation Team.</t>
  </si>
  <si>
    <t>0095-3628</t>
  </si>
  <si>
    <t>1432-184X</t>
  </si>
  <si>
    <t>MICROB ECOL</t>
  </si>
  <si>
    <t>Microb. Ecol.</t>
  </si>
  <si>
    <t>10.1007/s00248-020-01658-8</t>
  </si>
  <si>
    <t>Ecology; Marine &amp; Freshwater Biology; Microbiology</t>
  </si>
  <si>
    <t>Environmental Sciences &amp; Ecology; Marine &amp; Freshwater Biology; Microbiology</t>
  </si>
  <si>
    <t>TK8LS</t>
  </si>
  <si>
    <t>WOS:000605527400004</t>
  </si>
  <si>
    <t>Barbat, MM; Rackow, T; Wesche, C; Hellmer, HH; Mata, MM</t>
  </si>
  <si>
    <t>Barbat, Mauro M.; Rackow, Thomas; Wesche, Christine; Hellmer, Hartmut H.; Mata, Mauricio M.</t>
  </si>
  <si>
    <t>Automated iceberg tracking with a machine learning approach applied to SAR imagery: A Weddell sea case study</t>
  </si>
  <si>
    <t>ISPRS JOURNAL OF PHOTOGRAMMETRY AND REMOTE SENSING</t>
  </si>
  <si>
    <t>Icebergs; SAR; Tracking; Southern Ocean; Machine learning; Antarctic</t>
  </si>
  <si>
    <t>ANTARCTIC ICEBERGS; CROSS-CORRELATION; ICE; SIZE; IDENTIFICATION; CLIMATOLOGY; CIRCULATION; IMPACT; WATER; DRIFT</t>
  </si>
  <si>
    <t>Drifting icebergs represent a significant hazard for polar navigation and are able to impact the ocean environment around them. Freshwater flux and the associated cooling from melting icebergs can locally decrease salinity and temperature and thus affect ocean circulation, biological activity, sea ice, and -on larger spatial scales- the whole climate system. However, despite their potential impact, the large-scale operational monitoring of drifting icebergs in sea ice-covered regions is as of today typically restricted to giant icebergs, larger than 18.5 km in length. This is due to difficulties in accurately identifying and following the motion of much smaller features in the polar ocean from space. So far, tracking of smaller icebergs from satellite imagery thus has been limited to open-ocean regions not covered by sea ice. In this study, a novel automated iceberg tracking method, based on a machine learning-approach for automatic iceberg detection, is presented. To demonstrate the applicability of the method, a case study was performed for the Weddell Sea region, Antarctica, using 1213 Advanced Synthetic Aperture Radar (ASAR) satellite images acquired between 2002 and 2011. Overall, a subset of 414 icebergs (3134 re-detections in total) with surface areas between 3.4 km(2) and 3612 km(2) were investigated with respect to their prevalent drift patterns, size variability, and average disintegration. The majority of the tracked icebergs drifted between 1.3 km and 2679.2 km westward around the Antarctic continent, following the Antarctic Coastal Current (ACoC) and the Weddell Gyre, at an average drift speed of 3.6 +/- 7.4 km day(-1). The method also allowed us to estimate an average daily disintegration (i.e. iceberg area decrease) rate of similar to 0.13% (similar to 37% year(-1)) for all icebergs. Using the sum of all detected individual surface area reductions, we estimate a total iceberg mass decrease of similar to 683 Gt year(-1) which can be freshwater input and/or new 'child' icebergs calved from larger icebergs. The extension to an automated long-term tracking method for icebergs is challenging as the iceberg shape can vary significantly due to abrupt disintegration or calving of bergy bits. However, our machine learning approach extended by automatic shape-based tracking capabilities proved to be a reliable alternative for automatic detection and tracking of icebergs, even under the ambiguous SAR background signatures often found in the Southern Ocean. In particular, the method works in the challenging near-coastal environment where the presence of sea ice and coastal ocean dynamics such as surface waves usually pose major obstacles for other approaches.</t>
  </si>
  <si>
    <t>[Barbat, Mauro M.; Mata, Mauricio M.] Fed Univ Rio Grande FURG, Inst Oceanog, BR-96203900 Rio Grande, RS, Brazil; [Rackow, Thomas; Wesche, Christine; Hellmer, Hartmut H.] Helmholtz Ctr Polar &amp; Marine Res, Alfred Wegener Inst, Bremerhaven, Germany</t>
  </si>
  <si>
    <t>Universidade Federal do Rio Grande; Helmholtz Association; Alfred Wegener Institute, Helmholtz Centre for Polar &amp; Marine Research</t>
  </si>
  <si>
    <t>Barbat, MM (corresponding author), Fed Univ Rio Grande FURG, Inst Oceanog, BR-96203900 Rio Grande, RS, Brazil.</t>
  </si>
  <si>
    <t>maurobarbat@furg.br</t>
  </si>
  <si>
    <t>Rackow, Thomas/AAP-2735-2020; Barbat, Mauro/AAB-9829-2020; Mata, Mauricio/H-4605-2011</t>
  </si>
  <si>
    <t>Rackow, Thomas/0000-0002-5468-575X; Barbat, Mauro/0000-0001-7930-1612; Mata, Mauricio/0000-0002-9028-8284</t>
  </si>
  <si>
    <t>Brazilian Antarctic Program (PROANTAR) through the Brazilian Ministry of the Environment (MMA); Brazilian Ministry of Science, Technology, Innovation and Communication (MCTIC); Council for Research and Scientific Development of Brazil (CNPq) [405869/2013-4]; CAPES Foundation [AUXPE 1995/2014, 88881.177236/2018-01, 88887.478195/2020-00]; CNPq [140910/2016-6, 306896/2015-0]; Alfred Wegener Institute; Helmholtz Centre for Polar and Marine Research, Germany</t>
  </si>
  <si>
    <t>Brazilian Antarctic Program (PROANTAR) through the Brazilian Ministry of the Environment (MMA); Brazilian Ministry of Science, Technology, Innovation and Communication (MCTIC); Council for Research and Scientific Development of Brazil (CNPq)(Conselho Nacional de Desenvolvimento Cientifico e Tecnologico (CNPQ)Fundacao de Apoio a Pesquisa do Distrito Federal (FAPDF)); CAPES Foundation(Coordenacao de Aperfeicoamento de Pessoal de Nivel Superior (CAPES)); CNPq(Conselho Nacional de Desenvolvimento Cientifico e Tecnologico (CNPQ)); Alfred Wegener Institute; Helmholtz Centre for Polar and Marine Research, Germany</t>
  </si>
  <si>
    <t>This study is a contribution to the activities of the Brazilian High Latitudes Oceanography Group (GOAL) and the Brazilian National Institute of Science and Technology of the Cryosphere (INCT-CRIOSFERA; 465680/2014-3 and FAPERGS 17/2551-0000518-0). GOAL has been funded by the Brazilian Antarctic Program (PROANTAR) through the Brazilian Ministry of the Environment (MMA), the Brazilian Ministry of Science, Technology, Innovation and Communication (MCTIC), the Council for Research and Scientific Development of Brazil (CNPq; 405869/2013-4), and CAPES Foundation (AUXPE 1995/2014). M. M. Barbat acknowledges the fellowships from CNPq (140910/2016-6) and CAPES Foundation (88881.177236/2018-01 and 88887.478195/2020-00). M. M. Mata acknowledges CNPq grant 306896/2015-0. T. Rackow was funded by the Alfred Wegener Institute, Helmholtz Centre for Polar and Marine Research, Germany. We also thank the European Space Agency (ESA) for providing the Envisat ASAR images used in this study. In addition, we have uploaded the full iceberg database and software used in this work to the institutional website of Federal University of Rio Grande, Brazil (https://goal.furg.br/producaocientifica/supplements).</t>
  </si>
  <si>
    <t>0924-2716</t>
  </si>
  <si>
    <t>1872-8235</t>
  </si>
  <si>
    <t>ISPRS J PHOTOGRAMM</t>
  </si>
  <si>
    <t>ISPRS-J. Photogramm. Remote Sens.</t>
  </si>
  <si>
    <t>10.1016/j.isprsjprs.2020.12.006</t>
  </si>
  <si>
    <t>Geography, Physical; Geosciences, Multidisciplinary; Remote Sensing; Imaging Science &amp; Photographic Technology</t>
  </si>
  <si>
    <t>Physical Geography; Geology; Remote Sensing; Imaging Science &amp; Photographic Technology</t>
  </si>
  <si>
    <t>PV7TY</t>
  </si>
  <si>
    <t>WOS:000610187300013</t>
  </si>
  <si>
    <t>Jiang, L; Gao, W; Ma, XD; Wang, YJ; Wang, C; Li, YM; Yang, RQ; Fu, JJ; Shi, JB; Zhang, QH; Wang, YW; Jiang, GB</t>
  </si>
  <si>
    <t>Jiang, Lu; Gao, Wei; Ma, Xindong; Wang, Yingjun; Wang, Chu; Li, Yingming; Yang, Ruiqiang; Fu, Jianjie; Shi, Jianbo; Zhang, Qinghua; Wang, Yawei; Jiang, Guibin</t>
  </si>
  <si>
    <t>Long-Term Investigation of the Temporal Trends and Gas/Particle Partitioning of Short- and Medium-Chain Chlorinated Paraffins in Ambient Air of King George Island, Antarctica</t>
  </si>
  <si>
    <t>ENVIRONMENTAL SCIENCE &amp; TECHNOLOGY</t>
  </si>
  <si>
    <t>FLAME RETARDANTS; RANGE TRANSPORT; SHERGYLA MOUNTAIN; ORGANIC-COMPOUNDS; TIBETAN PLATEAU; GLOBAL AIR; N-ALKANES; ATMOSPHERE; GAS; CHINESE</t>
  </si>
  <si>
    <t>The presence of anthropogenically emitted chlorinated paraffins (CPs) has been reported in the pristine regions, providing evidence of their long-range transport. This study comprehensively analyzed the short-chain chlorinated paraffins (SCCPs) and medium-chain chlorinated paraffins (MCCPs) in both gas and particle phases at King George Island, West Antarctica (the Chinese Great Wall Station), from 2014 to 2018. The atmospheric levels of CPs ranged between 71.4 and 4230 pg/m(3), with an increasing temporal trend during the sampling time. Three different models (J-P model, H-B model, and L-M-Y model) were built to estimate the progress of gas/particle partitioning of CPs at the measurement site. Furthermore, we compared the measured data of the gas/particle partitioning with the data estimated using three different models. We found that the steady-state model (L-M-Y model) was more suitable for investigating the gas/particle partitioning of CPs instead of equilibrium state models (J-P model and H-B model). The result indicated that steady-state approximation rather than the equilibrium state represents the most predominant contribution to the transport of CPs to the Antarctic region. The steady-state further made it conducive to sustaining the levels of CPs for a more extended period in the atmosphere of West Antarctica.</t>
  </si>
  <si>
    <t>[Jiang, Lu; Gao, Wei; Ma, Xindong; Wang, Yingjun; Wang, Chu; Li, Yingming; Yang, Ruiqiang; Fu, Jianjie; Shi, Jianbo; Zhang, Qinghua; Wang, Yawei; Jiang, Guibin] Chinese Acad Sci, Res Ctr Ecoenvironm Sci, Beijing 100085, Peoples R China; [Jiang, Lu; Wang, Yingjun; Wang, Chu; Jiang, Guibin] Univ Chinese Acad Sci, Beijing 100049, Peoples R China; [Ma, Xindong] Natl Marine Environm Monitoring Ctr, State Ocean Adm, Key Lab Ecol Environm Coastal Areas, Dalian 116023, Peoples R China; [Wang, Yawei] UCAS, Hangzhou Inst Adv Study, Sch Environm, Hangzhou 310000, Peoples R China</t>
  </si>
  <si>
    <t>Chinese Academy of Sciences; Research Center for Eco-Environmental Sciences (RCEES); Chinese Academy of Sciences; University of Chinese Academy of Sciences, CAS; National Marine Environmental Monitoring Center</t>
  </si>
  <si>
    <t>Wang, YW (corresponding author), UCAS, Hangzhou Inst Adv Study, Sch Environm, Hangzhou 310000, Peoples R China.</t>
  </si>
  <si>
    <t>ywwang@rcees.ac.cn</t>
  </si>
  <si>
    <t>Zhang, Qinghua/L-7652-2019; Wang, Yiping/IZQ-2052-2023; Wang, Ying/HJI-2509-2023; Gao, Wei/GXH-0380-2022; ZHANG, XUCHEN/KBB-7989-2024; Shi, Jianbo/B-1785-2012; Wang, Yawei/C-5628-2015; wang, ying/GQY-5077-2022</t>
  </si>
  <si>
    <t>Zhang, Qinghua/0000-0001-9086-7000; Shi, Jianbo/0000-0003-2637-1929; Wang, Yawei/0000-0002-5300-7121; Ma, Xindong/0000-0001-8949-9327; Jiang, Lu/0009-0007-3566-6477; Fu, Jianjie/0000-0002-6373-0719</t>
  </si>
  <si>
    <t>National Natural Science Foundation of China [22021003, 21625702, 21777183]</t>
  </si>
  <si>
    <t>We thank the joint financial support from the National Natural Science Foundation of China (22021003, 21625702, and 21777183).</t>
  </si>
  <si>
    <t>0013-936X</t>
  </si>
  <si>
    <t>1520-5851</t>
  </si>
  <si>
    <t>ENVIRON SCI TECHNOL</t>
  </si>
  <si>
    <t>Environ. Sci. Technol.</t>
  </si>
  <si>
    <t>JAN 5</t>
  </si>
  <si>
    <t>10.1021/acs.est.0c05964</t>
  </si>
  <si>
    <t>PQ8VN</t>
  </si>
  <si>
    <t>WOS:000606821200024</t>
  </si>
  <si>
    <t>Ashley, KE; McKay, R; Etourneau, J; Jimenez-Espejo, FJ; Condron, A; Albot, A; Crosta, X; Riesselman, C; Seki, O; Mass, G; Golledge, NR; Gasson, E; Lowry, DP; Barrand, NE; Johnson, K; Bertler, N; Escutia, C; Dunbar, R; Bendle, JA</t>
  </si>
  <si>
    <t>Ashley, Kate E.; McKay, Robert; Etourneau, Johan; Jimenez-Espejo, Francisco J.; Condron, Alan; Albot, Anna; Crosta, Xavier; Riesselman, Christina; Seki, Osamu; Mass, Guillaume; Golledge, Nicholas R.; Gasson, Edward; Lowry, Daniel P.; Barrand, Nicholas E.; Johnson, Katelyn; Bertler, Nancy; Escutia, Carlota; Dunbar, Robert; Bendle, James A.</t>
  </si>
  <si>
    <t>Mid-Holocene Antarctic sea-ice increase driven by marine ice sheet retreat</t>
  </si>
  <si>
    <t>HYDROGEN-ISOTOPIC COMPOSITION; MERTZ GLACIER POLYNYA; SHELF WATER PLUME; ROSS SEA; OCEAN CIRCULATION; EAST ANTARCTICA; SURFACE WATERS; ADELIE LAND; TEMPERATURE; HOLOCENE</t>
  </si>
  <si>
    <t>Over recent decades Antarctic sea-ice extent has increased, alongside widespread ice shelf thinning and freshening of waters along the Antarctic margin. In contrast, Earth system models generally simulate a decrease in sea ice. Circulation of water masses beneath large-cavity ice shelves is not included in current Earth System models and may be a driver of this phenomena. We examine a Holocene sediment core off East Antarctica that records the Neoglacial transition, the last major baseline shift of Antarctic sea ice, and part of a late-Holocene global cooling trend. We provide a multiproxy record of Holocene glacial meltwater input, sediment transport, and sea-ice variability. Our record, supported by high-resolution ocean modelling, shows that a rapid Antarctic sea-ice increase during the mid-Holocene (similar to 4.5 ka) occurred against a backdrop of increasing glacial meltwater input and gradual climate warming. We suggest that mid-Holocene ice shelf cavity expansion led to cooling of surface waters and sea-ice growth that slowed basal ice shelf melting. Incorporating this feedback mechanism into global climate models will be important for future projections of Antarctic changes.</t>
  </si>
  <si>
    <t>[Ashley, Kate E.; Barrand, Nicholas E.; Bendle, James A.] Univ Birmingham, Sch Geog Earth &amp; Environm Sci, Birmingham B15 2TT, W Midlands, England; [McKay, Robert; Albot, Anna; Golledge, Nicholas R.; Lowry, Daniel P.; Johnson, Katelyn; Bertler, Nancy] Victoria Univ Wellington, Antarctic Res Ctr, Wellington 6140, New Zealand; [Etourneau, Johan; Jimenez-Espejo, Francisco J.; Escutia, Carlota] EPHE PSL Res Univ, 4-14 Rue Ferrus, F-75014 Paris, France; [Jimenez-Espejo, Francisco J.] Japan Agcy Marine Earth Sci &amp; Technol JAMSTEC, Dept Biogeochem, Yokosuka, Kanagawa 2370061, Japan; [Condron, Alan] Woods Hole Oceanog Inst, Dept Geol &amp; Geophys, Woods Hole, MA 02543 USA; [Etourneau, Johan; Crosta, Xavier] Univ Bordeaux, EPHE, CNRS, UMR 5805 EPOC, F-33615 Pessac, France; [Riesselman, Christina] Univ Otago, Dept Geol, Dunedin 9016, New Zealand; [Riesselman, Christina] Univ Otago, Dept Marine Sci, Dunedin 9016, New Zealand; [Seki, Osamu] Hokkaido Univ, Inst Low Temp Sci, Sapporo, Hokkaido 0600819, Japan; [Mass, Guillaume] Univ Laval, UMI 3376 UL CNRS, TAKUVIK, 1045 Ave Med, Quebec City, PQ G1V 0A6, Canada; [Golledge, Nicholas R.; Lowry, Daniel P.; Johnson, Katelyn; Bertler, Nancy] GNS Sci, Lower Hutt 5011, New Zealand; [Gasson, Edward] Univ Bristol, Sch Geog Sci, Bristol BS8 2RL, Avon, England; [Dunbar, Robert] Stanford Univ, Dept Environm Earth Syst Sci, Stanford, CA 94305 USA</t>
  </si>
  <si>
    <t>University of Birmingham; Victoria University Wellington; Universite PSL; Ecole Pratique des Hautes Etudes (EPHE); Japan Agency for Marine-Earth Science &amp; Technology (JAMSTEC); Woods Hole Oceanographic Institution; Universite PSL; Ecole Pratique des Hautes Etudes (EPHE); Centre National de la Recherche Scientifique (CNRS); Universite de Bordeaux; University of Otago; University of Otago; Hokkaido University; Laval University; GNS Science - New Zealand; University of Bristol; Stanford University</t>
  </si>
  <si>
    <t>Bendle, JA (corresponding author), Univ Birmingham, Sch Geog Earth &amp; Environm Sci, Birmingham B15 2TT, W Midlands, England.</t>
  </si>
  <si>
    <t>j.bendle@bham.ac.uk</t>
  </si>
  <si>
    <t>Escutia, Carlota/B-8614-2015; Jimenez-Espejo, Francisco J/F-4486-2016; Riesselman, Christina R/H-5037-2012</t>
  </si>
  <si>
    <t>Jimenez-Espejo, Francisco J/0000-0002-0335-8580; Condron, Alan/0000-0002-7337-1713; Riesselman, Christina/0000-0002-2436-4306; McKay, Robert/0000-0002-5602-6985; Golledge, Nicholas/0000-0001-7676-8970; Barrand, Nicholas/0000-0003-4428-1863; Johnson, Katelyn M./0000-0002-6152-9712; Dunbar, Robert/0000-0002-9728-5609</t>
  </si>
  <si>
    <t>Natural Environment Research Council [NE/L002493/1, Ne/I00646X/1]; Japanese Society for the Promotion of Science [JSPS/FF2/60, L-11523]; NZ Marsden Fund [18-VUW-089, 15-VUW-131]; NSF [PLR-1443347, ACI-1548562]; U.S. Dept. of Energy [DE-SC0016105]; ERC (StG ICEPROXY) [203441]; ANR CLIMICE, FP7 Past4Future [243908]; L'Oreal-UNESCO New Zealand For Women in Science Fellowship; University of Otago; IODP U.S. Science Support Program; Spanish Ministry of Science and Innovation [CTM201789711-C2-1-P]; European Union (FEDER); Grants-in-Aid for Scientific Research [20H00626] Funding Source: KAKEN; NERC [NE/I00646X/1] Funding Source: UKRI; U.S. Department of Energy (DOE) [DE-SC0016105] Funding Source: U.S. Department of Energy (DOE)</t>
  </si>
  <si>
    <t>Natural Environment Research Council(UK Research &amp; Innovation (UKRI)Natural Environment Research Council (NERC)); Japanese Society for the Promotion of Science(Ministry of Education, Culture, Sports, Science and Technology, Japan (MEXT)Japan Society for the Promotion of Science); NZ Marsden Fund(Royal Society of New ZealandMarsden Fund (NZ)); NSF(National Science Foundation (NSF)); U.S. Dept. of Energy(United States Department of Energy (DOE)); ERC (StG ICEPROXY)(European Research Council (ERC)); ANR CLIMICE, FP7 Past4Future(Agence Nationale de la Recherche (ANR)); L'Oreal-UNESCO New Zealand For Women in Science Fellowship(L'Oreal Group); University of Otago; IODP U.S. Science Support Program; Spanish Ministry of Science and Innovation(Spanish Government); European Union (FEDER)(European Union (EU)); Grants-in-Aid for Scientific Research(Ministry of Education, Culture, Sports, Science and Technology, Japan (MEXT)Japan Society for the Promotion of ScienceGrants-in-Aid for Scientific Research (KAKENHI)); NERC(UK Research &amp; Innovation (UKRI)Natural Environment Research Council (NERC)); U.S. Department of Energy (DOE)(United States Department of Energy (DOE))</t>
  </si>
  <si>
    <t>This research has been supported by the Natural Environment Research Council (CENTA PhD; NE/L002493/1 and Standard Grant Ne/I00646X/1), Japanese Society for the Promotion of Science (JSPS/FF2/60 no. L-11523), NZ Marsden Fund (grant nos. 18-VUW-089 and 15-VUW-131), NSF (grant nos. PLR-1443347 and ACI-1548562), the U.S. Dept. of Energy (grant no. DE-SC0016105), ERC (StG ICEPROXY, 203441; ANR CLIMICE, FP7 Past4Future, 243908), L'Oreal-UNESCO New Zealand For Women in Science Fellowship, University of Otago Research Grant, the IODP U.S. Science Support Program, Spanish Ministry of Science and Innovation (grant no. CTM201789711-C2-1-P), and the European Union (FEDER).</t>
  </si>
  <si>
    <t>10.5194/cp-17-1-2021</t>
  </si>
  <si>
    <t>PQ8KM</t>
  </si>
  <si>
    <t>WOS:000606792400001</t>
  </si>
  <si>
    <t>Shi, Q; Yang, QH; Mu, LJ; Wang, JF; Massonnet, F; Mazloff, MR</t>
  </si>
  <si>
    <t>Shi, Qian; Yang, Qinghua; Mu, Longjiang; Wang, Jinfei; Massonnet, Francois; Mazloff, Matthew R.</t>
  </si>
  <si>
    <t>Evaluation of sea-ice thickness from four reanalyses in the Antarctic Weddell Sea</t>
  </si>
  <si>
    <t>FREEBOARD RETRIEVAL; DATA ASSIMILATION; OCEAN MODEL; SNOW DEPTH; ENVISAT; TRENDS; DRIVEN</t>
  </si>
  <si>
    <t>Ocean-sea-ice coupled models constrained by various observations provide different ice thickness estimates in the Antarctic. We evaluate contemporary monthly ice thickness from four reanalyses in the Weddell Sea: the German contribution of the project Estimating the Circulation and Climate of the Ocean Version 2 (GECCO2), the Southern Ocean State Estimate (SOSE), the Ensemble Kalman Filter system based on the Nucleus for European Modelling of the Ocean (NEMO-EnKF) and the Global Ice-Ocean Modeling and Assimilation System (GIOMAS). The evaluation is performed against reference satellite and in situ observations from ICESat-1, Envisat, upward-looking sonars and visual ship-based sea-ice observations. Compared with ICESat-1, NEMO-EnKF has the highest correlation coefficient (CC) of 0.54 and lowest root mean square error (RMSE) of 0.44 m. Compared with in situ observations, SOSE has the highest CC of 0.77 and lowest RMSE of 0.72 m. All reanalyses underestimate ice thickness near the coast of the western Weddell Sea with respect to ICESat-1 and in situ observations even though these observational estimates may be biased low. GECCO2 and NEMO-EnKF reproduce the seasonal variation in first-year ice thickness reasonably well in the eastern Weddell Sea. In contrast, GIOMAS ice thickness performs best in the central Weddell Sea, while SOSE ice thickness agrees most with the observations from the southern coast of the Weddell Sea. In addition, only NEMO-EnKF can reproduce the seasonal evolution of the large-scale spatial distribution of ice thickness, characterized by the thick ice shifting from the southwestern and western Weddell Sea in summer to the western and northwestern Weddell Sea in spring. We infer that the thick ice distribution is correlated with its better simulation of northward ice motion in the western Weddell Sea. These results demonstrate the possibilities and limitations of using current sea-ice reanalysis for understanding the recent variability of sea-ice volume in the Antarctic.</t>
  </si>
  <si>
    <t>[Shi, Qian; Yang, Qinghua; Wang, Jinfei] Sun Yat Sen Univ, Sch Atmospher Sci, Zhuhai 519082, Peoples R China; [Shi, Qian; Yang, Qinghua; Wang, Jinfei] Southern Marine Sci &amp; Engn Guangdong Lab Zhuhai, Zhuhai 519082, Peoples R China; [Mu, Longjiang] Qingdao Pilot Natl Lab Marine Sci &amp; Technol, Qingdao, Peoples R China; [Massonnet, Francois] Catholic Univ Louvain, Georges Lemaitre Ctr Earth &amp; Climate Res, Earth &amp; Life Inst, Louvain La Neuve, Belgium; [Mazloff, Matthew R.] Univ Calif San Diego, Scripps Inst Oceanog, La Jolla, CA 92093 USA</t>
  </si>
  <si>
    <t>Sun Yat Sen University; Southern Marine Science &amp; Engineering Guangdong Laboratory; Southern Marine Science &amp; Engineering Guangdong Laboratory (Zhuhai); Laoshan Laboratory; Universite Catholique Louvain; University of California System; University of California San Diego; Scripps Institution of Oceanography</t>
  </si>
  <si>
    <t>Yang, QH (corresponding author), Sun Yat Sen Univ, Sch Atmospher Sci, Zhuhai 519082, Peoples R China.;Yang, QH (corresponding author), Southern Marine Sci &amp; Engn Guangdong Lab Zhuhai, Zhuhai 519082, Peoples R China.;Mu, LJ (corresponding author), Qingdao Pilot Natl Lab Marine Sci &amp; Technol, Qingdao, Peoples R China.</t>
  </si>
  <si>
    <t>yangqh25@mail.sysu.edu.cn; longjiang.mu@awi.de</t>
  </si>
  <si>
    <t>; Massonnet, Francois/J-5315-2014</t>
  </si>
  <si>
    <t>Wang, Jinfei/0009-0006-8484-4949; Yang, Qinghua/0000-0002-7114-2036; Massonnet, Francois/0000-0002-4697-5781; Mu, Longjiang/0000-0001-5668-8025; Shi, Qian/0000-0002-4401-6480</t>
  </si>
  <si>
    <t>National Natural Science Foundation of China [41941009, 41922044]; Guangdong Basic and Applied Basic Research Foundation [2020B1515020025]; Fundamental Research Funds for the Central Universities [19lgzd07]; NSF [OCE-1924388, PLR-1425989, OPP-1936222]; NASA [80NSSC20K1076]</t>
  </si>
  <si>
    <t>National Natural Science Foundation of China(National Natural Science Foundation of China (NSFC)); Guangdong Basic and Applied Basic Research Foundation; Fundamental Research Funds for the Central Universities(Fundamental Research Funds for the Central Universities); NSF(National Science Foundation (NSF)); NASA(National Aeronautics &amp; Space Administration (NASA))</t>
  </si>
  <si>
    <t>This study is supported by the National Natural Science Foundation of China (grant nos. 41941009 and 41922044), the Guangdong Basic and Applied Basic Research Foundation (grant no. 2020B1515020025), and the Fundamental Research Funds for the Central Universities (grant no. 19lgzd07). Francois Massonnet is an F.R.S.-FNRS research fellow. Matthew R. Mazlof is supported by NSF awards OCE-1924388, PLR-1425989, and OPP-1936222 and NASA award 80NSSC20K1076.</t>
  </si>
  <si>
    <t>10.5194/tc-15-31-2021</t>
  </si>
  <si>
    <t>PQ8KU</t>
  </si>
  <si>
    <t>WOS:000606793200001</t>
  </si>
  <si>
    <t>Gonçalves, SJ; Weis, J; China, S; Evangelista, H; Harder, TH; Müller, S; Sampaio, M; Laskin, A; Gilles, MK; Godoi, RHM</t>
  </si>
  <si>
    <t>Goncalves, Sergio J., Jr.; Weis, Johannes; China, Swarup; Evangelista, Heitor; Harder, Tristan H.; Muller, Simon; Sampaio, Marcelo; Laskin, Alexander; Gilles, Mary K.; Godoi, Ricardo H. M.</t>
  </si>
  <si>
    <t>Photochemical reactions on aerosols at West Antarctica: A molecular case-study of nitrate formation among sea salt aerosols</t>
  </si>
  <si>
    <t>Antarctica aerosols; Snowpack; Photochemical reactions; Molecular speciation; Single particles; Nitrates aerosol</t>
  </si>
  <si>
    <t>ATMOSPHERIC AEROSOLS; SULFUR-COMPOUNDS; NITROGEN-OXIDES; ROUND RECORDS; PARTICLES; SNOW; CHEMISTRY; CHLORIDE; SUMMER; NACL</t>
  </si>
  <si>
    <t>Environmental implications of climate change are complex and exhibit regional variations both within and between the polar regions. The increase of solar UV radiation flux over Antarctica due to stratospheric ozone depletion creates the optimal conditions for photochemical reactions on the snow. Modeling, laboratory, and indirect field studies suggest that snowpack process release gases to the atmosphere that can react on sea salt particles in remote regions such as Antarctica, modifying aerosol composition and physical properties of aerosols. Here, we present evidence of photochemical processing in West Antarctica aerosols using microscopic and chemical speciation of individual atmospheric particles. Individual aerosol particles collected at the Brazilianmodule Criosfera 1were analyzed by scanning transmission X-ray microscopy with near edge X-ray absorption fine structure spectroscopy (STXM/NEXAFS) combined with computer-controlled scanning electron microscopy (CCSEM) with energy-dispersive X-ray (EDX) microanalysis. The displacement of chlorine relative to sodium was observed over most of the sea salt particles. Particles with a chemical composition consistent with NaCl-NO3 contributed up to 30% of atmospheric particles investigated. Overall, this study provides evidence that the snowpack and particulate nitrate photolysis should be considered in dynamic partition equilibrium in the troposphere. These findings may assist in reducing modeling uncertainties and present new insights into the aerosol chemical composition in the polar environment. (C) 2020 Elsevier B.V. All rights reserved.</t>
  </si>
  <si>
    <t>[Goncalves, Sergio J., Jr.; Godoi, Ricardo H. M.] Univ Fed Parana, Environm Engn Dept, Curitiba, Parana, Brazil; [Goncalves, Sergio J., Jr.; Evangelista, Heitor] Univ Estado Rio de Janeiro UERJ, LARAMG, Rio De Janeiro, RJ, Brazil; [Weis, Johannes; Harder, Tristan H.; Muller, Simon; Gilles, Mary K.] Lawrence Berkeley Natl Lab, Chem Sci Div, Berkeley, CA 94720 USA; [Weis, Johannes; Harder, Tristan H.; Muller, Simon] Univ Calif Berkeley, Dept Chem, Berkeley, CA 94720 USA; [Weis, Johannes; Harder, Tristan H.] Univ Wurzburg, Phys Inst, D-97074 Wurzburg, Germany; [China, Swarup; Laskin, Alexander] Pacific Northwest Natl Lab, William R Wiley Environm &amp; Mol Sci Lab, Richland, WA 99352 USA; [Sampaio, Marcelo] Brazilian Natl Space Inst INPE, Sao Jose Dos Campos, SP, Brazil; [Laskin, Alexander] Purdue Univ, Dept Chem, W Lafayette, IN 47907 USA</t>
  </si>
  <si>
    <t>Universidade Federal do Parana; Universidade do Estado do Rio de Janeiro; United States Department of Energy (DOE); Lawrence Berkeley National Laboratory; University of California System; University of California Berkeley; University of Wurzburg; United States Department of Energy (DOE); Pacific Northwest National Laboratory; Instituto Nacional de Pesquisas Espaciais (INPE); Purdue University System; Purdue University</t>
  </si>
  <si>
    <t>Godoi, RHM (corresponding author), Univ Fed Parana, Environm Engn Dept, Curitiba, Parana, Brazil.</t>
  </si>
  <si>
    <t>rhmgodoi@ufpr.br</t>
  </si>
  <si>
    <t>godoi, ricardo henrique moreton/P-6795-2019; Harder, Tristan H/H-8186-2016; Laskin, Alexander/I-2574-2012; Gonçalves, Sérgio/JFS-3614-2023; Gonçalves, Sérgio/GQZ-4378-2022; Evangelista, Heitor/C-7561-2013; Laskin, Alexander/JBR-8179-2023</t>
  </si>
  <si>
    <t>godoi, ricardo henrique moreton/0000-0002-4774-4870; Laskin, Alexander/0000-0002-7836-8417; Goncalves Junior, Sergio Jose/0000-0002-1852-0894; Weis, Johannes/0000-0002-9802-6174</t>
  </si>
  <si>
    <t>Brazilian Antarctic Program at central West Antarctica of the CNPq-MCTI/INCT-Criosfera [573720/2008]; CAPES [23075.054449/201423, 99999.001833/2015-04]; Brazilian government agency (CNPq); Brazilian government agency (Fundacao Araucaria); German National Academic Foundation; Atmospheric Systems Research (ASR) of the U.S. Department of Energy (DOE), Office of Science, Office of Biological and Environmental Research (OBER) program; Office of Science, Office of Basic Energy Sciences (BES), of the U.S. DOE [DE-AC0205CH11231]; Condensed Phase and Interfacial Molecular Sciences Program of DOE BES; Chemical Imaging Initiative of the Laboratory Directed Research and Development program at Pacific Northwest National Laboratory (PNNL); DOE OBER; US DOE [DE-AC06-76RL0 1830]</t>
  </si>
  <si>
    <t>Brazilian Antarctic Program at central West Antarctica of the CNPq-MCTI/INCT-Criosfera; CAPES(Coordenacao de Aperfeicoamento de Pessoal de Nivel Superior (CAPES)); Brazilian government agency (CNPq)(Conselho Nacional de Desenvolvimento Cientifico e Tecnologico (CNPQ)); Brazilian government agency (Fundacao Araucaria)(Fundacao Araucaria de Apoio ao Desenvolvimento Cientifico e Tecnologico do Estado do Parana FA); German National Academic Foundation; Atmospheric Systems Research (ASR) of the U.S. Department of Energy (DOE), Office of Science, Office of Biological and Environmental Research (OBER) program(United States Department of Energy (DOE)); Office of Science, Office of Basic Energy Sciences (BES), of the U.S. DOE(United States Department of Energy (DOE)); Condensed Phase and Interfacial Molecular Sciences Program of DOE BES(United States Department of Energy (DOE)); Chemical Imaging Initiative of the Laboratory Directed Research and Development program at Pacific Northwest National Laboratory (PNNL); DOE OBER(United States Department of Energy (DOE)); US DOE(United States Department of Energy (DOE))</t>
  </si>
  <si>
    <t>Samples were collected (H.E) at the research module at Criosfera 1, which is supported by the Brazilian Antarctic Program at central West Antarctica Samples were collected (H.E) at the research module at Criosfera 1, which is supported by the Brazilian Antarctic Program at central West Antarctica in the context of the CNPq-MCTI/INCT-Criosfera 573720/2008. R.H.M.Godoi. (CAPES Processo no 23075.054449/201423) and S.J.G.JR. (99999.001833/2015-04 CAPES) acknowledge support from Brazilian government agencies (CNPq and Fundacao Araucaria). STXM/NEXAFS analysis of the field samples (J.W., S.M.M., T.H.H.) was partially supported by the German National Academic Foundation. M.K.G. and A.L. acknowledges support from the Atmospheric Systems Research (ASR) of the U.S. Department of Energy (DOE), Office of Science, Office of Biological and Environmental Research (OBER) program. STXM/NEXAFS measurements were done with the assistance of Tolek Tyliszczak and David Vine at Beamline 11.0.2.2 of the Advanced Light Source (ALS) at Lawrence Berkeley National Laboratory (LBNL) and at beamline 5.3.2.2 with the support of David Kilcoyne and Young-Sang Yu. The ALS is supported by the Director, Office of Science, Office of Basic Energy Sciences (BES), of the U.S. DOE under Contract No. DE-AC0205CH11231. Beamline 11.0.2.2 was supported under the same contract as well as the Condensed Phase and Interfacial Molecular Sciences Program of DOE BES. AL and BW acknowledge support from the Chemical Imaging Initiative of the Laboratory Directed Research and Development program at Pacific Northwest National Laboratory (PNNL). The preparation of laboratory samples and CCSEM/EDX measurementswere performed at the W. R. Wiley Environmental Molecular Sciences Laboratory (EMSL) - a national scientific user facility located at PNNL and sponsored by DOE OBER. PNNL is operated for US DOE by Battelle Memorial Institute under Contract No. DE-AC06-76RL0 1830.</t>
  </si>
  <si>
    <t>10.1016/j.scitotenv.2020.143586</t>
  </si>
  <si>
    <t>PP1JB</t>
  </si>
  <si>
    <t>WOS:000605623800012</t>
  </si>
  <si>
    <t>Bozzato, D; Jakob, T; Wilhelm, C; Trimborn, S</t>
  </si>
  <si>
    <t>Bozzato, Deborah; Jakob, Torsten; Wilhelm, Christian; Trimborn, Scarlett</t>
  </si>
  <si>
    <t>Effects of iron limitation on carbon balance and photophysiology of the Antarctic diatom Chaetoceros cf. simplex</t>
  </si>
  <si>
    <t>Southern Ocean; Phytoplankton; Trace metals; Primary production; Respiration</t>
  </si>
  <si>
    <t>SOUTHERN-OCEAN PHYTOPLANKTON; PHAEOCYSTIS-ANTARCTICA; LIGHT-INTENSITY; PHOTOSYSTEM-II; FRESH-WATER; PHOTOSYNTHESIS; TEMPERATURE; RESPONSES; COASTAL; GROWTH</t>
  </si>
  <si>
    <t>In the Southern Ocean (SO), iron (Fe) limitation strongly inhibits phytoplankton growth and generally decreases their primary productivity. Diatoms are a key component in the carbon (C) cycle, by taking up large amounts of anthropogenic CO2 through the biological carbon pump. In this study, we investigated the effects of Fe availability (no Fe and 4 nM FeCl3 addition) on the physiology of Chaetoceros cf. simplex, an ecologically relevant SO diatom. Our results are the first combining oxygen evolution and uptake rates with particulate organic carbon (POC) build up, pigments, photophysiological parameters and intracellular trace metal (TM) quotas in an Fe-deficient Antarctic diatom. Decreases in both oxygen evolution (through photosynthesis, P) and uptake (respiration, R) coincided with a lowered growth rate of Fe-deficient cells. In addition, cells displayed reduced electron transport rates (ETR) and chlorophyll a (Chla) content, resulting in reduced cellular POC formation. Interestingly, no differences were observed in non-photochemical quenching (NPQ) or in the ratio of gross photosynthesis to respiration (GP:R). Furthermore, TM quotas were measured, which represent an important and rarely quantified parameter in previous studies. Cellular quotas of manganese, zinc, cobalt and copper remained unchanged while Fe quotas of Fe-deficient cells were reduced by 60% compared with High Fe cells. Based on our data, Fe-deficient Chaetoceros cf. simplex cells were able to efficiently acclimate to low Fe conditions, reducing their intracellular Fe concentrations, the number of functional reaction centers of photosystem II (RCII) and photosynthetic rates, thus avoiding light absorption rather than dissipating the energy through NPQ. Our results demonstrate how Chaetoceros cf. simplex can adapt their physiology to lowered assimilatory metabolism by decreasing respiratory losses.</t>
  </si>
  <si>
    <t>[Bozzato, Deborah; Jakob, Torsten] Univ Leipzig, Inst Biol, Plant Physiol, Leipzig, Germany; [Bozzato, Deborah] Univ Groningen, Groningen Inst Evolutionary Life Sci, Groningen, Netherlands; [Wilhelm, Christian] Saxon Inst Biotechnol, Leipzig, Germany; [Trimborn, Scarlett] Helmholtz Ctr Polar &amp; Marine Res, Alfred Wegener Inst, Biogeosci Sect, EcoTrace, Bremerhaven, Germany; [Trimborn, Scarlett] Univ Bremen, Marine Bot Dept, Fac Biol Chem 2, Bremen, Germany</t>
  </si>
  <si>
    <t>Leipzig University; University of Groningen; Helmholtz Association; Alfred Wegener Institute, Helmholtz Centre for Polar &amp; Marine Research; University of Bremen</t>
  </si>
  <si>
    <t>Bozzato, D (corresponding author), Univ Leipzig, Inst Biol, Plant Physiol, Leipzig, Germany.;Bozzato, D (corresponding author), Univ Groningen, Groningen Inst Evolutionary Life Sci, Groningen, Netherlands.</t>
  </si>
  <si>
    <t>d.bozzato@rug.nl</t>
  </si>
  <si>
    <t>Trimborn, Scarlett/AAM-1061-2021</t>
  </si>
  <si>
    <t>Trimborn, Scarlett/0000-0003-1434-9927; Bozzato, Deborah/0000-0002-6004-1096</t>
  </si>
  <si>
    <t>Deutsche Forschungsgemeinschaft (DFG) [SPP 1158, WI 764/21-1]; Helmholtz Association (HGF Young Investigators Group EcoTrace) [VH-NG-901]</t>
  </si>
  <si>
    <t>Deutsche Forschungsgemeinschaft (DFG)(German Research Foundation (DFG)); Helmholtz Association (HGF Young Investigators Group EcoTrace)</t>
  </si>
  <si>
    <t>This work was supported by the Deutsche Forschungsgemeinschaft (DFG) in the framework of the priority programme Antarctic Research with comparative investigations in Arctic ice areas SPP 1158 by the following Grant WI 764/21-1. DB and CW were supported by grants from Deutsche Forschungsgemeinschaft (DFG, Grant WI 764/21-1). ST was funded by the Helmholtz Association (HGF Young Investigators Group EcoTrace, VH-NG-901). We thank T. Brenneis for laboratory assistance and C. Volkner for ICP-MS measurements. Thanks also to K. Bischof and B. Meier-Schlosser of the University of Bremen for the pigment analysis. We further thank the members of the EcoTrace as well as Marine Biogeosciences Group at the AWI for diverse logistical support. We are also grateful to Geir Johnsen and other two anonymous reviewers, who contributed to improve this manuscript with their valuable comments.</t>
  </si>
  <si>
    <t>10.1007/s00300-020-02785-1</t>
  </si>
  <si>
    <t>WOS:000605101600001</t>
  </si>
  <si>
    <t>Serga, SV; Maistrenko, OM; Matiytsiv, NP; Vaiserman, AM; Kozeretska, IA</t>
  </si>
  <si>
    <t>Serga, Svitlana, V; Maistrenko, Oleksandr M.; Matiytsiv, Nataliya P.; Vaiserman, Alexander M.; Kozeretska, Iryna A.</t>
  </si>
  <si>
    <t>Effects of Wolbachia infection on fitness-related traits in Drosophila melanogaster</t>
  </si>
  <si>
    <t>SYMBIOSIS</t>
  </si>
  <si>
    <t>Wolbachia; Drosophila melanogaster; Lifespan; Oxidative stress; Cold stress; Fecundity</t>
  </si>
  <si>
    <t>CYTOPLASMIC INCOMPATIBILITY; AUSTRALIAN POPULATIONS; NATURAL-POPULATIONS; LIFE-SPAN; SYMBIONT; SIMULANS; HOST; ENDOSYMBIONT; REPLACEMENT; PROTECTION</t>
  </si>
  <si>
    <t>Wolbachia is an intracellular symbiont that infects a large number of arthropod species, ensuring its success in populations by influencing host reproduction. The wMel strain in Drosophila melanogaster does not cause any strong modifications of sexual reproduction. Consequently, it is not clear how the high infection rates of the bacterium in populations of this species are maintained. The wMel strain is classified into two groups of genotypes - wMel and wMelCS. The wMel genotype is ubiquitous in populations, while wMelCS is rare. In this study, we analyzed fitness-related traits in isofemale lines from the unique natural population from Uman (Central Ukraine), in which we observed preservation of the rare wMelCS genotype despite the fluctuations of infection rates between years. We analyzed these effects of Wolbachia genotype and host genetic background on important fitness parameters such as sensitivity to cold and oxidative stress, female fecundity and lifespan. We found that, in the studied population, Wolbachia had an impact on fitness traits only in certain Drosophila genotypes. Positive effects were manifested in the alterations of fecundity, but at the cost of reduced lifespan and resistance to stress. Based on these findings, we conclude that the effect of bacteria on fitness and stress related traits is context-dependent and is modified by the host genotype, at least in the lines established from the Uman population.</t>
  </si>
  <si>
    <t>[Serga, Svitlana, V; Maistrenko, Oleksandr M.] Taras Shevchenko Natl Univ Kyiv, 64 Volodymyrska Str, UA-01601 Kiev, Ukraine; [Serga, Svitlana, V; Kozeretska, Iryna A.] Natl Antarctic Sci Ctr Ukraine, T Shevchenko Bulv, UA-16 Kiev, Ukraine; [Maistrenko, Oleksandr M.] European Mol Biol Lab, Strucntral &amp; Computat Biol Unit, Meyerhofstr 1, D-69117 Heidelberg, Germany; [Matiytsiv, Nataliya P.] Ivan Franko Natl Univ Lviv, Dept Genet &amp; Biotechnol, Hrushevsky Str 4, UA-79005 Lvov, Ukraine; [Vaiserman, Alexander M.] NAMS, DF Chebotarev Inst Gerontol, Kiev, Ukraine</t>
  </si>
  <si>
    <t>Ministry of Education &amp; Science of Ukraine; Taras Shevchenko National University of Kyiv; Ministry of Education &amp; Science of Ukraine; State Institution National Antarctic Scientific Center; European Molecular Biology Laboratory (EMBL); Ministry of Education &amp; Science of Ukraine; Ivan Franko National University Lviv; National Academy of Medical Sciences of Ukraine; Institute of Blood Pathology &amp; Transfusion Medicine; D. F. Chebotarev Institute of Gerontology of the National Academy of Medical Sciences of Ukraine</t>
  </si>
  <si>
    <t>Serga, SV (corresponding author), Taras Shevchenko Natl Univ Kyiv, 64 Volodymyrska Str, UA-01601 Kiev, Ukraine.;Serga, SV (corresponding author), Natl Antarctic Sci Ctr Ukraine, T Shevchenko Bulv, UA-16 Kiev, Ukraine.</t>
  </si>
  <si>
    <t>svitlana.serga@gmail.com</t>
  </si>
  <si>
    <t>Maistrenko, Oleksandr/AAC-9919-2020; Kozeretska, Iryna/F-1383-2010; Matiytsiv, Nataliya/L-1778-2017</t>
  </si>
  <si>
    <t>Maistrenko, Oleksandr/0000-0003-1961-7548; Kozeretska, Iryna/0000-0002-6485-1408; Matiytsiv, Nataliya/0000-0002-1582-2037; Serga, Svitlana/0000-0003-1875-3185</t>
  </si>
  <si>
    <t>0334-5114</t>
  </si>
  <si>
    <t>1878-7665</t>
  </si>
  <si>
    <t>Symbiosis</t>
  </si>
  <si>
    <t>10.1007/s13199-020-00743-3</t>
  </si>
  <si>
    <t>Microbiology</t>
  </si>
  <si>
    <t>QQ5GK</t>
  </si>
  <si>
    <t>WOS:000605115000001</t>
  </si>
  <si>
    <t>Dutkiewicz, S; Boyd, PW; Riebesell, U</t>
  </si>
  <si>
    <t>Dutkiewicz, Stephanie; Boyd, Philip W.; Riebesell, Ulf</t>
  </si>
  <si>
    <t>Exploring biogeochemical and ecological redundancy in phytoplankton communities in the global ocean</t>
  </si>
  <si>
    <t>global change; marine biogeochemistry; marine ecology; phytoplankton; redundancy; trophic interactions</t>
  </si>
  <si>
    <t>DIAZOTROPH-DERIVED NITROGEN; FUNCTIONAL REDUNDANCY; IRON FERTILIZATION; CLIMATE-CHANGE; GROWTH; CARBON; DIVERSITY; RESPONSES; BIODIVERSITY; ATLANTIC</t>
  </si>
  <si>
    <t>Climate-change-induced alterations of oceanic conditions will lead to the ecological niches of some marine phytoplankton species disappearing, at least regionally. How will such losses affect the ecosystem and the coupled biogeochemical cycles? Here, we couch this question in terms of ecological redundancy (will other species be able to fill the ecological roles of the extinct species) and biogeochemical redundancy (can other species replace their biogeochemical roles). Prior laboratory and field studies point to a spectrum in the degree of redundancy. We use a global three-dimensional computer model with diverse planktonic communities to explore these questions further. The model includes 35 phytoplankton types that differ in size, biogeochemical function and trophic strategy. We run two series of experiments in which single phytoplankton types are either partially or fully eliminated. The niches of the targeted types were not completely reoccupied, often with a reduction in the transfer of matter from autotrophs to heterotrophs. Primary production was often decreased, but sometimes increased due to reduction in grazing pressure. Complex trophic interactions (such as a decrease in the stocks of a predator's grazer) led to unexpected reshuffling of the community structure. Alterations in resource utilization may cause impacts beyond the regions where the type went extinct. Our results suggest a lack of redundancy, especially in the 'knock on' effects on higher trophic levels. Redundancy appeared lowest for types on the edges of trait space (e.g. smallest) or with unique competitive strategies. Though highly idealized, our modelling findings suggest that the results from laboratory or field studies often do not adequately capture the ramifications of functional redundancy. The modelled, often counterintuitive, responses-via complex food web interactions and bottom-up versus top-down controls-indicate that changes in planktonic community will be key determinants of future ocean global change ecology and biogeochemistry.</t>
  </si>
  <si>
    <t>[Dutkiewicz, Stephanie] MIT, Dept Earth Atmospher &amp; Planetary Sci, 54-1514 MIT,77 Massachusetts Ave, Cambridge, MA 02139 USA; [Dutkiewicz, Stephanie] MIT, Ctr Global Change Sci, 77 Massachusetts Ave, Cambridge, MA 02139 USA; [Boyd, Philip W.] Univ Tasmania, Inst Marine &amp; Antarctic Studies, Hobart, Tas, Australia; [Riebesell, Ulf] GEOMAR Helmholtz Ctr Ocean Res Kiel, Kiel, Germany</t>
  </si>
  <si>
    <t>Massachusetts Institute of Technology (MIT); Massachusetts Institute of Technology (MIT); University of Tasmania; Helmholtz Association; GEOMAR Helmholtz Center for Ocean Research Kiel</t>
  </si>
  <si>
    <t>Dutkiewicz, S (corresponding author), MIT, Dept Earth Atmospher &amp; Planetary Sci, 54-1514 MIT,77 Massachusetts Ave, Cambridge, MA 02139 USA.</t>
  </si>
  <si>
    <t>stephd@mit.edu</t>
  </si>
  <si>
    <t>Boyd, Philip/J-7624-2014</t>
  </si>
  <si>
    <t>Boyd, Philip/0000-0001-7850-1911</t>
  </si>
  <si>
    <t>10.1111/gcb.15493</t>
  </si>
  <si>
    <t>QH4OI</t>
  </si>
  <si>
    <t>WOS:000604727600001</t>
  </si>
  <si>
    <t>France, JL; Bateson, P; Dominutti, P; Alen, G; Andrews, S; Bauguitte, S; Coleman, M; Lachlan-Cope, T; Fisher, RE; Huang, LW; Jones, AE; Lee, J; Lowry, D; Pitt, J; Purvis, R; Pyle, J; Shaw, J; Warwick, N; Weiss, A; Wilde, S; Witherstone, J; Young, S</t>
  </si>
  <si>
    <t>France, James L.; Bateson, Prudence; Dominutti, Pamela; Alen, Grant; Andrews, Stephen; Bauguitte, Stephane; Coleman, Max; Lachlan-Cope, Tom; Fisher, Rebecca E.; Huang, Langwen; Jones, Anna E.; Lee, James; Lowry, David; Pitt, Joseph; Purvis, Ruth; Pyle, John; Shaw, Jacob; Warwick, Nicola; Weiss, Alexandra; Wilde, Shona; Witherstone, Jonathan; Young, Stuart</t>
  </si>
  <si>
    <t>Facility level measurement of offshore oil and gas installations from a medium-sized airborne platform: method development for quantification and source identification of methane emissions</t>
  </si>
  <si>
    <t>ATMOSPHERIC MEASUREMENT TECHNIQUES</t>
  </si>
  <si>
    <t>CASCADE LASER SPECTROMETER; CARBON-DIOXIDE; ABSORPTION SPECTROMETER; ATMOSPHERIC METHANE; HIGH-PRECISION; UINTAH BASIN; FLOW-RATE; CH4; QUANTUM; CO2</t>
  </si>
  <si>
    <t>Emissions of methane (CH4/from offshore oil and gas installations are poorly ground-truthed, and quantification relies heavily on the use of emission factors and activity data. As part of the United Nations Climate &amp; Clean Air Coalition (UN CCAC) objective to study and reduce short-lived climate pollutants (SLCPs), a Twin Otter aircraft was used to survey CH4 emissions from UK and Dutch offshore oil and gas installations. The aims of the surveys were to (i) identify installations that are significant CH4 emitters, (ii) separate installation emissions from other emissions using carbon-isotopic fingerprinting and other chemical proxies, (iii) estimate CH4 emission rates, and (iv) improve flux estimation (and sampling) methodologies for rapid quantification of major gas leaks. In this paper, we detail the instrument and aircraft setup for two campaigns flown in the springs of 2018 and 2019 over the southern North Sea and describe the developments made in both the planning and sampling methodol-ogy to maximise the quality and value of the data collected. We present example data collected from both campaigns to demonstrate the challenges encountered during offshore surveys, focussing on the complex meteorology of the marine boundary layer and sampling discrete plumes from an airborne platform. The uncertainties of CH4 flux calculations from measurements under varying boundary layer conditions are considered, as well as recommendations for attribution of sources through either spot sampling for volatile organic compounds (VOCs) = delta(CCH4)-C-13 or using in situ instrumental data to determine C2H6-CH4 ratios. A series of recommendations for both planning and measurement techniques for future offshore work within marine boundary layers is provided.</t>
  </si>
  <si>
    <t>[France, James L.; Lachlan-Cope, Tom; Jones, Anna E.; Weiss, Alexandra; Witherstone, Jonathan] NERC, British Antarctic Survey, Cambridge CB3 0ET, England; [France, James L.; Coleman, Max; Fisher, Rebecca E.; Lowry, David] Royal Holloway Univ London, Dept Earth Sci, Egham TW20 0EX, Surrey, England; [Bateson, Prudence; Alen, Grant; Huang, Langwen; Pitt, Joseph; Shaw, Jacob] Univ Manchester, Dept Earth &amp; Environm Sci, Manchester M13 9L, Lancs, England; [Dominutti, Pamela; Andrews, Stephen; Wilde, Shona; Young, Stuart] Univ York, Dept Chem, Wolfson Atmospher Chem Labs, Heslington YO10 5DD, England; [Bauguitte, Stephane] Natl Ctr Atmospher Sci, FAAM Airborne Lab, Cranfield MK43 0AL, Beds, England; [Lee, James; Purvis, Ruth] Univ York, Natl Ctr Atmospher Sci, York YO10 5DQ, N Yorkshire, England; [Pyle, John; Warwick, Nicola] Univ Cambridge, Dept Chem, Cambridge CB2 1EW, England; [Pitt, Joseph] SUNY Stony Brook, Sch Marine &amp; Atmospher Sci, Stony Brook, NY 11974 USA; [Huang, Langwen] Swiss Fed Inst Technol, Dept Math, Ramistr 101, CH-8092 Zurich, Switzerland; [Coleman, Max] Univ Reading, Dept Meteorol, Reading RG6 6BB, Berks, England; [Pyle, John; Warwick, Nicola] Univ Cambridge, Natl Ctr Atmospher Sci NCAS, Cambridge, England</t>
  </si>
  <si>
    <t>UK Research &amp; Innovation (UKRI); Natural Environment Research Council (NERC); NERC British Antarctic Survey; University of London; Royal Holloway University London; University of Manchester; University of York - UK; UK Research &amp; Innovation (UKRI); Natural Environment Research Council (NERC); NERC National Centre for Atmospheric Science; University of York - UK; University of Cambridge; State University of New York (SUNY) System; State University of New York (SUNY) Stony Brook; Swiss Federal Institutes of Technology Domain; ETH Zurich; University of Reading; University of Cambridge</t>
  </si>
  <si>
    <t>France, JL (corresponding author), NERC, British Antarctic Survey, Cambridge CB3 0ET, England.;France, JL (corresponding author), Royal Holloway Univ London, Dept Earth Sci, Egham TW20 0EX, Surrey, England.</t>
  </si>
  <si>
    <t>james.france@rhul.ac.uk</t>
  </si>
  <si>
    <t>Lowry, David/GXG-1235-2022; Lowry, David/JCE-0619-2023; Pitt, Joseph/GWM-5007-2022; Dominutti, Pamela/ITT-9395-2023; Fisher, Rebecca/AAA-5352-2022; lee, sooyoon/JEP-0415-2023; Allen, Grant/A-7737-2013; Allen, Grant/AAF-7097-2021; France, James/L-9719-2015</t>
  </si>
  <si>
    <t>Pitt, Joseph/0000-0002-8660-5136; Dominutti, Pamela/0000-0002-9876-6383; Allen, Grant/0000-0002-7070-3620; Allen, Grant/0000-0002-7070-3620; Shaw, Jacob/0000-0003-3558-3894; Lee, James D/0000-0001-5397-2872; Coleman, Max/0000-0002-5709-6141; LOWRY, DAVID/0000-0002-8535-0346; Fisher, Rebecca/0000-0002-9262-5467; France, James/0000-0002-8785-1240; Wilde, Shona Elizabeth/0000-0002-0429-4347</t>
  </si>
  <si>
    <t>Climate &amp; Clean Air Coalition (CCAC) [DTIE18-EN018]; NERC [NE/N015584/1, NE/T014849/1, bas0100032, NE/N015835/1] Funding Source: UKRI</t>
  </si>
  <si>
    <t>Climate &amp; Clean Air Coalition (CCAC); NERC(UK Research &amp; Innovation (UKRI)Natural Environment Research Council (NERC))</t>
  </si>
  <si>
    <t>This research has been supported by the Climate &amp; Clean Air Coalition (CCAC) (grant no. DTIE18-EN018).</t>
  </si>
  <si>
    <t>1867-1381</t>
  </si>
  <si>
    <t>1867-8548</t>
  </si>
  <si>
    <t>ATMOS MEAS TECH</t>
  </si>
  <si>
    <t>Atmos. Meas. Tech.</t>
  </si>
  <si>
    <t>10.5194/amt-14-71-2021</t>
  </si>
  <si>
    <t>PQ8KJ</t>
  </si>
  <si>
    <t>WOS:000606792100001</t>
  </si>
  <si>
    <t>Centurion, VB; Lacerda, GV; Duarte, AWF; Silva, TR; Silva, LJ; Rosa, LH; Oliveira, VM</t>
  </si>
  <si>
    <t>Centurion, V. B.; Lacerda-Junior, G., V; Duarte, A. W. F.; Silva, T. R.; Silva, L. J.; Rosa, L. H.; Oliveira, V. M.</t>
  </si>
  <si>
    <t>Dynamics of microbial stress responses driven by abiotic changes along a temporal gradient in Deception Island, Maritime Antarctica</t>
  </si>
  <si>
    <t>Stress genes; Metagenomics; Temporal gradient; Sediments; Cold adaptation</t>
  </si>
  <si>
    <t>COLD-SHOCK; PROTEIN; ADAPTATION; BACTERIAL; SEQUENCE; COMMUNITIES; EVOLUTION; ALIGNMENT; PLAYERS; GENOME</t>
  </si>
  <si>
    <t>Whalers Bay (WB), Deception Island, is an environment that can drastically change its temperature within a few meters. The main forms of life inhabiting this environment are microorganisms, which, due to the high diversity and their adaptive potential, can survive and thrive under harsh stress conditions. However, the genetic potential and mechanisms to cope with fluctuating adverse conditions as well as what extent environmental variations shape the microbial community over the years it is still unknown in Antarctic environments. In this work, sediments collected in a transect in Whalers Bay, Deception Island, during the Austral Summers of 2014, 2015 and 2017 were analyzed using shotgun metagenomics. Sequence data were further processed with the SqueezeMeta tool for assembly, gene prediction, mapping, taxonomic and functional annotations. Results showed that stress-related functions had the influence of temperatures and solar radiation observed in the years of 2015 and 2017. The most differentiated functions were the ones related to oxidative stress, comparing 2014 vs 2015 and 2014 vs 2017. The genes coding for HSP20 and oxidoreductases (nrdH, grxA, korC and korD), as well as the genes clpE, cspL, and operons mtrAB and vicKR, were differentially enriched between the years, most of them found in gram-positive bacteria. The selective pressures of temperature and radiation may have favored the growth of gram-positive bacteria in 2017, with emphasis on Arthrobacter genus. Data gathered in this work showed that temperature and solar radiation could potentially be the primary driving forces shaping the repertoire of stress-response genes for the maintenance of microbial diversity in WB Antarctic sediments. (C) 2020 Elsevier B.V. All rights reserved.</t>
  </si>
  <si>
    <t>[Centurion, V. B.; Lacerda-Junior, G., V; Duarte, A. W. F.; Silva, T. R.; Oliveira, V. M.] State Univ Campinas UNICAMP, Res Ctr Chem Biol &amp; Agr CPQBA, Microbial Resources Div, BR-13081970 Paulinia, SP, Brazil; [Centurion, V. B.] State Univ Campinas UNICAMP, Biol Inst, BR-13083862 Campinas, SP, Brazil; [Lacerda-Junior, G., V; Silva, L. J.] Brazilian Agr Res Corp EMBRAPA, BR-13820000 Jaguariuna, SP, Brazil; [Duarte, A. W. F.] Univ Fed Alagoas, Campus Arapiraca UFAL, BR-57309005 Arapiraca, AL, Brazil; [Rosa, L. H.] Fed Univ Minas Gerais UFMG, Inst Biol Sci, BR-31270901 Belo Horizonte, MG, Brazil</t>
  </si>
  <si>
    <t>Universidade Estadual de Campinas; Universidade Estadual de Campinas; Empresa Brasileira de Pesquisa Agropecuaria (EMBRAPA); Universidade Federal de Alagoas; Universidade Federal de Minas Gerais</t>
  </si>
  <si>
    <t>Centurion, VB (corresponding author), State Univ Campinas UNICAMP, Res Ctr Chem Biol &amp; Agr CPQBA, Microbial Resources Div, BR-13081970 Paulinia, SP, Brazil.</t>
  </si>
  <si>
    <t>vborincenturion@gmail.com; lhrosa@icb.ufmg.br; vmaia@cpqba.unicamp.br</t>
  </si>
  <si>
    <t>Lacerda Júnior, Gileno/E-8321-2017; Silva, Tiago R/I-1326-2017; Oliveira, Valéria Maia/L-2422-2014; Duarte, Alysson Wagner Fernandes/S-8062-2019</t>
  </si>
  <si>
    <t>Lacerda Júnior, Gileno/0000-0003-4493-0755; Silva, Tiago R/0000-0002-2269-9321; Oliveira, Valéria Maia/0000-0001-8817-4758; Duarte, Alysson Wagner Fernandes/0000-0001-9626-7524; Centurion, Victor/0000-0002-5597-8554</t>
  </si>
  <si>
    <t>Sao Paulo Research Foundation - FAPESP [2017/03172-8, 2016/05640-6]; Proantar e Brazilian Antarctic Program</t>
  </si>
  <si>
    <t>Sao Paulo Research Foundation - FAPESP(Fundacao de Amparo a Pesquisa do Estado de Sao Paulo (FAPESP)); Proantar e Brazilian Antarctic Program</t>
  </si>
  <si>
    <t>The authors are grateful to the Sao Paulo Research Foundation - FAPESP (Processes no. 2017/03172-8 and 2016/05640-6), the Project MycoAntar - diversity and bioprospecting of Antarctic fungi, and the Proantar e Brazilian Antarctic Program.</t>
  </si>
  <si>
    <t>10.1016/j.scitotenv.2020.143671</t>
  </si>
  <si>
    <t>WOS:000605623800080</t>
  </si>
  <si>
    <t>Ferrari, FR; Schaefer, CEGR; Pereira, AB; Thomazini, A; Schmitz, D; Francelino, MR</t>
  </si>
  <si>
    <t>Ferrari, Flavia Ramos; Schaefer, Carlos E. G. R.; Pereira, Antonio B.; Thomazini, Andre; Schmitz, Daniela; Francelino, Marcio Rocha</t>
  </si>
  <si>
    <t>Coupled soil-vegetation changes along a topographic gradient on King George Island, maritime Antarctica</t>
  </si>
  <si>
    <t>CATENA</t>
  </si>
  <si>
    <t>Antarctic vegetation; Ornithogenic influence; Phytosociology; Environmental gradient; Relative altitude</t>
  </si>
  <si>
    <t>SOUTH SHETLAND ISLANDS; ADMIRALTY BAY; CRYOSOLS; PENINSULA; PERMAFROST; ECOSYSTEMS</t>
  </si>
  <si>
    <t>Studies on the unique terrestrial ecosystems of Antarctica's ice-free areas have potential to enhance the understanding of the soil/vegetation interplays and ecological relationships of endangered polar environments. Studies that have emphasized the plants distribution and diversity increase the knowledge on the Antarctic vegetation and controlling factors, enabling better conservation strategies for these fragile ecosystems. In this study, we investigated the composition and distribution of plant communities in association with soil characteristics, landscape elements (altitude and geomorphological variations), and local faunal influence. We related these factors to plant species richness along topographic gradient on a typical maritime Antarctica landscape. We hypothesized that plant species distribution responds to soil and topographical variations; further, we postulated greater plant diversity in ornithogenic areas of increasing age and higher organic matter content. Ten plant communities and a bare-soil reference located at Thomas Point, King George Island, were identified, selected and mapped for the study. Plant cover was analyzed using phytosociological data from 132 squares across the area to evaluate frequency, coverage degree, and the ecological significance index. These values determined the type of community observed. We also determined general soil physical and chemical attributes. The microscale variations in sheltering of the different environments directly impacted floristic composition across the landscape. Vegetation composition and floristic characteristics significantly varied along the topographic gradient, according to soil attributes, in which ornithogenesis (phosphatization) and drainage conditions played a key role. Both factors are likely to be greatly affected by recent warming trend in this part of Antarctica.</t>
  </si>
  <si>
    <t>[Ferrari, Flavia Ramos] Univ Fed Vicosa, Dept Biol Vegetal, Av PH Rolfs, BR-36570900 Vicosa, MG, Brazil; [Schaefer, Carlos E. G. R.; Schmitz, Daniela; Francelino, Marcio Rocha] Univ Fed Vicosa, Dept Solos, Av PH Rolfs, BR-36570900 Vicosa, MG, Brazil; [Pereira, Antonio B.] Univ Fed Pampa, Campus Sao Gabriel, BR-97300000 Sao Gabriel, RS, Brazil; [Thomazini, Andre] Univ Fed Sao Joao Del Rei, Dept Ciencias Agr, BR-35702031 Sete Lagoas, MG, Brazil</t>
  </si>
  <si>
    <t>Universidade Federal de Vicosa; Universidade Federal de Vicosa; Universidade Federal do Pampa; Universidade Federal de Sao Joao del-Rei</t>
  </si>
  <si>
    <t>Ferrari, FR (corresponding author), Univ Fed Vicosa, Dept Biol Vegetal, Av PH Rolfs, BR-36570900 Vicosa, MG, Brazil.</t>
  </si>
  <si>
    <t>flavia.r.ferrari@ufv.br</t>
  </si>
  <si>
    <t>Schaefer, Carlos Ernesto/AAY-4977-2020; Pereira, Antonio B/I-8201-2014; Schmitz, Daniela/AAY-8008-2020; Ferrari, Flávia Ramos/AAC-8048-2022; Francelino, Marcio Rocha/AAS-4224-2020</t>
  </si>
  <si>
    <t>Pereira, Antonio B/0000-0003-0368-4594; Schmitz, Daniela/0000-0002-3162-2430; Ferrari, Flávia Ramos/0000-0003-3771-2266; Francelino, Marcio Rocha/0000-0001-8837-1372</t>
  </si>
  <si>
    <t>Conselho Nacional de Desenvolvimento Cientifico e Tecnologico (CNPq - Project) [406693/2013-1]; Coordenacao de Aperfeicoamento de Pessoal de Nivel Superior (CAPES), Brazil; Ministerio da Ciencia, Tecnologia e Inovacao (MCTI); Secretaria Interministerial para os Recursos do Mar (SECIRM)</t>
  </si>
  <si>
    <t>Conselho Nacional de Desenvolvimento Cientifico e Tecnologico (CNPq - Project)(Conselho Nacional de Desenvolvimento Cientifico e Tecnologico (CNPQ)Fundacao de Apoio a Pesquisa do Distrito Federal (FAPDF)); Coordenacao de Aperfeicoamento de Pessoal de Nivel Superior (CAPES), Brazil(Coordenacao de Aperfeicoamento de Pessoal de Nivel Superior (CAPES)); Ministerio da Ciencia, Tecnologia e Inovacao (MCTI); Secretaria Interministerial para os Recursos do Mar (SECIRM)</t>
  </si>
  <si>
    <t>We acknowledge Conselho Nacional de Desenvolvimento Cientifico e Tecnologico (CNPq - Project 406693/2013-1), the Coordenacao de Aperfeicoamento de Pessoal de Nivel Superior (CAPES), Brazil, for concession the scholarship of the first autor, the Ministerio da Ciencia, Tecnologia e Inovacao (MCTI) and the Secretaria Interministerial para os Recursos do Mar (SECIRM) for granting financial support, and the Polish Antarctic Station Henryk Arctowski for the logistic support for the accomplishment of this work. This is a contribution of TERRANTAR Research Group of Brazilian Antarctic Program, and INCT CRIOSFERA.</t>
  </si>
  <si>
    <t>0341-8162</t>
  </si>
  <si>
    <t>1872-6887</t>
  </si>
  <si>
    <t>Catena</t>
  </si>
  <si>
    <t>10.1016/j.catena.2020.105038</t>
  </si>
  <si>
    <t>Geosciences, Multidisciplinary; Soil Science; Water Resources</t>
  </si>
  <si>
    <t>Geology; Agriculture; Water Resources</t>
  </si>
  <si>
    <t>PO7GL</t>
  </si>
  <si>
    <t>WOS:000605337000015</t>
  </si>
  <si>
    <t>Hague, M; Vichi, M</t>
  </si>
  <si>
    <t>Hague, Mark; Vichi, Marcello</t>
  </si>
  <si>
    <t>Southern Ocean Biogeochemical Argo detect under-ice phytoplankton growth before sea ice retreat</t>
  </si>
  <si>
    <t>BIOGEOSCIENCES</t>
  </si>
  <si>
    <t>WEDDELL SEA; PACK ICE; BLOOMS; ZONE; PHENOLOGY; DRIVERS; VARIABILITY; LAYERS; WAVES</t>
  </si>
  <si>
    <t>The seasonality of sea ice in the Southern Ocean has profound effects on the life cycle (phenology) of phytoplankton residing under the ice. The current literature investigating this relationship is primarily based on remote sensing, which often lacks data for half of the year or more. One prominent hypothesis holds that, following ice retreat in spring, buoyant meltwaters enhance available irradiance, triggering a bloom which follows the ice edge. However, an analysis of Biogeochemical Argo (BGC-Argo) data sampling under Antarctic sea ice suggests that this is not necessarily the case. Rather than precipitating rapid accumulation, we show that meltwaters enhance growth in an already highly active phytoplankton population. Blooms observed in the wake of the receding ice edge can then be understood as the emergence of a growth process that started earlier under sea ice. Indeed, we estimate that growth initiation occurs, on average, 4-5 weeks before ice retreat, typically starting in August and September. Novel techniques using on-board data to detect the timing of ice melt were used. Furthermore, such growth is shown to occur under conditions of substantial ice cover (&gt; 90 % satellite ice concentration) and deep mixed layers (&gt; 100 m), conditions previously thought to be inimical to growth. This led to the development of several box model experiments (with varying vertical depth) in which we sought to investigate the mechanisms responsible for such early growth. The results of these experiments suggest that a combination of higher light transfer (penetration) through sea ice cover and extreme low light adaptation by phytoplankton can account for the observed phenology.</t>
  </si>
  <si>
    <t>[Hague, Mark; Vichi, Marcello] Univ Cape Town, Dept Oceanog, ZA-7700 Cape Town, South Africa; [Vichi, Marcello] Univ Cape Town, Marine Res Inst, ZA-7700 Cape Town, South Africa</t>
  </si>
  <si>
    <t>Hague, M (corresponding author), Univ Cape Town, Dept Oceanog, ZA-7700 Cape Town, South Africa.</t>
  </si>
  <si>
    <t>mark.hague@alumni.uct.ac.za</t>
  </si>
  <si>
    <t>Vichi, Marcello/GLR-9823-2022</t>
  </si>
  <si>
    <t>Vichi, Marcello/0000-0002-0686-9634</t>
  </si>
  <si>
    <t>National Research Foundation through the South African National Antarctic Programme (SANAP); NRF-STINT bilateral collaboration programme</t>
  </si>
  <si>
    <t>This research has received funding from the National Research Foundation through the South African National Antarctic Programme (SANAP) and the NRF-STINT bilateral collaboration programme.</t>
  </si>
  <si>
    <t>1726-4170</t>
  </si>
  <si>
    <t>1726-4189</t>
  </si>
  <si>
    <t>Biogeosciences</t>
  </si>
  <si>
    <t>JAN 4</t>
  </si>
  <si>
    <t>10.5194/bg-18-25-2021</t>
  </si>
  <si>
    <t>Ecology; Geosciences, Multidisciplinary</t>
  </si>
  <si>
    <t>Environmental Sciences &amp; Ecology; Geology</t>
  </si>
  <si>
    <t>PQ5HP</t>
  </si>
  <si>
    <t>WOS:000606576700003</t>
  </si>
  <si>
    <t>Tsuda, TT; Tanaka, YM; Tozu, R; Takizawa, K; Ejiri, MK; Nishiyama, T; Kawahara, TD; Nakamura, T</t>
  </si>
  <si>
    <t>Tsuda, T. T.; Tanaka, Y. -M.; Tozu, R.; Takizawa, K.; Ejiri, M. K.; Nishiyama, T.; Kawahara, T. D.; Nakamura, T.</t>
  </si>
  <si>
    <t>Relationship between Na layer and CNA variations observed at Syowa, Antarctic</t>
  </si>
  <si>
    <t>EARTH PLANETS AND SPACE</t>
  </si>
  <si>
    <t>Na layer; CNA; Energetic particle precipitation; Geomagnetic activity; Polar region; Syowa</t>
  </si>
  <si>
    <t>MESOSPHERIC SODIUM; SPORADIC SODIUM; STATION</t>
  </si>
  <si>
    <t>We have performed a statistical data analysis on relationship between simultaneous Na density data and cosmic noise absorption (CNA) data, which is an indicator for energetic particle precipitation, obtained at Syowa, Antarctic in 2000-2002. It is found that the Na densities around the topside of Na layers (above similar to 95 km height) tended to be smaller when the CNA was larger. The amounts of Na density responses, i.e., Na density decrease or Na loss, were increasing with magnetic local time (MLT) from dusk hours to dawn hours, and those of CNA responses, i.e., CNA increase, were also increasing with MLT. Thus, there were clear negative correlations between the Na density and CNA variations. These results indicate that the Na loss around the topside of Na layer would be induced by the energetic particle precipitation, and its effect would be more severe in dawn hours.</t>
  </si>
  <si>
    <t>[Tsuda, T. T.; Tozu, R.; Takizawa, K.] Univ Electrocommun UEC, Dept Comp &amp; Network Engn, Chofu, Tokyo, Japan; [Tanaka, Y. -M.; Ejiri, M. K.; Nishiyama, T.; Nakamura, T.] Natl Inst Polar Res NIPR, Tachikawa, Tokyo, Japan; [Tanaka, Y. -M.; Ejiri, M. K.; Nishiyama, T.; Nakamura, T.] Grad Univ Adv Studies SOKENDAI, Dept Polar Sci, Tachikawa, Tokyo, Japan; [Tanaka, Y. -M.] Res Org Informat &amp; Syst, Polar Environm Data Sci Ctr, Joint Support Ctr Data Sci Res, Tachikawa, Tokyo, Japan; [Kawahara, T. D.] Shinshu Univ, Dept Elect &amp; Comp Engn, Nagano, Japan</t>
  </si>
  <si>
    <t>University of Electro-Communications - Japan; Research Organization of Information &amp; Systems (ROIS); National Institute of Polar Research (NIPR) - Japan; Graduate University for Advanced Studies - Japan; Research Organization of Information &amp; Systems (ROIS); Shinshu University</t>
  </si>
  <si>
    <t>Tsuda, TT (corresponding author), Univ Electrocommun UEC, Dept Comp &amp; Network Engn, Chofu, Tokyo, Japan.</t>
  </si>
  <si>
    <t>takuo.tsuda@uec.ac.jp</t>
  </si>
  <si>
    <t>Nakamura, Takuji/0000-0002-3876-2946</t>
  </si>
  <si>
    <t>MEXT/JSPS KAKENHI [JP15H05815, JP16H01171, JP16H06021, JP17H02968, JP19H01956, JP20K20940]; Inamori Foundation; JGC-S Scholarship Foundation; Casio Science Promotion Foundation; National Institute of Polar Research (NIPR) [31-3]; Institute for Space-Earth Environmental Research (ISEE), Nagoya University</t>
  </si>
  <si>
    <t>MEXT/JSPS KAKENHI(Ministry of Education, Culture, Sports, Science and Technology, Japan (MEXT)Japan Society for the Promotion of ScienceGrants-in-Aid for Scientific Research (KAKENHI)); Inamori Foundation; JGC-S Scholarship Foundation; Casio Science Promotion Foundation; National Institute of Polar Research (NIPR)(National Institute of Polar Research (NIPR) - Japan); Institute for Space-Earth Environmental Research (ISEE), Nagoya University</t>
  </si>
  <si>
    <t>This work was supported in part by MEXT/JSPS KAKENHI Grants, JP15H05815, JP16H01171, JP16H06021, JP17H02968, JP19H01956, and JP20K20940, by Inamori Research Grants from Inamori Foundation, by Research Grants from JGC-S Scholarship Foundation, by Research Grants from Casio Science Promotion Foundation, by the National Institute of Polar Research (NIPR) through the General Collaboration Project no. 31-3, and by the joint research program of the Institute for Space-Earth Environmental Research (ISEE), Nagoya University.</t>
  </si>
  <si>
    <t>1880-5981</t>
  </si>
  <si>
    <t>EARTH PLANETS SPACE</t>
  </si>
  <si>
    <t>Earth Planets Space</t>
  </si>
  <si>
    <t>10.1186/s40623-020-01335-7</t>
  </si>
  <si>
    <t>PR2NL</t>
  </si>
  <si>
    <t>WOS:000607078000006</t>
  </si>
  <si>
    <t>Ladds, M; Rosen, D; Gerlinsky, C; Slip, D; Harcourt, R</t>
  </si>
  <si>
    <t>Ladds, Monique; Rosen, David; Gerlinsky, Carling; Slip, David; Harcourt, Robert</t>
  </si>
  <si>
    <t>Diving deep into trouble: the role of foraging strategy and morphology in adapting to a changing environment</t>
  </si>
  <si>
    <t>CONSERVATION PHYSIOLOGY</t>
  </si>
  <si>
    <t>Otariid; aerobic dive limit; prey availability; meta-analysis; diving</t>
  </si>
  <si>
    <t>ANTARCTIC FUR SEALS; AEROBIC DIVE LIMIT; LIONS OTARIA-FLAVESCENS; CLIMATE-CHANGE; NEOPHOCA-CINEREA; MARINE PREDATOR; OXYGEN STORES; ARCTOCEPHALUS-TROPICALIS; MAMMALIAN INSULATION; CALLORHINUS-URSINUS</t>
  </si>
  <si>
    <t>Physiology places constraints on an animal's ability to forage and those unable to adapt to changing conditions may face increased challenges to reproduce and survive. As the global marine environment continues to change, small, air-breathing, endothermic marine predators such as otariids (fur seals and sea lions) and particularly females, whoare constrained by central place foraging during breeding, may experience increased difficulties in successfully obtaining adequate food resources. We explored whether physiological limits of female otariids may be innately related to body morphology (fur seals vs sea lions) and/or dictate foraging strategies (epipelagic vs mesopelagic or benthic). We conducted a systematic review of the increased body of literature since the original reviews of Costa et al. (When does physiology limit the foraging behaviour of freely diving mammals? Int Congr Ser 2004;1275:359-366) and Arnould and Costa (Sea lions in drag, fur seals incognito: insights from the otariid deviants. In Sea Lions of the World Fairbanks. Alaska Sea Grant College Program, Alaska, USA, pp. 309-324, 2006) on behavioural (dive duration and depth) and physiological (total body oxygen stores and diving metabolic rates) parameters. We estimatedcalculatedaerobic dive limit (cADL-estimatedduration of aerobic dives) for species and used simulations to predict the proportion of dives that exceeded the cADL. We tested whether body morphology or foraging strategy was the primary predictor of these behavioural and physiological characteristics. We found that the foraging strategy compared to morphology was a better predictor of most parameters, including whether a species was more likely to exceed their cADL during a dive and the ratio of dive time to cADL. This suggests that benthic and mesopelagic divers are more likely to be foraging at their physiological capacity. For species operating near their physiological capacity (regularly exceeding their cADL), the ability to switch strategies is limited as the cost of foraging deeper and longer is disproportionally high, unless it is accompanied by physiological adaptations. It is proposed that some otariids may not have the ability to switch foraging strategies and so be unable adapt to a changing oceanic ecosystem.</t>
  </si>
  <si>
    <t>[Ladds, Monique] Dept Conservat, Marine Ecosyst Team, 18-32 Manners St, Wellington 6011, New Zealand; [Ladds, Monique; Slip, David; Harcourt, Robert] Macquarie Univ, Dept Biol Sci, Marine Predator Res Grp, N Ryde, NSW 2113, Australia; [Rosen, David; Gerlinsky, Carling] Univ British Columbia, Inst Oceans &amp; Fisheries, Marine Mammal Res Unit, Vancouver, BC V6T 1Z4, Canada; [Slip, David] Taronga Conservat Soc Australia, Mosman 2088, Australia</t>
  </si>
  <si>
    <t>Macquarie University; University of British Columbia; Taronga Conservation Society Australia</t>
  </si>
  <si>
    <t>Ladds, M (corresponding author), Dept Conservat, Marine Ecosyst Team, 18-32 Manners St, Wellington 6011, New Zealand.</t>
  </si>
  <si>
    <t>monique.ladds@gmail.com</t>
  </si>
  <si>
    <t>Harcourt, Robert/0000-0003-4666-2934; Slip, David/0000-0002-9010-7236</t>
  </si>
  <si>
    <t>Macquarie University Research Excellence Support grant</t>
  </si>
  <si>
    <t>This work was supported by a Macquarie University Research Excellence Support grant awarded to M. Ladds.</t>
  </si>
  <si>
    <t>2051-1434</t>
  </si>
  <si>
    <t>CONSERV PHYSIOL</t>
  </si>
  <si>
    <t>Conserv. Physiol.</t>
  </si>
  <si>
    <t>DEC 28</t>
  </si>
  <si>
    <t>coaa111</t>
  </si>
  <si>
    <t>10.1093/conphys/coaa111</t>
  </si>
  <si>
    <t>Biodiversity Conservation; Ecology; Environmental Sciences; Physiology</t>
  </si>
  <si>
    <t>Biodiversity &amp; Conservation; Environmental Sciences &amp; Ecology; Physiology</t>
  </si>
  <si>
    <t>PO2KF</t>
  </si>
  <si>
    <t>WOS:000604997900001</t>
  </si>
  <si>
    <t>Guímaro, HR; Thompson, DR; Paiva, VH; Ceia, FR; Cunningham, DM; Moors, PJ; Xavier, JC</t>
  </si>
  <si>
    <t>Guimaro, H. R.; Thompson, D. R.; Paiva, V. H.; Ceia, F. R.; Cunningham, D. M.; Moors, P. J.; Xavier, J. C.</t>
  </si>
  <si>
    <t>Cephalopods habitat and trophic ecology: historical data using snares penguin as biological sampler</t>
  </si>
  <si>
    <t>Stable isotope analysis; Nototodarus sloanii; Moroteuthopsis ingens; Octopus campbelli; Eudyptes robustus; Snares islands</t>
  </si>
  <si>
    <t>MOROTEUTHIS-INGENS CEPHALOPODA; EASTERN ROCKHOPPER PENGUINS; SOUTHERN-OCEAN; NEW-ZEALAND; STABLE-ISOTOPES; CAMPBELL-ISLAND; CLIMATE-CHANGE; SQUID; DIET; PREY</t>
  </si>
  <si>
    <t>In the Southern Ocean and adjacent waters, early stages of cephalopods play an important role in food webs as prey to top predators, but few is known regarding their biology and availability. Snares Penguin, Eudyptes robustus, is a top predator endemic to Snares Islands (New Zealand) that feed on cephalopods. As historical data on diet are rare for this species, Snares Penguins were used as biological samplers to evaluate the cephalopod component of its diet, where habitat and trophic level of cephalopods around the Snares Islands was assessed through stable isotope analysis. Moreover, ontogenic changes of juvenile squid were evaluated. Data collection were carried out during the breeding season 1986-87 and its analysis revealed that penguins fed on three juvenile cephalopod species: two squids (Nototodarus sloanii and Moroteuthopsis ingens) and one octopod (Octopus campbelli). Nototodarus sloanii was the most important species in frequency of occurrence and mass, whereas M. ingens was the most important in number. Juvenile squid species showed similar delta C-13 values, suggesting both occupied similar habitats on the Snares shelf, whereas juvenile O. campbelli showed lower delta C-13 values. Moreover, O. campbelli fed on higher trophic level (delta N-15) prey relative to squid species. Lower diversity and larger sizes of cephalopods were found when compared with data from 2002. This study shows that Snares Penguin can be a good local biological sampler of juvenile cephalopods during their breeding season, providing both essential biogeographic information of cephalopod diversity and relevant historical information for the conservation of this endemic penguin species.</t>
  </si>
  <si>
    <t>[Guimaro, H. R.; Paiva, V. H.; Ceia, F. R.; Xavier, J. C.] Univ Coimbra, Marine &amp; Environm Sci Ctr, Dept Life Sci, P-3000456 Coimbra, Portugal; [Thompson, D. R.] Natl Inst Water &amp; Atmospher Res Ltd, Private Bag 14-901, Wellington, New Zealand; [Cunningham, D. M.; Moors, P. J.] Dept Conservat, POB 10420, Wellington, New Zealand; [Xavier, J. C.] British Antarctic Survey, Nat Environm Res Council, Cambridge, England</t>
  </si>
  <si>
    <t>Universidade de Coimbra; National Institute of Water &amp; Atmospheric Research (NIWA) - New Zealand; UK Research &amp; Innovation (UKRI); Natural Environment Research Council (NERC); NERC British Antarctic Survey</t>
  </si>
  <si>
    <t>Guímaro, HR (corresponding author), Univ Coimbra, Marine &amp; Environm Sci Ctr, Dept Life Sci, P-3000456 Coimbra, Portugal.</t>
  </si>
  <si>
    <t>h.r.r.g@hotmail.com</t>
  </si>
  <si>
    <t>Xavier, José/KFB-6739-2024; Ceia, Filipe R./A-2196-2012; Guímaro, Hugo/JNE-7768-2023</t>
  </si>
  <si>
    <t>Ceia, Filipe R./0000-0002-5470-5183; Guimaro, Hugo/0000-0002-9418-3439; /0000-0002-9621-6660</t>
  </si>
  <si>
    <t>Foundation for Science and Technology (FCT; Portugal) [SFRH/BPD/95372/2013]; European Social Fund (POPH, EU); FCT [UID/MAR/04292/2019]</t>
  </si>
  <si>
    <t>Foundation for Science and Technology (FCT; Portugal)(Fundacao para a Ciencia e a Tecnologia (FCT)); European Social Fund (POPH, EU); FCT(Fundacao para a Ciencia e a Tecnologia (FCT))</t>
  </si>
  <si>
    <t>This work is an international effort under the Scientific Committee on Antarctic Research (SCAR) associated programmes, expert and action groups, namely SCAR Ant-ERA, SCAR EGBAMM and ICED programmes. FRC acknowledge the grant (SFRH/BPD/95372/2013) attributed by the Foundation for Science and Technology (FCT; Portugal) and the European Social Fund (POPH, EU). This study benefited from a strategic programme of MARE, financed by FCT (UID/MAR/04292/2019).</t>
  </si>
  <si>
    <t>10.1007/s00300-020-02776-2</t>
  </si>
  <si>
    <t>WOS:000604839400002</t>
  </si>
  <si>
    <t>Rackete, C; Poncet, S; Good, SD; Phillips, RA; Passfield, K; Trathan, P</t>
  </si>
  <si>
    <t>Rackete, Carola; Poncet, Sally; Good, Stephanie D.; Phillips, Richard A.; Passfield, Ken; Trathan, Philip</t>
  </si>
  <si>
    <t>Variation among colonies in breeding success and population trajectories of wandering albatrosses Diomedea exulans at South Georgia</t>
  </si>
  <si>
    <t>Wandering albatross; Breeding success survival; Inter-colony variation</t>
  </si>
  <si>
    <t>DEMOGRAPHIC PARAMETERS; SURVIVAL; SEABIRD; AGE; CONSERVATION; DYNAMICS; CLIMATE; RECRUITMENT; DENSITY</t>
  </si>
  <si>
    <t>The wandering albatross, Diomedea exulans, is a globally threatened species breeding at a number of sites within the Southern Ocean. Across the South Georgia archipelago, there are differences in population trends even at closely located colonies. Between 1999 and 2018 the largest colony, at Bird Island, declined at 3.01% per annum, while in the Bay of Isles, the decline was 1.44% per annum. Using mean demographic rates from a 31-year study at Bird Island and an 11-year study of breeding success at Prion Island in the Bay of Isles in a VORTEX model, we show that differences in breeding success do not fully explain observed differences in population trends. Other potential contributing factors are differential use of foraging areas, with possible knock-on effects on adult body condition, provisioning rate and breeding success, or on bycatch rates of adults or immatures.</t>
  </si>
  <si>
    <t>[Rackete, Carola] Edge Hill Univ, Biosci, St Helens Rd, Ormskirk L39 4QP, England; [Poncet, Sally; Passfield, Ken] South Georgia Surveys, POB 538, Stanley FIQQ 1ZZ, Falkland Island; [Good, Stephanie D.] Univ Exeter, Ctr Ecol &amp; Conservat, Cornwall Campus, Penryn TR10 9EF, England; [Rackete, Carola; Phillips, Richard A.; Trathan, Philip] British Antarctic Survey, Nat Environm Res Council, Madingley Rd, Cambridge CB3 0ET, England</t>
  </si>
  <si>
    <t>Edge Hill University; University of Exeter; UK Research &amp; Innovation (UKRI); Natural Environment Research Council (NERC); NERC British Antarctic Survey</t>
  </si>
  <si>
    <t>Trathan, P (corresponding author), British Antarctic Survey, Nat Environm Res Council, Madingley Rd, Cambridge CB3 0ET, England.</t>
  </si>
  <si>
    <t>pnt@bas.ac.uk</t>
  </si>
  <si>
    <t>Government of South Georgia; Sandwich Islands; South Georgia Surveys; British Antarctic Survey; Natural Environment Research Council; NERC [bas0100035] Funding Source: UKRI</t>
  </si>
  <si>
    <t>Government of South Georgia; Sandwich Islands; South Georgia Surveys; British Antarctic Survey; Natural Environment Research Council(UK Research &amp; Innovation (UKRI)Natural Environment Research Council (NERC)); NERC(UK Research &amp; Innovation (UKRI)Natural Environment Research Council (NERC))</t>
  </si>
  <si>
    <t>We thank two referees, Rachael Herman and Tegan Carpenter-Kling, as well as the editor, Dieter Piepenburg, for their helpful comments which greatly improved our manuscript. The study was conducted using funding and support from the Government of South Georgia and the Sandwich Islands, South Georgia Surveys and British Antarctic Survey. We are very grateful to the many field workers who assisted with monitoring at the Bay of Isles and Bird Island. This study represents a contribution to the Ecosystems component of the British Antarctic Survey Polar Science for Planet Earth Programme, funded by The Natural Environment Research Council.</t>
  </si>
  <si>
    <t>10.1007/s00300-020-02780-6</t>
  </si>
  <si>
    <t>hybrid, Green Accepted</t>
  </si>
  <si>
    <t>WOS:000604839400003</t>
  </si>
  <si>
    <t>Silva, CNS; Murphy, NP; Bell, JJ; Green, BS; Duhamel, G; Cockcroft, AC; Hernández, CE; Strugnell, JM</t>
  </si>
  <si>
    <t>Silva, Catarina N. S.; Murphy, Nicholas P.; Bell, James J.; Green, Bridget S.; Duhamel, Guy; Cockcroft, Andrew C.; Hernandez, Cristian E.; Strugnell, Jan M.</t>
  </si>
  <si>
    <t>Global drivers of recent diversification in a marine species complex</t>
  </si>
  <si>
    <t>demographic inference; environmental association; genomics; Jasus spp; lobsters; speciation with gene flow</t>
  </si>
  <si>
    <t>MITOCHONDRIAL-DNA VARIATION; SEA-LEVEL CHANGES; ROCK LOBSTER; GENETIC DIVERSITY; SPECIATION; JASUS; CONNECTIVITY; GENUS; BIOGEOGRAPHY; DIVERGENCE</t>
  </si>
  <si>
    <t>Investigating historical gene flow in species complexes can indicate how environmental and reproductive barriers shape genome divergence during speciation. The processes influencing species diversification under environmental change remain one of the central focal points of evolutionary biology, particularly for marine organisms with high dispersal potential. We investigated genome-wide divergence, introgression patterns and inferred demographic history between species pairs of all six extant rock lobster species (Jasus spp.), which have a long larval duration of up to two years and have populated continental shelf and seamount habitats around the globe at approximately 40(o)S. Genetic differentiation patterns reflected geographic isolation and the environment (i.e. habitat structure). Eastern Pacific species (J. caveorum and J. frontalis) were geographically more distant and genetically more differentiated from the remaining four species. Species associated with continental shelf habitats shared a common ancestry, but are geographically distant from one another. Similarly, species associated with island/seamount habitats in the Atlantic and Indian Oceans shared a common ancestry, but are also geographically distant. Benthic temperature was the environmental variable that explained most of the genetic differentiation (F-ST), while controlling for the effects of geographic distance. Eastern Pacific species retained a signal of strict isolation following ancient migration, whereas species pairs from Australia and Africa, and seamounts in the Indian and Atlantic oceans, included events of introgression after secondary contact. Our results reveal important effects of habitat and demographic processes on the recent divergence of species within the genus Jasus, providing one of the first empirical studies of genome-wide drivers of diversification that incorporates all extant species in a marine genus with long pelagic larval duration.</t>
  </si>
  <si>
    <t>[Silva, Catarina N. S.; Strugnell, Jan M.] James Cook Univ, Ctr Sustainable Trop Fisheries &amp; Aquaculture, Townsville, Qld 4810, Australia; [Silva, Catarina N. S.; Strugnell, Jan M.] James Cook Univ, Coll Sci &amp; Engn, Townsville, Qld 4810, Australia; [Murphy, Nicholas P.; Strugnell, Jan M.] La Trobe Univ, Dept Ecol Environm &amp; Evolut, Melbourne, Vic, Australia; [Bell, James J.] Victoria Univ Wellington, Sch Biol Sci, Wellington, New Zealand; [Green, Bridget S.] Univ Tasmania, Inst Marine &amp; Antarctic Studies, Hobart, Tas, Australia; [Duhamel, Guy] MNHN, BOREA, Dept Adaptat Vivant, Paris, France; [Cockcroft, Andrew C.] Dept Agr Forestry &amp; Fisheries, Cape Town, South Africa; [Hernandez, Cristian E.] Univ Concepcion, Fac Ciencias Nat &amp; Oceanog, Dept Zool, Concepcion, Chile; [Hernandez, Cristian E.] Univ Catolica Santa Maria, Arequipa, Peru</t>
  </si>
  <si>
    <t>James Cook University; James Cook University; La Trobe University; Melbourne Genomics Health Alliance; Victoria University Wellington; University of Tasmania; Centre National de la Recherche Scientifique (CNRS); Institut de Recherche pour le Developpement (IRD); Museum National d'Histoire Naturelle (MNHN); Sorbonne Universite; Universidad de Concepcion; Universidad Catolica de Santa Maria</t>
  </si>
  <si>
    <t>Silva, CNS (corresponding author), James Cook Univ, Ctr Sustainable Trop Fisheries &amp; Aquaculture, Townsville, Qld 4810, Australia.;Silva, CNS (corresponding author), James Cook Univ, Coll Sci &amp; Engn, Townsville, Qld 4810, Australia.</t>
  </si>
  <si>
    <t>catari.bio@gmail.com</t>
  </si>
  <si>
    <t>Silva, Catarina/GVS-9316-2022; Silva, Catarina N. S./A-8402-2008; Strugnell, Jan M/P-9921-2016; Hernández, Cristián E./GLS-1111-2022</t>
  </si>
  <si>
    <t>Silva, Catarina N. S./0000-0001-9401-2616; Hernández, Cristián E./0000-0002-9811-2881; Murphy, Nick/0000-0002-0907-4642; Bell, James/0000-0001-9996-945X; Strugnell, Jan/0000-0003-2994-637X</t>
  </si>
  <si>
    <t>Australian Research Council [DP150101491]; Fondo Nacional de Desarrollo Cientifico y Tecnologico [1170815]</t>
  </si>
  <si>
    <t>Australian Research Council(Australian Research Council); Fondo Nacional de Desarrollo Cientifico y Tecnologico(Comision Nacional de Investigacion Cientifica y Tecnologica (CONICYT)CONICYT FONDECYT)</t>
  </si>
  <si>
    <t>Australian Research Council, Grant/Award Number: DP150101491; Fondo Nacional de Desarrollo Cientifico y Tecnologico, Grant/Award Number: 1170815</t>
  </si>
  <si>
    <t>10.1111/mec.15780</t>
  </si>
  <si>
    <t>QL4FP</t>
  </si>
  <si>
    <t>WOS:000604395400001</t>
  </si>
  <si>
    <t>Nash, KL; Alexander, K; Melbourne-Thomas, J; Novioaglio, C; Sbrocchi, C; Villanueva, C; Pecl, GT</t>
  </si>
  <si>
    <t>Nash, Kirsty L.; Alexander, Karen; Melbourne-Thomas, Jess; Novioaglio, Camilla; Sbrocchi, Carla; Villanueva, Cecilia; Pecl, Gretta T.</t>
  </si>
  <si>
    <t>Developing achievable alternate futures for key challenges during the UN Decade of Ocean Science for Sustainable Development</t>
  </si>
  <si>
    <t>Backcasting; Foresight activities; Futures literacy; Scenario development; Sustainable Development Goals</t>
  </si>
  <si>
    <t>INTERDISCIPLINARY; ANTHROPOCENE; SCENARIOS; POLICY</t>
  </si>
  <si>
    <t>The oceans face a range of complex challenges for which the impacts on society are highly uncertain but mostly negative. Tackling these challenges is testing society's capacity to mobilise transformative action, engendering a sense of powerlessness. Envisaging positive but realistic visions of the future, and considering how current knowledge, resources, and technology could be used to achieve these futures, may lead to greater action to achieve sustainable transformations. Future Seas (www.FutureSeas2030.org) brought together researchers across career stages, Indigenous Peoples and environmental managers to develop scenarios for 12 challenges facing the oceans, leveraging interdisciplinary knowledge to improve society's capacity to purposefully shape the direction of marine socialecological systems over the UN Decade of Ocean Science for Sustainable Development (2021- 2030). We describe and reflect on Future Seas, providing guidance for co-developing scenarios in interdisciplinary teams tasked with exploring ocean futures. We detail the narrative development for two futures: our current trajectory based on published evidence, and a more sustainable future, consistent with the UN's Sustainable Development Goals, which is technically achievable using existing and emerging knowledge. Presentation of Business-as-usual and More Sustainable futures-together-allows communication of both trajectories, whilst also highlighting achievable, sustainable versions of the future. The advantages of the interdisciplinary approach taken include: (1) integrating different perspectives on solutions, (2) capacity to explore interactions between Life Under Water (Goal 14) and other SDGs, and (3) cross-disciplinary learning. This approach allowed participants to conceptualise shared visions of the future and codesign transformative pathways to achieving those futures.</t>
  </si>
  <si>
    <t>[Nash, Kirsty L.; Alexander, Karen; Melbourne-Thomas, Jess; Novioaglio, Camilla; Sbrocchi, Carla; Villanueva, Cecilia; Pecl, Gretta T.] Univ Tasmania, Ctr Marine Socioecol, Private Bag 129, Hobart, Tas 7001, Australia; [Nash, Kirsty L.; Alexander, Karen; Novioaglio, Camilla; Villanueva, Cecilia; Pecl, Gretta T.] Univ Tasmania, Inst Marine &amp; Antarctic Studies, Private Bag 129, Hobart, Tas 7001, Australia; [Melbourne-Thomas, Jess; Novioaglio, Camilla] CSIRO Oceans &amp; Atmosphere, Castray Esplanade, Battery Point, Tas 7004, Australia; [Sbrocchi, Carla] Univ Technol Sydney, Fac Arts &amp; Social Sci, POB 123, Broadway 2007, Australia</t>
  </si>
  <si>
    <t>University of Tasmania; University of Tasmania; Commonwealth Scientific &amp; Industrial Research Organisation (CSIRO); University of Technology Sydney</t>
  </si>
  <si>
    <t>Nash, KL (corresponding author), Univ Tasmania, Ctr Marine Socioecol, Private Bag 129, Hobart, Tas 7001, Australia.</t>
  </si>
  <si>
    <t>nashkirsty@gmail.com</t>
  </si>
  <si>
    <t>Pecl, Gretta/D-7267-2011; Melbourne-Thomas, Jess/N-2437-2019; Nash, Kirsty L/B-5456-2015; Alexander, Karen/O-7042-2017</t>
  </si>
  <si>
    <t>Pecl, Gretta/0000-0003-0192-4339; Melbourne-Thomas, Jess/0000-0001-6585-876X; Nash, Kirsty L/0000-0003-0976-3197; Alexander, Karen/0000-0001-8801-413X; Novaglio, Camilla/0000-0003-3681-1377; Sbrocchi, Carla/0000-0003-3841-2679</t>
  </si>
  <si>
    <t>Centre for Marine Socioecology; IMAS; MENZIES; College of Arts, Law and Education at UTAS; College of Science and Engineering at UTAS; DVCR Office at UTAS; ARC Future Fellowship</t>
  </si>
  <si>
    <t>Centre for Marine Socioecology; IMAS; MENZIES; College of Arts, Law and Education at UTAS; College of Science and Engineering at UTAS; DVCR Office at UTAS; ARC Future Fellowship(Australian Research Council)</t>
  </si>
  <si>
    <t>Riawunna House at UTAS provided advice and support for the Indigenous and Traditional working group, and the Future Seas project as a whole. Funding for Future Seas was provided by the Centre for Marine Socioecology, IMAS, MENZIES and the College of Arts, Law and Education, and the College of Science and Engineering at UTAS. We acknowledge support from a Research Enhancement Program grant from the DVCR Office at UTAS. GP was supported by an ARC Future Fellowship. We are grateful to the 116 participants within the broader Future Seas project who participated in the workshops described in this paper and contributed to the development of the methods. We acknowledge and pay respect to the traditional owners and custodians of sea country all around the world, and recognise their collective wisdom and knowledge of our oceans and coasts.</t>
  </si>
  <si>
    <t>10.1007/s11160-020-09629-5</t>
  </si>
  <si>
    <t>Green Published, Bronze, Green Submitted</t>
  </si>
  <si>
    <t>WOS:000604555500001</t>
  </si>
  <si>
    <t>Ludikova, AV; Subetto, DA; Andreev, AA; Gromig, R; Fedorov, GB; Melles, M</t>
  </si>
  <si>
    <t>Ludikova, Anna V.; Subetto, Dmitry A.; Andreev, Andrei A.; Gromig, Raphael; Fedorov, Grigory B.; Melles, Martin</t>
  </si>
  <si>
    <t>The first dated preglacial diatom record in Lake Ladoga: long-term marine influence or redeposition story?</t>
  </si>
  <si>
    <t>JOURNAL OF PALEOLIMNOLOGY</t>
  </si>
  <si>
    <t>Diatoms; Preglacial sediments; Lake Ladoga; Eemian; Early Weichselian</t>
  </si>
  <si>
    <t>NORTHWESTERN RUSSIA; ICE-SHEET; HISTORY; SEA; POLLEN</t>
  </si>
  <si>
    <t>Preglacial environments in Lake Ladoga, the largest European lake, located within the limits of the Scandinavian glaciations, are very poorly investigated compared to postglacial ones. They were primarily reconstructed based on the studies of terrestrial boreholes and outcrops, often incomplete and poorly dated. Previous diatom studies established that during the Eemian marine transgression, the Ladoga basin became a part of the marine Baltic-White Sea connection. However, the environments established in Lake Ladoga after the regression of the Eemian Sea are not known. This article discusses the first Early Weichselian (MIS5, similar to 118-80 ka) diatom record in Lake Ladoga obtained within the frame of the Russian-German research project PLOT. Low concentrations and selective preservation of diatoms in the preglacial sediments point to unstable high-energy environments. The presence of marine diatoms is thought to result from reworking of marine Eemian sediments, rather than direct marine influence. We argue that post-Eemian environments in Lake Ladoga were neither marine nor glaciolacustrine, as previously suggested. The Early Weichselian diatom record formed in a shallow-water part of a lake affected by inflowing streams transporting large amounts of eroded material. No analogues of the preglacial environments can be found in the postglacial Lake Ladoga. Our record demonstrates close similarity to other Early Weichselian diatom records in the Ladoga region suggesting their formation under the same conditions. Similar trends in concentrations of diatoms, diatom fragments and other siliceous microfossils reflect changing sediment supply, hydrodynamics or reworking intensity. Their lower values similar to 118-113 and similar to 90-80 ka could reflect the Early Weichselian cooling stages, while their increase between similar to 113 and 90 ka might indicate enhanced erosion intensity and increased sediment supply corresponding to the climate amelioration.</t>
  </si>
  <si>
    <t>[Ludikova, Anna V.] Russian Acad Sci, Inst Limnol, Sevastyanova Str 9, St Petersburg 196105, Russia; [Subetto, Dmitry A.] Herzen State Pedag Univ Russia, Moika 48, St Petersburg 191186, Russia; [Subetto, Dmitry A.] Russian Acad Sci, Inst Water &amp; Environm Problems, Siberian Branch, Molodezhnaya Str 1, Barnaul 656038, Russia; [Subetto, Dmitry A.] Immanuel Kant Baltic Fed Univ, A Nevskogo Str 14, Kaliningrad 236041, Russia; [Andreev, Andrei A.] Alfred Wegener Inst, Helmholtz Ctr Polar &amp; Marine Res, Polar Terr Environm Syst Grp, Res Unit Potsdam, Telegrafenberg A43, D-14471 Potsdam, Germany; [Andreev, Andrei A.; Gromig, Raphael; Melles, Martin] Univ Cologne, Inst Geol &amp; Mineral, Zulpicher Str 49a, D-50674 Cologne, Germany; [Andreev, Andrei A.] Kazan Fed Univ, Inst Geol &amp; Petr Technol, Kremlyovskaya Str 4-5, Kazan 420008, Russia; [Fedorov, Grigory B.] St Petersburg State Univ, Univ Skaya Nab 7-9, St Petersburg 199034, Russia; [Fedorov, Grigory B.] Arctic &amp; Antarctic Res Inst, Bering Str 38, St Petersburg 199397, Russia</t>
  </si>
  <si>
    <t>Russian Academy of Sciences; St. Petersburg Scientific Centre of the Russian Academy of Sciences; St. Petersburg Federal Research Center of the Russian Academy of Sciences; Herzen State Pedagogical University of Russia; Institute for Water &amp; Environmental Problems, Siberian Branch of the Russian Academy of Sciences; Russian Academy of Sciences; Immanuel Kant Baltic Federal University; Helmholtz Association; Alfred Wegener Institute, Helmholtz Centre for Polar &amp; Marine Research; University of Cologne; Kazan Federal University; Saint Petersburg State University; Arctic &amp; Antarctic Research Institute</t>
  </si>
  <si>
    <t>Ludikova, AV (corresponding author), Russian Acad Sci, Inst Limnol, Sevastyanova Str 9, St Petersburg 196105, Russia.</t>
  </si>
  <si>
    <t>ellerbeckia@yandex.ru; subetto@mail.ru; aandreev@awi.de; g.fedorov@spbu.ru; mmelles@uni-koeln.de</t>
  </si>
  <si>
    <t>Fedorov, Grigory/N-5788-2019; Andreev, Andrei A/J-2701-2015; Melles, Martin/J-4070-2012; Ludikova, Anna/GXZ-8836-2022; Subetto, Dmitry/A-4467-2014</t>
  </si>
  <si>
    <t>Fedorov, Grigory/0000-0003-2269-4501; Andreev, Andrei A/0000-0002-8745-9636; Melles, Martin/0000-0003-0977-9463; Subetto, Dmitry/0000-0002-3585-8598; Gromig, Raphael/0000-0001-9217-4259; Ludikova, Anna/0000-0001-6022-2455</t>
  </si>
  <si>
    <t>German Federal Ministry for Education and Research (BMBF) [03G0859A]; State Research Program of the Institute of Limnology, RAS [0154-2019-0001]; Ministry of Education of the Russian Federation [FSZN-2020-0016]; RFBR [18-05-80087]; Russian Government Program of Competitive Growth of Kazan Federal University; St. Petersburg State University [18.65.39.2017]</t>
  </si>
  <si>
    <t>German Federal Ministry for Education and Research (BMBF)(Federal Ministry of Education &amp; Research (BMBF)); State Research Program of the Institute of Limnology, RAS; Ministry of Education of the Russian Federation(Ministry of Education and Science, Russian Federation); RFBR(Russian Foundation for Basic Research (RFBR)); Russian Government Program of Competitive Growth of Kazan Federal University; St. Petersburg State University</t>
  </si>
  <si>
    <t>We are grateful to the captain and crew of the R/V Ekolog for their competent support of the coring campaign on Lake Ladoga in September 2013. The study was partly supported by the German Federal Ministry for Education and Research (BMBF; Grant 03G0859A). Research of Anna Ludikova was supported by the State Research Program of the Institute of Limnology, RAS (No. 0154-2019-0001). The work of Dmitry Subetto was partly supported by the Ministry of Education of the Russian Federation as part of a state task (project no. FSZN-2020-0016) and RFBR Grant No. 18-05-80087. The work of Andrei Andreev was partly sponsored by the Russian Government Program of Competitive Growth of Kazan Federal University. The work of Grigory Fedorov was partly supported by St. Petersburg State University (Project No. 18.65.39.2017). Nicole Mantke and Dorothea Klinghardt are gratefully acknowledged for their assistance during the core processing in Cologne.</t>
  </si>
  <si>
    <t>0921-2728</t>
  </si>
  <si>
    <t>1573-0417</t>
  </si>
  <si>
    <t>J PALEOLIMNOL</t>
  </si>
  <si>
    <t>J. Paleolimn.</t>
  </si>
  <si>
    <t>10.1007/s10933-020-00150-0</t>
  </si>
  <si>
    <t>Environmental Sciences; Geosciences, Multidisciplinary; Limnology</t>
  </si>
  <si>
    <t>Environmental Sciences &amp; Ecology; Geology; Marine &amp; Freshwater Biology</t>
  </si>
  <si>
    <t>PQ3HI</t>
  </si>
  <si>
    <t>WOS:000604443300001</t>
  </si>
  <si>
    <t>Ruiz-Ruiz, PA; Contreras, S; Urzúa, A; Quiroga, E; Rebolledo, L</t>
  </si>
  <si>
    <t>Ruiz-Ruiz, Paula A.; Contreras, Sergio; Urzua, Angel; Quiroga, Eduardo; Rebolledo, Lorena</t>
  </si>
  <si>
    <t>Fatty acid biomarkers in three species inhabiting a high latitude Patagonian fjord (Yendegaia Fjord, Chile)</t>
  </si>
  <si>
    <t>Fatty acid; Fjord environment; Trophic interactions; Remote environment</t>
  </si>
  <si>
    <t>ELEGINOPS-MACLOVINUS VALENCIENNES; BENTHIC COMMUNITY STRUCTURE; MUNIDA-GREGARIA FABRICIUS; FOOD-WEB STRUCTURE; TROPHIC ECOLOGY; STABLE-ISOTOPE; FEEDING ECOLOGY; ORGANIC-CARBON; ARCTIC FJORD; BARENTS SEA</t>
  </si>
  <si>
    <t>The study of fatty acid biomarkers in trophic structures at sub-polar latitudes is fundamental in describing energy fluxes across ecosystems characterized by complex inter-specific interactions. Due to the presence of certain essential fatty acids obtained exclusively from predator-prey interactions, fatty acid biomarkers are widely used to identify trophic interactions. This study analyzed fatty acid compositions in three species inhabiting a relatively pristine Patagonian fjord. This fjord is geographically difficult to access, so there are very little sampling opportunities, biological and oceanographic information. In the three species collected (Ctenodiscus australis (Loven in Lutken 1871) (Echinodermata, Asteroidea, Ctenodiscidae); Munida gregaria (Fabricius 1793) (Arthropoda, Malacostraca, Munididae); Eleginops maclovinus (Cuvier 1830) (Chordata, Actinopterygii, Eleginopsidae)) along this remote area were evaluated their fatty acid trophic markers as a tool to differentiate dietary components and dietary habits. The study reported significant differences in the amount of saturated fatty acids (SFA), monounsaturated fatty acids (MUFA), and polyunsaturated fatty acids (PUFA), with the highest concentrations of all fatty acids in M. gregaria. The last suggests that M. gregaria is considered as a good quality food source or biological component that might support the fjord trophic web in the Southern Hemisphere. The results describe diet compositions in sampled species, and differences among species for fatty acid compositions and proportions. This provides an initial basis for future modeling or projecting how benthic ecosystems of fjords and Patagonian channels respond to food intake, particularly in environments associated with glacial systems characterized by a low phytoplankton biomass and greater sensitivity to climate variability.</t>
  </si>
  <si>
    <t>[Ruiz-Ruiz, Paula A.; Urzua, Angel] Univ Catolica Santisima Concepcion, Fac Ciencias, Dept Ecol, Casilla 297, Concepcion, Chile; [Ruiz-Ruiz, Paula A.] Univ Catolica Santisima Concepcion, Programa Magister Ecol Marina, Concepcion, Chile; [Ruiz-Ruiz, Paula A.; Contreras, Sergio; Urzua, Angel] Univ Catolica Santisima Concepcion, Ctr Invest Biodiversidad &amp; Ambientes Sustentables, Concepcion, Chile; [Contreras, Sergio] Univ Catolica Santisima Concepcion, Fac Ciencias, Dept Quim Ambiental, Casilla 297, Concepcion, Chile; [Quiroga, Eduardo] Pontificia Univ Catolica Valparaiso PUCV, Escuela Ciencias Mar, Valparaiso, Chile; [Rebolledo, Lorena] Inst Antartico Chileno INACH, Plaza Munoz Gamero 1055, Punta Arenas, Chile; [Rebolledo, Lorena] Univ Austral Chile, Ctr Invest Dinam Ecosistemas Marinos Altas Latitu, Campus Isla Teja, Valdivia, Chile</t>
  </si>
  <si>
    <t>Universidad Catolica de la Santisima Concepcion; Universidad Catolica de la Santisima Concepcion; Universidad Catolica de la Santisima Concepcion; Universidad Catolica de la Santisima Concepcion; Pontificia Universidad Catolica de Valparaiso; Universidad Austral de Chile</t>
  </si>
  <si>
    <t>Contreras, S (corresponding author), Univ Catolica Santisima Concepcion, Ctr Invest Biodiversidad &amp; Ambientes Sustentables, Concepcion, Chile.;Contreras, S (corresponding author), Univ Catolica Santisima Concepcion, Fac Ciencias, Dept Quim Ambiental, Casilla 297, Concepcion, Chile.</t>
  </si>
  <si>
    <t>scontreras@ucsc.cl</t>
  </si>
  <si>
    <t>Rebolledo, Lorena/AAP-5867-2020; Urzúa, Ángel/AAA-6095-2019; Contreras, Sergio/ITW-0420-2023; Contreras, Sergio/I-1858-2014</t>
  </si>
  <si>
    <t>Urzúa, Ángel/0000-0001-7706-5126; Rebolledo, Lorena/0000-0003-0266-361X; Ruiz-Ruiz, Paula Andrea/0000-0003-2953-7859; Contreras, Sergio/0000-0001-7192-6810; Quiroga, Eduardo/0000-0002-7651-0213</t>
  </si>
  <si>
    <t>CIBAS project [CIBAS2017-4]; CONICYT-FONDECYT Project [1190398]; BMBF [180034]</t>
  </si>
  <si>
    <t>CIBAS project; CONICYT-FONDECYT Project(Comision Nacional de Investigacion Cientifica y Tecnologica (CONICYT)CONICYT FONDECYT); BMBF(Federal Ministry of Education &amp; Research (BMBF))</t>
  </si>
  <si>
    <t>We would like to thank the UCSC Hydrobiological Resources Laboratory, especially Fabian Guzman, for all his support during the development of this research. We would like to thank the Laboratory of Environmental Sciences (Labensci), especially Eduardo Tejos for his excellent work and unconditional help. We would like to thank the referee Claudia Andrade for the helpful comments to improve the manuscript. Thanks are due to the CIBAS project (CIBAS2017-4) Disentangle trophic levels in a glacial Chilean Patagonian fjord (Channel Martinez), combining fatty acids and stable isotope analysis of key organisms living in a remote estuarine ecosystem for funding and to the CONICYT-FONDECYT Project No 1190398 (SC) and BMBF No 180034 (AU) for inputs, material and laboratory assistance. We acknowledge the Chilean Antarctic Institute (INACH) for provide the L/C Karpuj for an exploratory research campaign on Yendegaia fjord during January 2017 that allowed to collect of sediment and macrofauna.</t>
  </si>
  <si>
    <t>10.1007/s00300-020-02788-y</t>
  </si>
  <si>
    <t>WOS:000604462700001</t>
  </si>
  <si>
    <t>Genevois, F; Barbraud, C</t>
  </si>
  <si>
    <t>Genevois, Fabrice; Barbraud, Christophe</t>
  </si>
  <si>
    <t>An observation of a gentoo penguin Pygoscelis papua feeding an Adelie penguin P. adeliae chick</t>
  </si>
  <si>
    <t>Interspecific feeding; Penguin; Antarctic</t>
  </si>
  <si>
    <t>EMPEROR PENGUIN; ADOPTION; CHASES</t>
  </si>
  <si>
    <t>Interspecific feeding refers to behavior where an adult of one species feeds the young of another species, with the exclusion of brood parasitism. In birds, most of observed cases concern passerines and this behavior has so far never been described among seabirds. We report on interspecific feeding provided by an adult gentoo penguin Pygoscelis papua to an Adelie penguin P. adeliae chick on the Antarctic Peninsula.</t>
  </si>
  <si>
    <t>[Genevois, Fabrice] Les Ouguieres, F-15240 Le Monteil, France; [Barbraud, Christophe] CNRS, UMR 7372, Ctr Etud Biol Chize, F-79360 Villiers En Bois, France</t>
  </si>
  <si>
    <t>Centre National de la Recherche Scientifique (CNRS); CNRS - Institute of Ecology &amp; Environment (INEE)</t>
  </si>
  <si>
    <t>Barbraud, C (corresponding author), CNRS, UMR 7372, Ctr Etud Biol Chize, F-79360 Villiers En Bois, France.</t>
  </si>
  <si>
    <t>barbraud@cebc.cnrs.fr</t>
  </si>
  <si>
    <t>Barbraud, Christophe/A-5870-2012</t>
  </si>
  <si>
    <t>Barbraud, Christophe/0000-0003-0146-212X</t>
  </si>
  <si>
    <t>10.1007/s00300-020-02779-z</t>
  </si>
  <si>
    <t>WOS:000604462700002</t>
  </si>
  <si>
    <t>Yang, X; Shang, ZH; Hu, KL; Hu, Y; Ma, B; Wang, YJ; Cao, ZH; Ashley, MCB; Wang, W</t>
  </si>
  <si>
    <t>Yang, Xu; Shang, Zhaohui; Hu, Keliang; Hu, Yi; Ma, Bin; Wang, Yongjiang; Cao, Zihuang; Ashley, Michael C. B.; Wang, Wei</t>
  </si>
  <si>
    <t>Cloud cover and aurora contamination at dome A in 2017 from KLCAM</t>
  </si>
  <si>
    <t>MONTHLY NOTICES OF THE ROYAL ASTRONOMICAL SOCIETY</t>
  </si>
  <si>
    <t>atmospheric effects; instrumentation: miscellaneous; site testing</t>
  </si>
  <si>
    <t>SKY BRIGHTNESS; ANTARCTICA; ASTRONOMY</t>
  </si>
  <si>
    <t>Dome A in Antarctica has many characteristics that make it an excellent site for astronomical observations, from the optical to the terahertz. Quantitative site testing is still needed to confirm the site's properties. In this paper, we present a statistical analysis of cloud cover and aurora contamination from the Kunlun Cloud and Aurora Monitor (KLCAM). KLCAM is an automatic unattended all-sky camera aiming for long-term monitoring of the usable observing time and optical sky background at Dome A. It was installed at Dome A in January 2017, worked through the austral winter, and collected over 47 000 images over 490 d. A semi-quantitative visual data analysis of cloud cover and auroral contamination was carried out by five individuals. The analysis shows that the night sky was free of clouds for 83 per cent of the time, which ranks Dome A highly in a comparison with other observatory sites. Although aurorae were detected somewhere on an image for nearly 45 per cent of the time, the chance of a point on the sky being affected by an aurora is small. The strongest auroral emission lines can be filtered out with customized filters.</t>
  </si>
  <si>
    <t>[Yang, Xu; Shang, Zhaohui; Hu, Keliang; Hu, Yi; Ma, Bin; Wang, Yongjiang; Cao, Zihuang; Wang, Wei] Chinese Acad Sci, Natl Astron Observ, Beijing 100101, Peoples R China; [Yang, Xu; Wang, Yongjiang] Univ Chinese Acad Sci, Beijing 100049, Peoples R China; [Shang, Zhaohui] Tianjin Normal Univ, Tianjin 300387, Peoples R China; [Ashley, Michael C. B.] Univ New South Wales, Sch Phys, Sydney, NSW 2052, Australia</t>
  </si>
  <si>
    <t>Chinese Academy of Sciences; National Astronomical Observatory, CAS; Chinese Academy of Sciences; University of Chinese Academy of Sciences, CAS; Tianjin Normal University; University of New South Wales Sydney</t>
  </si>
  <si>
    <t>Shang, ZH (corresponding author), Chinese Acad Sci, Natl Astron Observ, Beijing 100101, Peoples R China.;Shang, ZH (corresponding author), Tianjin Normal Univ, Tianjin 300387, Peoples R China.</t>
  </si>
  <si>
    <t>zshang@gmail.com</t>
  </si>
  <si>
    <t>Liu, yuqing/KEI-3260-2024; LIU, JIALIN/JXN-8034-2024</t>
  </si>
  <si>
    <t>Yang, Xu/0000-0003-4147-8759; Shang, Zhaohui/0000-0002-6796-124X; hu, yi/0000-0003-3317-4771; Wang, Yongjiang/0000-0002-9476-3011</t>
  </si>
  <si>
    <t>National Natural Science Foundation of China [11733007, 11673037, 11403057, 11403048]; National Basic Research Program of China (973 Program) [2013CB834900]; Australian Antarctic Division; Chinese Polar Environment Comprehensive Investigation and Assessment Programmes [CHINARE201602-03]</t>
  </si>
  <si>
    <t>National Natural Science Foundation of China(National Natural Science Foundation of China (NSFC)); National Basic Research Program of China (973 Program)(National Basic Research Program of China); Australian Antarctic Division; Chinese Polar Environment Comprehensive Investigation and Assessment Programmes</t>
  </si>
  <si>
    <t>We thank the CHINARE for their great efforts in installing KLCAM, maintaining KLCAM and PLATO-A, and retrieving data. This work has been supported by the National Natural Science Foundation of China under Grant Nos. 11733007, 11673037, 11403057, and 11403048; the Chinese Polar Environment Comprehensive Investigation and Assessment Programmes under Grant No. CHINARE201602-03; and the National Basic Research Program of China (973 Program) under Grant No. 2013CB834900. PLATO-A is supported by the Australian Antarctic Division.</t>
  </si>
  <si>
    <t>0035-8711</t>
  </si>
  <si>
    <t>1365-2966</t>
  </si>
  <si>
    <t>MON NOT R ASTRON SOC</t>
  </si>
  <si>
    <t>Mon. Not. Roy. Astron. Soc.</t>
  </si>
  <si>
    <t>10.1093/mnras/staa3824</t>
  </si>
  <si>
    <t>UN4WG</t>
  </si>
  <si>
    <t>WOS:000694016700001</t>
  </si>
  <si>
    <t>Bellagamba, AW; Berkelhammer, M; Winslow, L; Doran, PT; Myers, KF; Devlin, S; Hawes, I</t>
  </si>
  <si>
    <t>Bellagamba, A. W.; Berkelhammer, M.; Winslow, L.; Doran, P. T.; Myers, K. F.; Devlin, S.; Hawes, I</t>
  </si>
  <si>
    <t>The magnitude and climate sensitivity of isotopic fractionation from ablation of Antarctic Dry Valley lakes</t>
  </si>
  <si>
    <t>ARCTIC ANTARCTIC AND ALPINE RESEARCH</t>
  </si>
  <si>
    <t>Dry Valley lakes; stable water isotopes; isotope fractionation</t>
  </si>
  <si>
    <t>ATMOSPHERIC WATER-VAPOR; STABLE-ISOTOPE; POLAR DESERT; ICE; OXYGEN; HYDROGEN; SUBLIMATION; BALANCE; STATION; EVENTS</t>
  </si>
  <si>
    <t>There has been extensive research on the effects of evaporation on the isotopic ratio of lacustrine and marine water bodies; however, there are limited data on how ablation or sublimation from lake or sea ice influences the isotopic ratio of the residual water body. This is a challenging problem because there remains uncertainty on the magnitude of fractionation during sublimation and because ablation can involve mixed-phase processes associated with simultaneous sublimation, melting, evaporation, and refreezing. This uncertainty limits the ability to draw quantitative inferences on changing hydrological budgets from stable isotope records in arctic, Antarctic, and alpine lakes. Here, we use in situ measurements of the isotopic ratio of water vapor along with the gradient diffusion method to constrain the isotopic ratio of the ablating ice from two lakes in the McMurdo Dry Valleys, Antarctica. We find that during austral summer, the isotopic fractionation of ablation was insignificant during periods of boundary layer instability that are typical during midday when latent heat is highest. This implies that the loss of mass during these periods did not yield any isotopic enrichment to the residual lake mass. However, fractionation increased after midday when the boundary layer stabilized and the latent heat flux was small. This diurnal pattern was mirrored on synoptic timescales, when following warm and stable conditions latent heat flux was low and dominated by higher fractionation for a few days. We hypothesize that the shifting from negligible to large isotopic fractionation reflects the development and subsequent exhaustion of liquid water on the surface. The results illustrate the complex and nonlinear controls on isotopic fractionation from icy lakes, which implies that the isotopic enrichment from ablation could vary significantly over timescales relevant for changing lake volumes. Future work using water isotope fluxes for longer periods of time and over additional perennial and seasonal ice-covered lake systems is critical for developing models of the isotopic mass balance of arctic and Antarctic lake systems.</t>
  </si>
  <si>
    <t>[Bellagamba, A. W.; Berkelhammer, M.] Univ Illinois, Dept Earth &amp; Environm Sci, 845 W Taylor St, Chicago, IL 60607 USA; [Winslow, L.] Rensselaer Polytech Inst, Dept Biol Sci, Troy, NY USA; [Doran, P. T.; Myers, K. F.] Louisiana State Univ, Dept Geol &amp; Geophys, Baton Rouge, LA 70803 USA; [Devlin, S.] Univ Montana, Flathead Lake Biol Stn, Polson, MT 59860 USA; [Hawes, I] Univ Waikato, Environm Res Inst, Tauranga, New Zealand</t>
  </si>
  <si>
    <t>University of Illinois System; University of Illinois Chicago; University of Illinois Chicago Hospital; Rensselaer Polytechnic Institute; Louisiana State University System; Louisiana State University; University of Montana System; University of Montana; University of Waikato</t>
  </si>
  <si>
    <t>Bellagamba, AW (corresponding author), Univ Illinois, Dept Earth &amp; Environm Sci, 845 W Taylor St, Chicago, IL 60607 USA.</t>
  </si>
  <si>
    <t>abella5@uic.edu</t>
  </si>
  <si>
    <t>Winslow, Luke/0000-0002-8602-5510; Bellagamba, Anthony/0000-0003-4546-0185</t>
  </si>
  <si>
    <t>National Science Foundation/McMurdo [LTER C-511]</t>
  </si>
  <si>
    <t>National Science Foundation/McMurdo</t>
  </si>
  <si>
    <t>This work was supported by the National Science Foundation/McMurdo (LTER C-511).</t>
  </si>
  <si>
    <t>1523-0430</t>
  </si>
  <si>
    <t>1938-4246</t>
  </si>
  <si>
    <t>ARCT ANTARCT ALP RES</t>
  </si>
  <si>
    <t>Arct. Antarct. Alp. Res.</t>
  </si>
  <si>
    <t>JAN 2</t>
  </si>
  <si>
    <t>10.1080/15230430.2021.2001899</t>
  </si>
  <si>
    <t>Environmental Sciences; Geography, Physical</t>
  </si>
  <si>
    <t>Environmental Sciences &amp; Ecology; Physical Geography</t>
  </si>
  <si>
    <t>XR8GR</t>
  </si>
  <si>
    <t>WOS:000732460900001</t>
  </si>
  <si>
    <t>Spasojevic, MJ; Weber, S</t>
  </si>
  <si>
    <t>Spasojevic, Marko J.; Weber, Soren</t>
  </si>
  <si>
    <t>Variation in δ13C and δ15N within and among plant species in the alpine tundra</t>
  </si>
  <si>
    <t>Alpine; delta C-13; delta N-15; intraspecific trait variation; phylogenetic signal</t>
  </si>
  <si>
    <t>CARBON-ISOTOPE DISCRIMINATION; INTRASPECIFIC VARIABILITY; PHENOTYPIC PLASTICITY; FUNCTIONAL DIVERSITY; TREE COMMUNITY; LEAF CARBON; LONG-TERM; NITROGEN; TRAIT; ELEVATION</t>
  </si>
  <si>
    <t>Ratios of carbon (C) and nitrogen (N) stable isotopes in plants are important indicators of intrinsic water use efficiency and N acquisition strategies. Here, we examined patterns of inter- and intraspecific variations and phylogenetic signal in foliar delta C-13 and delta N-15 for 59 alpine tundra plant species, stratifying our sampling across five habitat types. Overall, we found that variation in both delta C-13 and delta N-15 mirrored well-known patterns of water and nitrogen limitation among habitat types and that there was significant intraspecific trait variation in both delta C-13 and delta N-15 for some species. Lastly, we only found a strong signal of phylogenetic conservatism in delta C-13 in two habitat types and no phylogenetic signal in delta N-15. Our results suggest that although local environmental conditions do play a role in determining variation in delta C-13 and delta N-15 among habitat types, there is considerable variation within and among species that is only weakly explained by shared ancestry. Taken together, our results suggest that considering local environmental variation, intraspecific trait variation, and shared ancestry can help with interpreting isotope patterns in nature and with predicting which species may be able to respond to rapidly changing environmental conditions.</t>
  </si>
  <si>
    <t>[Spasojevic, Marko J.; Weber, Soren] Univ Calif Riverside, Dept Evolut Ecol &amp; Organismal Biol, 3338 Spieth Hall, Riverside, CA 92521 USA; [Weber, Soren] Univ Zurich, Dept Evolutionary Biol &amp; Environm Studies, Zurich, Switzerland</t>
  </si>
  <si>
    <t>University of California System; University of California Riverside; University of Zurich</t>
  </si>
  <si>
    <t>Spasojevic, MJ (corresponding author), Univ Calif Riverside, Dept Evolut Ecol &amp; Organismal Biol, 3338 Spieth Hall, Riverside, CA 92521 USA.</t>
  </si>
  <si>
    <t>markos@ucr.edu</t>
  </si>
  <si>
    <t>SPASOJEVIC, MARKO/AAO-4307-2020</t>
  </si>
  <si>
    <t>SPASOJEVIC, MARKO/0000-0003-1808-0048; Weber, Soren/0000-0002-6351-5365</t>
  </si>
  <si>
    <t>National Science Foundation [DEB 1457827]; University of Colorado Mountain Research Station; Niwot Ridge LTER</t>
  </si>
  <si>
    <t>National Science Foundation(National Science Foundation (NSF)); University of Colorado Mountain Research Station; Niwot Ridge LTER</t>
  </si>
  <si>
    <t>Financial and logistic support was provided by the National Science Foundation (DEB 1457827), the University of Colorado Mountain Research Station, and the UNiwot Ridge LTER.</t>
  </si>
  <si>
    <t>10.1080/15230430.2021.2000567</t>
  </si>
  <si>
    <t>XQ8AL</t>
  </si>
  <si>
    <t>WOS:000731765200001</t>
  </si>
  <si>
    <t>Faucher, B; Lacelle, D; Marsh, NB; Fisher, DA; Andersen, DT</t>
  </si>
  <si>
    <t>Faucher, Benoit; Lacelle, Denis; Marsh, Nicole B.; Fisher, David A.; Andersen, Dale T.</t>
  </si>
  <si>
    <t>Ice-covered ponds in the Untersee Oasis (East Antarctica): Distribution, chemical composition, and trajectory under a warming climate</t>
  </si>
  <si>
    <t>Ice-covered ponds; isotope geochemistry; modeling; freezing; evaporation; Dronning Maud Land</t>
  </si>
  <si>
    <t>MCMURDO DRY VALLEYS; DISSOLVED INORGANIC CARBON; STABLE-ISOTOPE RATIOS; DRONNING MAUD LAND; LAKE UNTERSEE; ORGANIC-MATTER; SALINE LAKES; FRACTIONATION; TEMPERATURE; ACCUMULATION</t>
  </si>
  <si>
    <t>Climate change is impacting lakes and ponds in Antarctica. To that end, we investigated the distribution and chemical composition of ice-covered ponds in Untersee Oasis, East Antarctica. Thirty-nine ponds were inventoried, and the thirteen sampled ponds have low total dissolved solutes (TDS) with a Ca(Na)-SO4 or Na-Cl geochemical facies. Tritium and radiocarbon measurements of the total inorganic carbon (TIC) suggest that the ponds are recharged by modern snowmelt. Hierarchical cluster analysis grouped the ponds based on the amount of potential incoming solar radiation reaching their surface. Ponds receiving higher insolation develop moats or completely lose their ice cover during summer, have lower pH, and higher TDS, delta O-18, total inorganic carbon, and delta C-13(TIC),which suggest CO2 availability is not limiting benthic photosynthetic activity. The ponds that receive lower insolation retain their full ice cover and remain well-sealed to direct exchanges with the atmosphere, have high pH, and lower TDS and TIC, and likely host a CO2-starved benthic microbial ecosystem. Therefore, the state of the ponds' ice cover evolved their hydrochemistry along different trajectories. The findings can be used to predict the trajectory of the chemical composition of the ponds and effect on biological productivity as the phenology of their ice cover shifts under a warming climate.</t>
  </si>
  <si>
    <t>[Faucher, Benoit; Lacelle, Denis] Univ Ottawa, Dept Geog Environm &amp; Geomat, Ottawa, ON K1N 6N5, Canada; [Marsh, Nicole B.; Fisher, David A.] Univ Ottawa, Dept Earth &amp; Environm Sci, Ottawa, ON, Canada; [Andersen, Dale T.] SETI Inst, Carl Sagan Ctr, Mountain View, CA USA</t>
  </si>
  <si>
    <t>University of Ottawa; University of Ottawa</t>
  </si>
  <si>
    <t>Faucher, B (corresponding author), Univ Ottawa, Dept Geog Environm &amp; Geomat, Ottawa, ON K1N 6N5, Canada.</t>
  </si>
  <si>
    <t>bfaucher@uottawa.ca</t>
  </si>
  <si>
    <t>Lacelle, Denis/0000-0002-6691-8717; Faucher, Benoit/0000-0002-3954-8386</t>
  </si>
  <si>
    <t>TAWANI Foundation; Trottier Family Foundation; Natural Sciences and Engineering Research Council of Canada (NSERC); Polar Knowledge Canada (POLAR); NASA's Astrobiology Program; Arctic and Antarctic Research Institute/Russian Antarctic Expedition; NSERC Alexander Graham Bell Canada Graduate Scholarship</t>
  </si>
  <si>
    <t>TAWANI Foundation; Trottier Family Foundation; Natural Sciences and Engineering Research Council of Canada (NSERC)(Natural Sciences and Engineering Research Council of Canada (NSERC)); Polar Knowledge Canada (POLAR); NASA's Astrobiology Program(National Aeronautics &amp; Space Administration (NASA)); Arctic and Antarctic Research Institute/Russian Antarctic Expedition; NSERC Alexander Graham Bell Canada Graduate Scholarship(Natural Sciences and Engineering Research Council of Canada (NSERC))</t>
  </si>
  <si>
    <t>This work was supported by the TAWANI Foundation, the Trottier Family Foundation; the Natural Sciences and Engineering Research Council of Canada (NSERC) Discovery Grant; Polar Knowledge Canada (POLAR); NASA's Astrobiology Program; and the Arctic and Antarctic Research Institute/Russian Antarctic Expedition. An NSERC Alexander Graham Bell Canada Graduate Scholarship provided financial support to BF. Logistical support was provided by the Antarctic Logistics Centre International, Cape Town, South Africa.</t>
  </si>
  <si>
    <t>10.1080/15230430.2021.2000566</t>
  </si>
  <si>
    <t>XM3JG</t>
  </si>
  <si>
    <t>WOS:000728727400001</t>
  </si>
  <si>
    <t>Vermassen, F; O'Regan, M; West, G; Cronin, TM; Coxall, HK</t>
  </si>
  <si>
    <t>Vermassen, Flor; O'Regan, Matt; West, Gabriel; Cronin, Thomas M.; Coxall, Helen K.</t>
  </si>
  <si>
    <t>Testing the stratigraphic consistency of Pleistocene microfossil bioevents identified on the Alpha and Lomonosov Ridges, Arctic Ocean</t>
  </si>
  <si>
    <t>Arctic; biostratigraphy; foraminifera; geochronology; paleoceanography</t>
  </si>
  <si>
    <t>SEA-ICE; SEDIMENTS; VARIABILITY; MANGANESE; RECORD; FORAMINIFERS; CIRCULATION; CYCLES</t>
  </si>
  <si>
    <t>Two different biostratigraphic approaches are used to identify Marine Isotope Stage 11 (MIS 11) in Arctic Ocean sediments. On the Lomonosov Ridge, globally calibrated nannofossil bioevents constrain the age of sediments back to MIS 13 (Core LOMROG12-3PC). In the Amerasian Basin the unique occurrence of the planktonic foraminifer Turborotalita egelida is increasingly used as a marker for MIS 11. However, the T. egelida horizon has only been dated using cyclostratigraphy. Here we bridge these approaches through investigation of a new core (AO16-8GC) from the Alpha Ridge, Amerasian Basin. AO16-8GC is easily correlated to LOMROG12-3PC and contains the T. egelida horizon, allowing the first comparison between the biostratigraphy of both regions. Based on the nannofossil biochronology of LOMROG12-3PC, the most convincing lithologic correlation between the Alpha and Lomonosov Ridge cores places the T. egelida horizon between MIS 15 and MIS 17. This potentially older age for the T. egelida biohorizon emphasizes the need for continued caution in interpreting paleoceanographic records predating MIS 6, until further work can reconcile the nanno- and microfossil biostratigraphies that are emerging for middle Pleistocene sediments of the central Arctic Ocean.</t>
  </si>
  <si>
    <t>[Vermassen, Flor; O'Regan, Matt; West, Gabriel; Coxall, Helen K.] Stockholm Univ, Dept Geol Sci, Svante Arrhenius Vag 8, S-11418 Stockholm, Sweden; [Vermassen, Flor; O'Regan, Matt; West, Gabriel; Coxall, Helen K.] Stockholm Univ, Bolin Ctr Climate Res, Stockholm, Sweden; [Cronin, Thomas M.] US Geol Survey, Florence Bascom Geosci Ctr, 959 Natl Ctr, Reston, VA 22092 USA</t>
  </si>
  <si>
    <t>Stockholm University; United States Department of the Interior; United States Geological Survey</t>
  </si>
  <si>
    <t>Vermassen, F (corresponding author), Stockholm Univ, Dept Geol Sci, Svante Arrhenius Vag 8, S-11418 Stockholm, Sweden.</t>
  </si>
  <si>
    <t>flor.vermassen@geo.su.se</t>
  </si>
  <si>
    <t>Vermassen, Flor/HNI-1959-2023; O'Regan, Matt/P-6277-2019</t>
  </si>
  <si>
    <t>O'Regan, Matt/0000-0002-6046-1488; Vermassen, Flor/0000-0003-0276-1973; Coxall, Helen/0000-0002-2843-2898</t>
  </si>
  <si>
    <t>Swedish Research Council [DNR 2019-03757, DNR-2020-04379]; U.S. Geological Survey Climate Research and 700 Development Program</t>
  </si>
  <si>
    <t>Swedish Research Council(Swedish Research Council); U.S. Geological Survey Climate Research and 700 Development Program</t>
  </si>
  <si>
    <t>FV was supported by the Swedish Research Council under Grant DNR 2019-03757, MO was supported by the Swedish Research Council under Grant DNR-2020-04379. TMC was funded by the U.S. Geological Survey Climate Research and 700 Development Program. Any use of trade, firm, or product names is for descriptive purposes only and does not imply endorsement by the U.S. Government.</t>
  </si>
  <si>
    <t>10.1080/15230430.2021.1988356</t>
  </si>
  <si>
    <t>XG1XH</t>
  </si>
  <si>
    <t>WOS:000724552300001</t>
  </si>
  <si>
    <t>Romano, A; Roner, L; Costa, A; Salvidio, S; Trenti, M; Pedrini, P</t>
  </si>
  <si>
    <t>Romano, Antonio; Roner, Luca; Costa, Andrea; Salvidio, Sebastiano; Trenti, Matteo; Pedrini, Paolo</t>
  </si>
  <si>
    <t>When no color pattern is available: Application of double observer methods to estimate population size of the Alpine salamander</t>
  </si>
  <si>
    <t>Abundance estimation; Alps; amphibians; double observer; salamanders</t>
  </si>
  <si>
    <t>ESTIMATING DETECTION PROBABILITY; MIXTURE MODELS; HIERARCHICAL-MODELS; ATRA-ATRA; BODY-SIZE; DENSITY; CONSERVATION; RELIABILITY; MANAGEMENT; ABUNDANCE</t>
  </si>
  <si>
    <t>Monitoring wild populations is an essential tool to assess the conservation status and the ecological requirements of a species. Capture-mark-recapture (CMR), based on individual recognition, is the most commonly used and most effective technique. However, in cases of species with no individual color pattern, tracing the encounter history of individuals without invasive marking methods is impossible. In this study we aimed to (1) estimate population abundance and density using a less effort-intensive and nonstressful technique, (2) test a long-term monitoring protocol, and (3) assess the fine-scale ecological requirements of a black-colored amphibian, Salamandra atra, in the Italian Alps. For three populations we applied an N-mixture model on data collected using a dependent double-observer approach. To understand ecological requirements, we assessed the relative importance of a set of environmental and topographical variables. The double-observer approach was a cost-effective technique that provided reliable demographic estimates of population density. Our results suggest that the most important fine-scale ecological variables positively associated with salamander abundance were canopy cover and terrain ruggedness, which are strictly related to shelter availability and soil moisture.</t>
  </si>
  <si>
    <t>[Romano, Antonio; Roner, Luca] Italian Natl Res Council CNR, Inst Bioecon Biol, Agr &amp; Food Sci Dept IBE, Rome, Italy; [Romano, Antonio; Roner, Luca; Trenti, Matteo; Pedrini, Paolo] MUSE Sci Museum, Vertebrate Zool Dept, Trento, Italy; [Costa, Andrea; Salvidio, Sebastiano] Univ Genoa, Dept Earth Environm &amp; Life Sci DISTAV, Genoa, Italy</t>
  </si>
  <si>
    <t>Consiglio Nazionale delle Ricerche (CNR); Istituto di Neuroscienze (IN-CNR); University of Genoa</t>
  </si>
  <si>
    <t>Romano, A (corresponding author), CNR, Ist BioEcon, Via Taurini 19, I-00100 Rome, RM, Italy.</t>
  </si>
  <si>
    <t>antonioromano71@gmail.com</t>
  </si>
  <si>
    <t>Costa, Andrea/AAS-3754-2021; Roner, Luca/GLT-6893-2022; Romano, Antonio/AFS-4460-2022</t>
  </si>
  <si>
    <t>Costa, Andrea/0000-0003-4273-6182; Romano, Antonio/0000-0002-5029-4372; Roner, Luca/0000-0003-3225-573X; Salvidio, Sebastiano/0000-0003-2247-8307</t>
  </si>
  <si>
    <t>Servizio Aree Protette e Sviluppo Sostenibile PAT (Piano di monitoraggio fauna vertebrata Direttiva Habitat) [LIFE11/NAT/IT/000187]; Paneveggio-Pale di San Martino Natural Park (Fondi Piano di Sviluppo Rurale PAT)</t>
  </si>
  <si>
    <t>Servizio Aree Protette e Sviluppo Sostenibile PAT (Piano di monitoraggio fauna vertebrata Direttiva Habitat); Paneveggio-Pale di San Martino Natural Park (Fondi Piano di Sviluppo Rurale PAT)</t>
  </si>
  <si>
    <t>This study is a part of the Natura 2000 Network Habitat Directive monitoring and was partially supported by Servizio Aree Protette e Sviluppo Sostenibile PAT (Piano di monitoraggio fauna vertebrata Direttiva Habitat; Progetto LIFE11/NAT/IT/000187 TEN-Trentino Ecological Network) and by the Paneveggio-Pale di San Martino Natural Park (Fondi Piano di Sviluppo Rurale PAT).</t>
  </si>
  <si>
    <t>10.1080/15230430.2021.1994103</t>
  </si>
  <si>
    <t>XB8WM</t>
  </si>
  <si>
    <t>WOS:000721603200001</t>
  </si>
  <si>
    <t>Williams, D</t>
  </si>
  <si>
    <t>Williams, Dee</t>
  </si>
  <si>
    <t>Can extreme Arctic climate change be avoided with cost effective mitigation?</t>
  </si>
  <si>
    <t>Editorial Material</t>
  </si>
  <si>
    <t>[Williams, Dee] US Geol Survey, 959 Natl Ctr, Reston, VA 22092 USA</t>
  </si>
  <si>
    <t>United States Department of the Interior; United States Geological Survey</t>
  </si>
  <si>
    <t>Williams, D (corresponding author), US Geol Survey, 959 Natl Ctr, Reston, VA 22092 USA.</t>
  </si>
  <si>
    <t>dmwilliams@usgs.gov</t>
  </si>
  <si>
    <t>Williams, Dee/0000-0003-0400-479X</t>
  </si>
  <si>
    <t>Office of Polar Programs, National Science Foundation; U.S. Geological Survey</t>
  </si>
  <si>
    <t>Office of Polar Programs, National Science Foundation(National Science Foundation (NSF)); U.S. Geological Survey(United States Geological Survey)</t>
  </si>
  <si>
    <t>This work was supported in part by the Office of Polar Programs, National Science Foundation, and the U.S. Geological Survey.</t>
  </si>
  <si>
    <t>10.1080/15230430.2021.1989143</t>
  </si>
  <si>
    <t>WT9CJ</t>
  </si>
  <si>
    <t>WOS:000716154700001</t>
  </si>
  <si>
    <t>Sformo, TL; De la Bastide, PY; LeBlanc, J; Givens, GH; Adams, B; Seigle, JC; Kunaknana, SC; Moulton, LL; Hintz, WE</t>
  </si>
  <si>
    <t>Sformo, Todd L.; De la Bastide, Paul Y.; LeBlanc, Jonathon; Givens, Geof H.; Adams, Billy; Seigle, John C.; Kunaknana, Samuel C.; Moulton, Lawrence L.; Hintz, William E.</t>
  </si>
  <si>
    <t>Temperature response and salt tolerance of the opportunistic pathogen Saprolegnia parasitica: Implications for the broad whitefish subsistence fishery</t>
  </si>
  <si>
    <t>Arctic; subsistence; Nuiqsut; temperature; indigenous knowledge; oomycete</t>
  </si>
  <si>
    <t>WINTER SAPROLEGNIOSIS; COLVILLE RIVER; TROUT; DISEASE; DICLINA; SPHTP1; GROWTH; SALMON; EGGS</t>
  </si>
  <si>
    <t>We examined the effects of temperature and salt concentration on growth of the freshwater oomycete Saprolegnia parasitica that has recently (since 2013) been found to infect an important subsistence fish (in Inupiaq, Aanaakliq; broad whitefish, Coregonus nasus) on the Colville River in Nuiqsut, Alaska. Using two confirmed isolates (one from the Colville River and another from a southern British Columbia aquaculture facility), we tested the following hypotheses: (1) the isolate from Alaska will grow at a greater rate than the isolate from British Columbia at lower temperatures, (2) the isolate from British Columbia will grow at a greater rate at higher temperatures than the Alaska isolate, and (3) increasing salinity will reduce the growth rate of both isolates similarly at all temperatures. In addition, we used local observations-subsistence fishers and observations associated with scientific monitoring-to assist in interpreting the potential implications of our experimental results in the context of these environmental observations. In the habitat relevant to this study, water temperature ranges between &lt;0 degrees C and 18 degrees C, and salinity ranges between 0 and 30 parts per thousand due to a seasonal (and occasional west wind-driven) saltwater intrusions. No statistically significant differences were detected in growth rate or salt tolerance between the two isolates at the temperatures and salinities tested; high temperature (24 degrees C) and low salt concentration are associated with the highest growth rate for both isolates. From our lab study, one might conclude that the peak host colonization would occur during the seasonal period of warmest water temperature; however, the observations by local fishers and biologists show this not to be the case. We conclude that, at this time, we do not have evidence that peak warm water is the primary cause of an increased incidence of infection by this freshwater mold. Although indirect and lag analysis of temperature and timing of infection were not part of this study, we note that there is a greater role of complex interactions among biotic and abiotic factors (including temperature) that may predispose some individuals in the population to become infected during spawning season.</t>
  </si>
  <si>
    <t>[Sformo, Todd L.; Adams, Billy] Fulbright Arctic Initiat 2018 2019, Utqiagvik, AK 99723 USA; [Sformo, Todd L.] Univ Alaska Fairbanks, Inst Arctic Biol, Fairbanks, AK USA; [De la Bastide, Paul Y.; LeBlanc, Jonathon; Hintz, William E.] Univ Victoria, Ctr Forest Biol, Dept Biol, Victoria, BC, Canada; [Givens, Geof H.] Givens Stat Solut LLC, Santa Cruz, CA USA; [Seigle, John C.] ABR Inc, Environm Res &amp; Serv, Anchorage, AK USA; [LeBlanc, Jonathon] Univ Windsor, Great Lakes Inst Environm Res, 2990 Riverside Dr West, Windsor, ON N9C 1A2, Canada</t>
  </si>
  <si>
    <t>University of Alaska System; University of Alaska Fairbanks; University of Victoria; University of Windsor</t>
  </si>
  <si>
    <t>Sformo, TL (corresponding author), Fulbright Arctic Initiat 2018 2019, Dept Wildlife Management, North Slope Borough, POB 69, Utqiagvik, AK 99723 USA.</t>
  </si>
  <si>
    <t>todd.sformo@north-slope.org</t>
  </si>
  <si>
    <t>Sformo, Todd/0000-0003-4833-2007</t>
  </si>
  <si>
    <t>Fulbright Arctic Initiative; North Slope Borough-Department of Wildlife Management; Department of Biology at the University of Victoria, British Columbia, Canada</t>
  </si>
  <si>
    <t>Funders are Fulbright Arctic Initiative (2018-2019), the North Slope Borough-Department of Wildlife Management, and the Department of Biology at the University of Victoria, British Columbia, Canada, hosted by Dr. W. Hintz, where TLS conducted the experiments.</t>
  </si>
  <si>
    <t>10.1080/15230430.2021.1970340</t>
  </si>
  <si>
    <t>WT0DR</t>
  </si>
  <si>
    <t>WOS:000715544900001</t>
  </si>
  <si>
    <t>Ficko, SA; Naeth, MA</t>
  </si>
  <si>
    <t>Ficko, Sarah A.; Naeth, M. Anne</t>
  </si>
  <si>
    <t>Root development on cuttings of seven arctic shrub species for revegetation</t>
  </si>
  <si>
    <t>Shrub cuttings; arctic; revegetation; reclamation; adventitious roots</t>
  </si>
  <si>
    <t>SYSTEM ARCHITECTURE; LATERAL ROOTS; ASSISTED REVEGETATION; PREPLANTING SOAKING; ADVENTITIOUS ROOTS; MINERAL NUTRIENTS; SEED-GERMINATION; SALIX-PLANIFOLIA; SEASONAL-CHANGES; COLLECTION DATE</t>
  </si>
  <si>
    <t>Vegetation removal during resource extraction in the Arctic causes long-lasting impacts requiring revegetation to accelerate plant reestablishment. This study focused on root development on shrub cuttings from seven common species at Diavik Diamond Mine, Northwest Territories. Two experiments were conducted; the first had six soaking times (zero, one, three, five, ten, twenty days), four indole-3-butyric acid (IBA) concentrations (0, 0.1, 0.4, 0.8 percent), and three seasons (summer, fall, spring). The second had a control, three IBA concentrations (0.1, 0.4, 0.8 percent) or alternative chemical compounds, either three Salix water or three smoke water extracts, in two seasons (summer, fall). After sixty days, all species developed at least primary and secondary roots in at least one season in one experiment, including one previously undocumented species, Kalmia procumbens. Rooting characteristics were highly variable, with maximum percentage of rooted cuttings from 3 to 55 percent and maximum number of roots per cutting from 1 to 117 across species, seasons, and experiments. Though rooting percentages were low, species-specific interactions between season and Salix water extract and smoke water extract were observed. Assessing multiple species highlights the potential of vegetative propagation to revegetate northern disturbed sites with common species that lack reliable seed sources.</t>
  </si>
  <si>
    <t>[Ficko, Sarah A.; Naeth, M. Anne] Univ Alberta, Dept Renewable Resources, 851 Gen Serv Bldg, Edmonton, AB T6G2H1, Canada</t>
  </si>
  <si>
    <t>University of Alberta</t>
  </si>
  <si>
    <t>Naeth, MA (corresponding author), Univ Alberta, Dept Renewable Resources, 851 Gen Serv Bldg, Edmonton, AB T6G2H1, Canada.</t>
  </si>
  <si>
    <t>anne.naeth@ualberta.ca</t>
  </si>
  <si>
    <t>Ficko, Sarah/0000-0002-4123-5047</t>
  </si>
  <si>
    <t>Diavik Diamond Mine Inc.; Natural Sciences and Engineering Research Council of Canada (NSERC); Weston Family Foundation; Alberta Innovates; Helmholtz-Alberta Initiative; Land Reclamation International Graduate School through the NSERC CREATE program</t>
  </si>
  <si>
    <t>Diavik Diamond Mine Inc.; Natural Sciences and Engineering Research Council of Canada (NSERC)(Natural Sciences and Engineering Research Council of Canada (NSERC)); Weston Family Foundation; Alberta Innovates; Helmholtz-Alberta Initiative; Land Reclamation International Graduate School through the NSERC CREATE program(Natural Sciences and Engineering Research Council of Canada (NSERC))</t>
  </si>
  <si>
    <t>The work was made possible through funding and in-kind support provided by Diavik Diamond Mine Inc. and funding provided by the Natural Sciences and Engineering Research Council of Canada (NSERC), the Weston Family Foundation, Alberta Innovates, the Helmholtz-Alberta Initiative, and the Land Reclamation International Graduate School, through the NSERC CREATE program.</t>
  </si>
  <si>
    <t>10.1080/15230430.2021.1976711</t>
  </si>
  <si>
    <t>WP9GH</t>
  </si>
  <si>
    <t>WOS:000713432700001</t>
  </si>
  <si>
    <t>Hunt, GL; Eisner, L; Call, NM</t>
  </si>
  <si>
    <t>Hunt, George L.; Eisner, Lisa; Call, Neysa M.</t>
  </si>
  <si>
    <t>How will diminishing sea ice impact commercial fishing in the Bering Sea?</t>
  </si>
  <si>
    <t>[Hunt, George L.] Univ Washington, Seattle, WA 98195 USA; [Eisner, Lisa] NOAA, Alaska Fishery Sci Ctr, Silver Spring, MD USA; [Call, Neysa M.] Natl Sci Fdn, 4201 Wilson Blvd, Arlington, VA 22230 USA</t>
  </si>
  <si>
    <t>University of Washington; University of Washington Seattle; National Oceanic Atmospheric Admin (NOAA) - USA; National Science Foundation (NSF)</t>
  </si>
  <si>
    <t>Hunt, GL (corresponding author), Univ Washington, Seattle, WA 98195 USA.</t>
  </si>
  <si>
    <t>glhunt@uci.edu; Lisa.Eisner@NOAA.gov; ncall@nsf.gov</t>
  </si>
  <si>
    <t>10.1080/15230430.2021.1974668</t>
  </si>
  <si>
    <t>WR8LY</t>
  </si>
  <si>
    <t>WOS:000714747800001</t>
  </si>
  <si>
    <t>Sun, H; Wang, NL; Hou, SS</t>
  </si>
  <si>
    <t>Sun, Huan; Wang, Ninglian; Hou, Shanshan</t>
  </si>
  <si>
    <t>Twentieth century warming reflected by the Malan Glacier borehole temperatures, northern Tibetan Plateau</t>
  </si>
  <si>
    <t>Glacier borehole temperatures; heat conduction; Tikhonov regularization method</t>
  </si>
  <si>
    <t>SURFACE-TEMPERATURE; RECONSTRUCTION; ANTARCTICA</t>
  </si>
  <si>
    <t>The Tibetan Plateau is a high-elevation area in Asia and contains the largest volumes of glaciers outside the polar regions. Reconstruction of the glacier surface temperature history in this area is crucial for better understanding of the process of climate change in the Tibetan Plateau. The Tikhonov regularization method has been used on borehole temperatures measured at Malan Glacier, located on the north Tibetan Plateau, to reconstruct the surface temperature history in the twentieth century. We found that the glacier surface temperature, which rose significantly after the 1960s, increased about 1.1 degrees C over the last century. The warmest period occurred in the 1980s to the 1990s and the highest temperature variation could be 1.5 degrees C to 1.6 degrees C. The results were also compared with those of nearby instrumental temperatures by Wudaoliang meteorological station and the stable oxygen isotope ( delta 18 O ) from the Malan ice core.</t>
  </si>
  <si>
    <t>[Sun, Huan; Wang, Ninglian; Hou, Shanshan] Northwest Univ, Coll Urban &amp; Environm Sci, Shaanxi Key Lab Earth Surface Syst &amp; Environm Car, Xian 710127, Peoples R China; [Wang, Ninglian] CAS Ctr Excellence Tibetan Plateau Earth Sci, Beijing, Peoples R China</t>
  </si>
  <si>
    <t>Northwest University Xi'an</t>
  </si>
  <si>
    <t>Wang, NL (corresponding author), Northwest Univ, Coll Urban &amp; Environm Sci, Shaanxi Key Lab Earth Surface Syst &amp; Environm Car, Xian 710127, Peoples R China.</t>
  </si>
  <si>
    <t>nlwang@nwu.edu.cn</t>
  </si>
  <si>
    <t>Sun, Huan/0000-0003-4603-7573</t>
  </si>
  <si>
    <t>Strategic Priority Research Program of the Chinese Academy of Sciences [XDA20060201, XDA19070302]; Second Tibetan Plateau Scientific Expedition and Research Program [2019QZKK020102]</t>
  </si>
  <si>
    <t>Strategic Priority Research Program of the Chinese Academy of Sciences(Chinese Academy of Sciences); Second Tibetan Plateau Scientific Expedition and Research Program</t>
  </si>
  <si>
    <t>This research was supported by the Strategic Priority Research Program of the Chinese Academy of Sciences (Grant Nos. XDA20060201, XDA19070302) and the Second Tibetan Plateau Scientific Expedition and Research Program (Grant No. 2019QZKK020102).</t>
  </si>
  <si>
    <t>10.1080/15230430.2021.1974667</t>
  </si>
  <si>
    <t>WN9EB</t>
  </si>
  <si>
    <t>WOS:000712067500001</t>
  </si>
  <si>
    <t>Francis, J; Vavrus, S</t>
  </si>
  <si>
    <t>Francis, Jennifer; Vavrus, Stephen</t>
  </si>
  <si>
    <t>How is rapid Arctic warming influencing weather patterns in lower latitudes?</t>
  </si>
  <si>
    <t>[Francis, Jennifer] Woodwell Climate Res Ctr, Falmouth, MA 02540 USA; [Vavrus, Stephen] Univ Wisconsin, Madison, WI USA</t>
  </si>
  <si>
    <t>University of Wisconsin System; University of Wisconsin Madison</t>
  </si>
  <si>
    <t>Francis, J (corresponding author), Woodwell Climate Res Ctr, Falmouth, MA 02540 USA.</t>
  </si>
  <si>
    <t>jfrancis@WoodwellClimate.org; sjvavrus@wisc.edu</t>
  </si>
  <si>
    <t>Francis, Jennifer/JPX-0349-2023</t>
  </si>
  <si>
    <t>Office of Polar Programs; Fund for Climate Solutions; Woodwell Climate Research Center; National Science Foundation</t>
  </si>
  <si>
    <t>Office of Polar Programs(National Science Foundation (NSF)NSF - Directorate for Geosciences (GEO)); Fund for Climate Solutions; Woodwell Climate Research Center; National Science Foundation(National Science Foundation (NSF))</t>
  </si>
  <si>
    <t>This work was supported by the Office of Polar Programs, National Science Foundation, Fund for Climate Solutions, Woodwell Climate Research Center.</t>
  </si>
  <si>
    <t>10.1080/15230430.2021.1942400</t>
  </si>
  <si>
    <t>WG4FJ</t>
  </si>
  <si>
    <t>WOS:000706949400001</t>
  </si>
  <si>
    <t>Francis, J</t>
  </si>
  <si>
    <t>Francis, Jennifer</t>
  </si>
  <si>
    <t>Arctic meltdown and unruly tropical storms: are they connected?</t>
  </si>
  <si>
    <t>[Francis, Jennifer] Woodwell Climate Res Ctr, Falmouth, MA 02540 USA</t>
  </si>
  <si>
    <t>jfrancis@woodwellclimate.org</t>
  </si>
  <si>
    <t>Office of Polar Programs, National Science Foundation; Woodwell Climate Research Center</t>
  </si>
  <si>
    <t>Office of Polar Programs, National Science Foundation(National Science Foundation (NSF)); Woodwell Climate Research Center</t>
  </si>
  <si>
    <t>This work was supported by the Office of Polar Programs, National Science Foundation; Woodwell Climate Research Center.</t>
  </si>
  <si>
    <t>10.1080/15230430.2021.1946242</t>
  </si>
  <si>
    <t>WG4EU</t>
  </si>
  <si>
    <t>WOS:000706947900001</t>
  </si>
  <si>
    <t>Francis, J; Scambos, T; Tedesco, M</t>
  </si>
  <si>
    <t>Francis, Jennifer; Scambos, Ted; Tedesco, Marco</t>
  </si>
  <si>
    <t>How are reduced Arctic sea ice and increased Greenland melting connected?</t>
  </si>
  <si>
    <t>[Francis, Jennifer] Woodwell Climate Res Ctr, Falmouth, MA 02540 USA; [Scambos, Ted] Univ Colorado, CIRES, Boulder, CO USA; [Tedesco, Marco] Columbia Univ, New York, NY 10027 USA</t>
  </si>
  <si>
    <t>University of Colorado System; University of Colorado Boulder; Columbia University</t>
  </si>
  <si>
    <t>jfrancis@woodwellclimate.org; tascambos@colorado.edu; mtedesco@ldeo.columbia.edu</t>
  </si>
  <si>
    <t>SCAMBOS, Ted A./0000-0003-4268-6322</t>
  </si>
  <si>
    <t>10.1080/15230430.2021.1946243</t>
  </si>
  <si>
    <t>WG4FF</t>
  </si>
  <si>
    <t>WOS:000706949000001</t>
  </si>
  <si>
    <t>Vavrus, SJ; Holland, MM</t>
  </si>
  <si>
    <t>Vavrus, Stephen J.; Holland, Marika M.</t>
  </si>
  <si>
    <t>When will the Arctic Ocean become ice-free?</t>
  </si>
  <si>
    <t>sjvavrus@wisc.edu; mholland@ucar.edu</t>
  </si>
  <si>
    <t>Office of Polar Programs, National Science Foundation, National Oceanic and Atmospheric Administration</t>
  </si>
  <si>
    <t>This work was supported by the Office of Polar Programs, National Science Foundation, National Oceanic and Atmospheric Administration.</t>
  </si>
  <si>
    <t>10.1080/15230430.2021.1941578</t>
  </si>
  <si>
    <t>WG3VP</t>
  </si>
  <si>
    <t>WOS:000706923600001</t>
  </si>
  <si>
    <t>Scambos, T; Straneo, F; Tedesco, M</t>
  </si>
  <si>
    <t>Scambos, Ted; Straneo, Fiamma; Tedesco, Marco</t>
  </si>
  <si>
    <t>How fast is the Greenland ice sheet melting?</t>
  </si>
  <si>
    <t>[Scambos, Ted] Univ Colorado, CIRES, Boulder, CO 80309 USA; [Straneo, Fiamma] Woods Hole Oceanog Inst, Falmouth, MA USA; [Tedesco, Marco] Columbia Univ, New York, NY 10027 USA</t>
  </si>
  <si>
    <t>University of Colorado System; University of Colorado Boulder; Woods Hole Oceanographic Institution; Columbia University</t>
  </si>
  <si>
    <t>Scambos, T (corresponding author), Univ Colorado, CIRES, Boulder, CO 80309 USA.</t>
  </si>
  <si>
    <t>tascambos@colorado.edu; fstraneo@ucsd.edu; mtedesco@ldeo.columbia.edu</t>
  </si>
  <si>
    <t>SCAMBOS, Ted A./0000-0003-4268-6322; Straneo, Fiammetta/0000-0002-1735-2366</t>
  </si>
  <si>
    <t>Office of Polar Programs, National Science Foundation; NSF's Study of Environmental Arctic Change</t>
  </si>
  <si>
    <t>Office of Polar Programs, National Science Foundation(National Science Foundation (NSF)); NSF's Study of Environmental Arctic Change</t>
  </si>
  <si>
    <t>This work was supported by the Office of Polar Programs, National Science Foundation, and NSF's Study of Environmental Arctic Change.</t>
  </si>
  <si>
    <t>10.1080/15230430.2021.1946241</t>
  </si>
  <si>
    <t>WG4AX</t>
  </si>
  <si>
    <t>WOS:000706937600001</t>
  </si>
  <si>
    <t>Jennings, AE; Andrews, JT</t>
  </si>
  <si>
    <t>Jennings, Anne E.; Andrews, John T.</t>
  </si>
  <si>
    <t>Brian MacLean, September 3, 1929-April 30, 2021 IN MEMORIAM</t>
  </si>
  <si>
    <t>Biographical-Item</t>
  </si>
  <si>
    <t>FEATURES; SHELF</t>
  </si>
  <si>
    <t>[Jennings, Anne E.] Univ Colorado Boulder, Inst Arctic &amp; Alpine Res, Boulder, CO 80309 USA; [Andrews, John T.] Univ Colorado Boulder, Inst Arctic &amp; Alpine Res, Dept Geol Sci, Boulder, CO USA</t>
  </si>
  <si>
    <t>University of Colorado System; University of Colorado Boulder; University of Colorado System; University of Colorado Boulder</t>
  </si>
  <si>
    <t>Jennings, AE (corresponding author), Univ Colorado Boulder, Inst Arctic &amp; Alpine Res, Boulder, CO 80309 USA.</t>
  </si>
  <si>
    <t>Anne.Jennings@colorado.edu</t>
  </si>
  <si>
    <t>10.1080/15230430.2021.1957289</t>
  </si>
  <si>
    <t>UP3XY</t>
  </si>
  <si>
    <t>WOS:000695317700001</t>
  </si>
  <si>
    <t>McKnight, MM; Grogan, P; Walker, VK</t>
  </si>
  <si>
    <t>McKnight, Michelle M.; Grogan, Paul; Walker, Virginia K.</t>
  </si>
  <si>
    <t>Impact of long-term fertilizer and summer warming treatments on bulk soil and birch rhizosphere microbial communities in mesic arctic tundra</t>
  </si>
  <si>
    <t>Climate change; nitrogen and phosphate fertilization; Betula glandulosa; ectomycorrhizal fungi; soil community diversity</t>
  </si>
  <si>
    <t>BACTERIAL COMMUNITIES; ORGANIC-MATTER; DIVERSITY; RESPONSES; CARBON; AVAILABILITY; NUTRIENTS; SEQUENCES; BOREAL; PLANTS</t>
  </si>
  <si>
    <t>Recent climate warming in the Arctic is enhancing microbial decomposition of soil organic matter, which may result in globally significant greenhouse gas releases to the atmosphere. To better predict future impacts, bacterial and fungal community structures in both the bulk soil and the rhizosphere of Arctic birch, Betula glandulosa, were determined in control, greenhouse summer warming, and annual factorial nitrogen (N) and phosphate (P) addition treatments twelve years after their establishment. DNA sequence analyses at multiple taxonomic levels consistently indicated substantial bulk soil and rhizosphere microbial community differences among the fertilization treatments but no significant greenhouse effects. These results suggest that climate warming will likely increase the activity rates of soil microbial decomposers but without substantially altering the structure of either the bacterial or fungal communities. Differential abundance testing revealed changes in ectomycorrhizal fungal species of the genus Thelephora in both bulk soil and rhizosphere, with increases in their relative abundance in P and N + P amended plots compared with warming and controls. Because birch is the principal low Arctic ectomycorrhizal host, our results suggest that these fungi may promote this shrub's competitiveness where tundra soil nutrient availability is enhanced by warming or other means, ultimately contributing to arctic vegetation greening.</t>
  </si>
  <si>
    <t>[McKnight, Michelle M.; Grogan, Paul; Walker, Virginia K.] Queens Univ, Dept Biol, Kingston, ON K7L 3N6, Canada; [McKnight, Michelle M.] Univ Waterloo, Dept Biol, Waterloo, ON, Canada</t>
  </si>
  <si>
    <t>Queens University - Canada; University of Waterloo</t>
  </si>
  <si>
    <t>Walker, VK (corresponding author), Queens Univ, Dept Biol, Kingston, ON K7L 3N6, Canada.</t>
  </si>
  <si>
    <t>walkervk@queensu.ca</t>
  </si>
  <si>
    <t>McKnight, Michelle/IZP-6134-2023</t>
  </si>
  <si>
    <t>McKnight, Michelle/0000-0001-6061-3309; Walker, Virginia/0000-0001-5869-8905</t>
  </si>
  <si>
    <t>Natural Sciences and Engineering Research Council (NSERC) of Canada Discovery grants</t>
  </si>
  <si>
    <t>Natural Sciences and Engineering Research Council (NSERC) of Canada Discovery grants(Natural Sciences and Engineering Research Council of Canada (NSERC))</t>
  </si>
  <si>
    <t>This research was supported by funding from the Natural Sciences and Engineering Research Council (NSERC) of Canada Discovery grants to V.K.W. and P.G.</t>
  </si>
  <si>
    <t>10.1080/15230430.2021.1951949</t>
  </si>
  <si>
    <t>TY2BA</t>
  </si>
  <si>
    <t>WOS:000683588900001</t>
  </si>
  <si>
    <t>Zabel, NA; Hall, RI; Branfireun, BA; Swanson, HK</t>
  </si>
  <si>
    <t>Zabel, Nelson A.; Hall, Roland I.; Branfireun, Brian A.; Swanson, Heidi K.</t>
  </si>
  <si>
    <t>Mercury accumulation in sediments of Lhu'aan Man' (Kluane Lake, YT): Response to past hydrological change</t>
  </si>
  <si>
    <t>Kluane Lake; sediment mercury accumulation; paleolimnology; climate change; Slims River</t>
  </si>
  <si>
    <t>YUKON-TERRITORY; CLIMATE-CHANGE; NATIONAL-PARK; ATMOSPHERIC DEPOSITION; POTENTIAL IMPACTS; RIVER DELTA; ICE-AGE; BASIN; POLLUTION; GLACIER</t>
  </si>
  <si>
    <t>Northern lakes provide many ecosystem services, including the provision of traditional foods and clean water. These systems are vulnerable to climate-driven changes in hydrology and contaminant accumulation, but the direction and magnitude of projected changes are poorly constrained. One contaminant of concern is mercury; currently, we cannot accurately predict how mercury accumulation in lakes will respond to climate-induced changes, especially in lakes with glacial inflows and complex hydrology. Sediment cores collected from two regions of a glacially fed lake (Lhu'aan Man'; Kluane Lake, Yukon, Canada) were analyzed to investigate controls on sediment mercury accumulation in the context of previously described hydrological changes. Differences in catchment contributions drove differences in sediment mercury accumulation between lake regions during the Duke River hydrological period (ca. 750-1650). During the more recent Slims River hydrological period (ca. 1650-2015), mercury accumulation did not differ between regions, and mercury was delivered to the lake primarily via catchment organic matter and carbonate-rich sediments from the largest, glacially derived inflow (Slims River). Recent climate-induced geomorphic change caused loss of the main lake inflow (Slims River) in 2016, making Kluane Lake an ideal system for future investigations of how loss of glacial inflow will affect mercury accumulation in northern lakes.</t>
  </si>
  <si>
    <t>[Zabel, Nelson A.; Hall, Roland I.; Swanson, Heidi K.] Univ Waterloo, Dept Biol, 200 Univ Ave W, Waterloo, ON N2L 3G1, Canada; [Zabel, Nelson A.; Hall, Roland I.; Swanson, Heidi K.] Univ Waterloo, Water Inst, 200 Univ Ave W, Waterloo, ON N2L 3G1, Canada; [Branfireun, Brian A.] Western Univ, Dept Biol, London, ON, Canada; [Branfireun, Brian A.] Western Univ, Ctr Environm &amp; Sustainabil, London, ON, Canada</t>
  </si>
  <si>
    <t>University of Waterloo; University of Waterloo; Western University (University of Western Ontario); Western University (University of Western Ontario)</t>
  </si>
  <si>
    <t>Hall, RI (corresponding author), Univ Waterloo, Dept Biol, 200 Univ Ave W, Waterloo, ON N2L 3G1, Canada.;Hall, RI (corresponding author), Univ Waterloo, Water Inst, 200 Univ Ave W, Waterloo, ON N2L 3G1, Canada.</t>
  </si>
  <si>
    <t>heidi.swanson@uwaterloo.ca</t>
  </si>
  <si>
    <t>Swanson, Heidi/0000-0003-0457-8769</t>
  </si>
  <si>
    <t>NSERC Discovery and Northern Research Supplement grants; W. Garfield Weston Foundation; Wildlife Conservation Society Canada (WCS); Northern Scientific Training Program (NSTP); Arctic Institute of North America (AINA)</t>
  </si>
  <si>
    <t>NSERC Discovery and Northern Research Supplement grants(Natural Sciences and Engineering Research Council of Canada (NSERC)); W. Garfield Weston Foundation; Wildlife Conservation Society Canada (WCS); Northern Scientific Training Program (NSTP); Arctic Institute of North America (AINA)</t>
  </si>
  <si>
    <t>This work was supported by funding and/or in-kind support from NSERC Discovery and Northern Research Supplement grants to HKS, the W. Garfield Weston Foundation &amp; the Wildlife Conservation Society Canada (WCS; NAZ), the Northern Scientific Training Program (NSTP; NAZ), and the Arctic Institute of North America (AINA) Grant-in-Aid program (NAZ).</t>
  </si>
  <si>
    <t>10.1080/15230430.2021.1940790</t>
  </si>
  <si>
    <t>TM0EH</t>
  </si>
  <si>
    <t>WOS:000675227700001</t>
  </si>
  <si>
    <t>Andrews, JT</t>
  </si>
  <si>
    <t>Andrews, John T.</t>
  </si>
  <si>
    <t>Arctic Ecology</t>
  </si>
  <si>
    <t>Book Review</t>
  </si>
  <si>
    <t>[Andrews, John T.] Univ Colorado, Inst Arctic &amp; Alpine Res INSTAAR, Geol Sci, Boulder, CO 80309 USA</t>
  </si>
  <si>
    <t>University of Colorado System; University of Colorado Boulder</t>
  </si>
  <si>
    <t>Andrews, JT (corresponding author), Univ Colorado, Inst Arctic &amp; Alpine Res INSTAAR, Geol Sci, Boulder, CO 80309 USA.</t>
  </si>
  <si>
    <t>andrewsj@colorado.edu</t>
  </si>
  <si>
    <t>Andrews, John Thomas/0000-0003-3169-5979</t>
  </si>
  <si>
    <t>10.1080/15230430.2021.1935812</t>
  </si>
  <si>
    <t>TK9OG</t>
  </si>
  <si>
    <t>WOS:000674483700001</t>
  </si>
  <si>
    <t>Millar, CI; Westfall, RD</t>
  </si>
  <si>
    <t>Millar, Constance, I; Westfall, Robert D.</t>
  </si>
  <si>
    <t>A complex patterned-ground ecosystem in the Sierra Nevada, California, USA supports unusual habitat for American pika</t>
  </si>
  <si>
    <t>Patterned ground; periglacial processes; sorted circles; ribbon forest; American pika; Ochotona princeps; Sierra Nevada</t>
  </si>
  <si>
    <t>PERIGLACIAL LANDFORMS; OCHOTONA-PRINCEPS; SELF-ORGANIZATION; FOREST PATTERNS; WHITE MOUNTAINS; ROCK GLACIERS; ALPINE TUNDRA; NATIONAL-PARK; GREAT-BASIN; SNOW-BED</t>
  </si>
  <si>
    <t>A complex landscape lies on an alpine plateau in the high Sierra Nevada, California, and comprises spatially organized physical and ecological features that interact to create a unique ecosystem. At the upslope end a tree-limited ribbon forest of whitebark pines grows on the crest of a short, steep slope, which is the only deformation on the otherwise flat plateau. A long-persistent snowbank forms on the slope in the lee of the ribbon forest; meltwater provides moisture to support a productive wet meadow just below. Below the meadow is a narrow, linear rampart comprising large sorted stones, and below this lies a large patterned-ground area of cryogenically sorted circles. The soil domains are densely covered with species-rich vegetation and are abruptly segregated from stone domains. The latter serve as distributed springheads in the otherwise dry patterned-ground terrain. American pikas have colonized the rocky nets of the stone domains and forage plants of the soil circles. The unusual context of this landscape enables pika territories to be more tightly packed than in traditional habitat. We propose a scenario for the Pleistocene origin of this ecosystem and a unique lithologic subsurface barrier that contributes to spring formation during warm intervals.</t>
  </si>
  <si>
    <t>[Millar, Constance, I; Westfall, Robert D.] US Forest Serv, Pacific Southwest Res Stn, USDA, 800 Buchanan St, Albany, CA 94710 USA</t>
  </si>
  <si>
    <t>United States Department of Agriculture (USDA); United States Forest Service</t>
  </si>
  <si>
    <t>Millar, CI (corresponding author), US Forest Serv, Pacific Southwest Res Stn, USDA, 800 Buchanan St, Albany, CA 94710 USA.</t>
  </si>
  <si>
    <t>conniemillarGBNH@gmail.com</t>
  </si>
  <si>
    <t>USDA Forest Service</t>
  </si>
  <si>
    <t>USDA Forest Service(United States Department of Agriculture (USDA)United States Forest Service)</t>
  </si>
  <si>
    <t>This work was supported by the USDA Forest Service.</t>
  </si>
  <si>
    <t>10.1080/15230430.2021.1917049</t>
  </si>
  <si>
    <t>SN8BQ</t>
  </si>
  <si>
    <t>WOS:000658511900001</t>
  </si>
  <si>
    <t>Laske, SM; Gurney, KEB; Koch, JC; Schmutz, JA; Wipfli, MS</t>
  </si>
  <si>
    <t>Laske, Sarah M.; Gurney, Kirsty E. B.; Koch, Joshua C.; Schmutz, Joel A.; Wipfli, Mark S.</t>
  </si>
  <si>
    <t>Arctic insect emergence timing and composition differs across thaw ponds of varying morphology</t>
  </si>
  <si>
    <t>Arctic; insect; phenology; subsidy; thaw pond</t>
  </si>
  <si>
    <t>TERRESTRIAL; SUBSIDIES; FOOD; PHENOLOGY; CLIMATE; TEMPERATURE; ECOSYSTEM; STREAM; CHIRONOMIDAE; PRODUCTIVITY</t>
  </si>
  <si>
    <t>Freshwater ponds provide habitats for aquatic insects that emerge and subsidize consumers in terrestrial ecosystems. In the Arctic, insects provide an important seasonal source of energy to birds that breed and rear young on the tundra. The abundance and timing of insect emergence from arctic thaw ponds is poorly understood, but understanding these fluxes is important, given the role of insects in food webs and current rates of environmental change at high latitudes. We aimed to evaluate emerging insect communities from thaw ponds with different morphologies, identify environmental covariates influencing insect composition, and describe temporal changes in insect abundance. We collected environmental information and insects that emerged over two growing seasons and examined the phenology and taxonomic composition of insects arising from different pond classes: low centered polygon, small coalescent, large coalescent, and trough ponds. Our findings indicated no differences in the timing of total emergence across ponds of varying morphology. Community dissimilarity was primarily associated with center or margin habitat and variables that differed strongly among pond classes. These insects, which provide important provisions for various species of birds, are likely to experience changes in emergence phenology and composition due to ongoing, rapid warming in the region.</t>
  </si>
  <si>
    <t>[Laske, Sarah M.; Koch, Joshua C.; Schmutz, Joel A.] US Geol Survey, Alaska Sci Ctr, 4210 Univ Dr, Anchorage, AK 99508 USA; [Gurney, Kirsty E. B.] Univ Alaska Fairbanks, Inst Arctic Biol, Fairbanks, AK USA; [Wipfli, Mark S.] Univ Alaska Fairbanks, Inst Arctic Biol, Alaska Cooperat Fish &amp; Wildlife Res Unit, US Geol Survey, Fairbanks, AK USA; [Gurney, Kirsty E. B.] Environm &amp; Climate Change Canada, Sci &amp; Technol Branch, 115 Perimeter Rd, Saskatoon, SK S7N 0X4, Canada</t>
  </si>
  <si>
    <t>United States Department of the Interior; United States Geological Survey; University of Alaska System; University of Alaska Fairbanks; United States Department of the Interior; United States Geological Survey; University of Alaska System; University of Alaska Fairbanks; Environment &amp; Climate Change Canada</t>
  </si>
  <si>
    <t>Laske, SM (corresponding author), US Geol Survey, Alaska Sci Ctr, 4210 Univ Dr, Anchorage, AK 99508 USA.</t>
  </si>
  <si>
    <t>slaske@usgs.gov</t>
  </si>
  <si>
    <t>Koch, Joshua/0000-0001-7180-6982; Laske, Sarah/0000-0002-6096-0420; Gurney, Kirsty/0000-0001-8036-4725</t>
  </si>
  <si>
    <t>Changing Arctic Ecosystem Initiative - Wildlife program of the USGS Ecosystem Mission Area</t>
  </si>
  <si>
    <t>Funding was provided by the Changing Arctic Ecosystem Initiative supported by the Wildlife program of the USGS Ecosystem Mission Area. Any use of trade, firm, or product names is for descriptive purposes only and does not imply endorsement by the U.S. Government. The authors report no competing interest.</t>
  </si>
  <si>
    <t>10.1080/15230430.2021.1902249</t>
  </si>
  <si>
    <t>RU1KQ</t>
  </si>
  <si>
    <t>WOS:000644910300001</t>
  </si>
  <si>
    <t>Hollingsworth, TN; Breen, AL; Hewitt, RE; Mack, MC</t>
  </si>
  <si>
    <t>Hollingsworth, Teresa N.; Breen, Amy L.; Hewitt, Rebecca E.; Mack, Michelle C.</t>
  </si>
  <si>
    <t>Does fire always accelerate shrub expansion in Arctic tundra? Examining a novel grass-dominated successional trajectory on the Seward Peninsula</t>
  </si>
  <si>
    <t>Alaska; nonmetric multidimensional scaling; principal component analysis; linear mixing model; historical fire regime; climate change; repeat burning</t>
  </si>
  <si>
    <t>CLIMATE-CHANGE; VEGETATION-RESPONSE; NORTHERN ALASKA; PATCH DYNAMICS; BOREAL FOREST; DISTURBANCE; CARBON; SEVERITY; PATTERNS; TEMPERATURE</t>
  </si>
  <si>
    <t>Over the last century in the circumpolar north, notable terrestrial ecosystem changes include shrub expansion and an intensifying wildfire regime. Shrub invasion into tundra may be further accelerated by wildfire disturbance, which creates opportunities for establishment where recruitment is otherwise rare. The Seward Peninsula currently experiences more frequent and larger fires than other tundra regions in Alaska. There are areas of overlapping burn scars dating back to the 1950s. Using a chronosequence approach, we examined vegetation and ecosystem dynamics in tussock tundra. Increasing burn severity and fire frequency corresponded with an increase in grass cover and a decrease in shrub basal area. We used multivariate ordination analysis to create a single integrator variable of fire effect that accounted for time after fire, burn severity, and number of times burned. This fire effect was significantly associated with decreases in soil organic layer thickness and overall plant biomass. Unlike previous studies in Arctic Alaska tundra, we found that increases in fire frequency and severity did not increase shrub cover and biomass. Instead, intensifying fire disturbance, and particularly repeat fires, led to grass dominance. Our findings support the hypothesis that intensifying tundra fire regimes initiate alternative post-fire trajectories that are not shrub dominated and that are structurally and functionally quite different from sedge or shrub-dominated tundra.</t>
  </si>
  <si>
    <t>[Hollingsworth, Teresa N.] Univ Alaska Fairbanks, USDA, US Forest Serv, Pacific Northwest Res Stn, POB 756780, Fairbanks, AK 99775 USA; [Breen, Amy L.] Univ Alaska Fairbanks, Int Arctic Res Ctr, Fairbanks, AK USA; [Hewitt, Rebecca E.; Mack, Michelle C.] No Arizona Univ, Ctr Ecosyst Sci &amp; Soc, Flagstaff, AZ 86011 USA</t>
  </si>
  <si>
    <t>United States Department of Agriculture (USDA); United States Forest Service; University of Alaska System; University of Alaska Fairbanks; University of Alaska System; University of Alaska Fairbanks; Northern Arizona University</t>
  </si>
  <si>
    <t>Hollingsworth, TN (corresponding author), Univ Alaska Fairbanks, USDA, US Forest Serv, Pacific Northwest Res Stn, POB 756780, Fairbanks, AK 99775 USA.</t>
  </si>
  <si>
    <t>teresa.hollingsworth@usda.gov</t>
  </si>
  <si>
    <t>Breen, Amy/0000-0002-1109-3906; Mack, Michelle/0000-0003-1279-4242; Hewitt, Rebecca/0000-0002-6668-8472; Nettleton Hollingsworth, Teresa/0000-0001-6954-2623</t>
  </si>
  <si>
    <t>USGS Alaska Science Center [RW0195]; National Science Foundation [DEB-1026415]</t>
  </si>
  <si>
    <t>USGS Alaska Science Center(United States Geological Survey); National Science Foundation(National Science Foundation (NSF))</t>
  </si>
  <si>
    <t>This research was supported by grants from the USGS Alaska Science Center (RW0195) and the National Science Foundation (DEB-1026415).</t>
  </si>
  <si>
    <t>10.1080/15230430.2021.1899562</t>
  </si>
  <si>
    <t>RT6LF</t>
  </si>
  <si>
    <t>WOS:000644570000001</t>
  </si>
  <si>
    <t>Yoshikawa, K; Hardy, DR; Narita, K; Bolton, WR; Stanilovskaya, J; Sparrow, EB</t>
  </si>
  <si>
    <t>Yoshikawa, Kenji; Hardy, Douglas R.; Narita, Kenji; Bolton, William R.; Stanilovskaya, Julia; Sparrow, Elena B.</t>
  </si>
  <si>
    <t>Ground thermal regimes and implications for permafrost distribution on Kilimanjaro, Tanzania</t>
  </si>
  <si>
    <t>Tropical permafrost; Kilimanjaro; high mountain permafrost; permafrost</t>
  </si>
  <si>
    <t>CLIMATE-CHANGE; EAST-AFRICA; RETREAT; VOLCANO</t>
  </si>
  <si>
    <t>Tropical mountain permafrost has a unique thermal regime due to ground surface exposure to strong solar radiation. The intensity of the surface offset resulting from snow cover also strongly affects the absence or presence of permafrost. Latent heat transfer and reflected solar radiation (higher albedo) that occur during the snow-covered season contribute to a positive feedback that cools the ground. Eleven ground temperature monitoring sites were established on the mountain at 2,780 to 5,820 m.a.s.l. The geothermal heat flow is locally high in the caldera of this volcano, as shown by borehole temperature data. Permafrost is located near the only glacier entirely within the caldera (Furtwangler). These three-year continuous records of ground temperature data encompass years of high and low snow cover. Our results show that the current lower boundary of permafrost is slightly above summit altitude and relict permafrost is present due to the influence of saturated sand on latent heat transfer. Permafrost tends to be lost more rapidly during drought years. The remaining permafrost seems likely to disappear in the future. The presence of permafrost and its thermal resistance depends on the ice content of caldera sand and the duration of snow cover.</t>
  </si>
  <si>
    <t>[Yoshikawa, Kenji] Univ Alaska Fairbanks, Water &amp; Environm Res Ctr, Fairbanks, AK USA; [Yoshikawa, Kenji] Univ Complutense Madrid, Dept Geog, Madrid, Spain; [Hardy, Douglas R.] Univ Massachusetts, Dept Geosci, Amherst, MA 01003 USA; [Narita, Kenji] Akita Univ, Fac Educ &amp; Human Studies, Akita, Japan; [Bolton, William R.; Sparrow, Elena B.] Univ Alaska Fairbanks, Int Arctic Res Ctr, Fairbanks, AK USA; [Stanilovskaya, Julia] Total SA, Paris, France</t>
  </si>
  <si>
    <t>University of Alaska System; University of Alaska Fairbanks; Complutense University of Madrid; University of Massachusetts System; University of Massachusetts Amherst; Akita University; University of Alaska System; University of Alaska Fairbanks; Total SA</t>
  </si>
  <si>
    <t>Yoshikawa, K (corresponding author), POB 755860, Fairbanks, AK 99775 USA.</t>
  </si>
  <si>
    <t>kenjiyos@ucm.es</t>
  </si>
  <si>
    <t>Stanilovskaya, Julia/0000-0002-9856-2604; Narita, Kenji/0000-0002-3671-1168; Yoshikawa, Kenji/0000-0001-5935-2041</t>
  </si>
  <si>
    <t>National Science Foundation GLOBE Seasons and Biomes project [GEO 0627941]; Department of Education Tanzania government; NSF/NOAA [0402557]; NSF [ATM-990920]; NOAA U.S. Global Climate Observing System; Div Atmospheric &amp; Geospace Sciences; Directorate For Geosciences [0402557] Funding Source: National Science Foundation</t>
  </si>
  <si>
    <t>National Science Foundation GLOBE Seasons and Biomes project; Department of Education Tanzania government; NSF/NOAA(National Oceanic Atmospheric Admin (NOAA) - USA); NSF(National Science Foundation (NSF)); NOAA U.S. Global Climate Observing System; Div Atmospheric &amp; Geospace Sciences; Directorate For Geosciences(National Science Foundation (NSF)NSF - Directorate for Geosciences (GEO))</t>
  </si>
  <si>
    <t>This research was funded by the National Science Foundation GLOBE Seasons and Biomes project (Grant No. GEO 0627941) and Department of Education Tanzania government, with support to DRH from NSF/NOAA Grant Nos. 0402557 (Paleoclimate Program), NSF ATM-990920 and the NOAA U.S. Global Climate Observing System.</t>
  </si>
  <si>
    <t>10.1080/15230430.2021.1903375</t>
  </si>
  <si>
    <t>RU2ZD</t>
  </si>
  <si>
    <t>WOS:000645017500001</t>
  </si>
  <si>
    <t>LeMasurier, WE</t>
  </si>
  <si>
    <t>LeMasurier, Wesley E.</t>
  </si>
  <si>
    <t>Cold: The Record of an Antarctic Sledge Journey</t>
  </si>
  <si>
    <t>[LeMasurier, Wesley E.] Univ Colorado, Inst Arctic &amp; Alpine Res INSTAAR, Boulder, CO 80309 USA</t>
  </si>
  <si>
    <t>LeMasurier, WE (corresponding author), Univ Colorado, Inst Arctic &amp; Alpine Res INSTAAR, Boulder, CO 80309 USA.</t>
  </si>
  <si>
    <t>wesley.lemasurier@colorado.edu</t>
  </si>
  <si>
    <t>10.1080/15230430.2021.1914438</t>
  </si>
  <si>
    <t>RU8WC</t>
  </si>
  <si>
    <t>WOS:000645421000001</t>
  </si>
  <si>
    <t>Kirchner, N; Kuttenkeuler, J; Rosqvist, G; Hancke, M; Granebeck, A; Weckström, J; Weckström, K; Schenk, F; Korhola, A; Eriksson, P</t>
  </si>
  <si>
    <t>Kirchner, Nina; Kuttenkeuler, Jakob; Rosqvist, Gunhild; Hancke, Marnie; Granebeck, Annika; Weckstrom, Jan; Weckstrom, Kaarina; Schenk, Frederik; Korhola, Atte; Eriksson, Pia</t>
  </si>
  <si>
    <t>A first continuous three-year temperature record from the dimictic arctic-alpine Lake Tarfala, northern Sweden</t>
  </si>
  <si>
    <t>Lake; vertical mixing; Arctic; Tarfala; water temperature</t>
  </si>
  <si>
    <t>AIR-TEMPERATURE; MASS-BALANCE; ICE; HEMISPHERE; SURFACE; SHIFTS; COLD</t>
  </si>
  <si>
    <t>Arctic lakes are exposed to warming during increasingly longer ice-free periods and, if located in glaciated areas, to increased inflow of meltwater and sediments. However, direct monitoring of how such lakes respond to changing environmental conditions is challenging not only because of their remoteness but also because of the scarcity of present and previously observed lake states. At the glacier-proximal Lake Tarfala in the Kebnekaise Mountains, northern Sweden, temperatures throughout the water column at its deepest part (50 m) were acquired between 2016 and 2019. This three-year record shows that Lake Tarfala is dimictic and is overturning during spring and fall, respectively. Timing, duration, and intensity of mixing processes, as well as of summer and winter stratification, vary between years. Glacial meltwater may play an important role regarding not only mixing processes but also cooling of the lake. Attribution of external environmental factors to (changes in) lake mixing processes and thermal states remains challenging owing to for example, timing of ice-on and ice-off but also reflection and absorption of light, both known to play a decisive role for lake mixing processes, are not (yet) monitored in situ at Lake Tarfala.</t>
  </si>
  <si>
    <t>[Kirchner, Nina; Rosqvist, Gunhild; Eriksson, Pia] Stockholm Univ, Dept Phys Geog, S-10691 Stockholm, Sweden; [Kirchner, Nina; Kuttenkeuler, Jakob; Rosqvist, Gunhild; Granebeck, Annika; Schenk, Frederik; Eriksson, Pia] Stockholm Univ, Bolin Ctr Climate Res, Stockholm, Sweden; [Kirchner, Nina; Kuttenkeuler, Jakob] KTH Royal Inst Technol, Ctr Naval Architecture, Dept Engn Mech, Stockholm, Sweden; [Rosqvist, Gunhild] Univ Bergen, Bjerknes Ctr Climate Res, Dept Earth Sci, Bergen, Norway; [Hancke, Marnie] Swedish Univ Agr Sci, Fac Nat Resources &amp; Agr Sci, Uppsala, Sweden; [Granebeck, Annika; Schenk, Frederik] Stockholm Univ, Dept Geol Sci, Stockholm, Sweden; [Weckstrom, Jan; Weckstrom, Kaarina; Korhola, Atte] Univ Helsinki, Fac Biol &amp; Environm Sci, Environm Change Res Unit ECRU, Helsinki, Finland; [Weckstrom, Jan; Weckstrom, Kaarina; Korhola, Atte] Univ Helsinki, Helsinki Inst Sustainabil Sci HELSUS, Helsinki, Finland; [Weckstrom, Kaarina] Geol Survey Denmark &amp; Greenland, Dept Glaciol &amp; Climate, Copenhagen, Denmark; [Schenk, Frederik] Swedish Meteorol &amp; Hydrol Inst, Rossby Ctr, Norrkoping, Sweden</t>
  </si>
  <si>
    <t>Stockholm University; Royal Institute of Technology; University of Bergen; Bjerknes Centre for Climate Research; Swedish University of Agricultural Sciences; Stockholm University; University of Helsinki; University of Helsinki; Geological Survey Of Denmark &amp; Greenland; Swedish Meteorological &amp; Hydrological Institute</t>
  </si>
  <si>
    <t>Kirchner, N (corresponding author), Stockholm Univ, Dept Phys Geog, S-10691 Stockholm, Sweden.</t>
  </si>
  <si>
    <t>nina.kirchner@natgeo.su.se</t>
  </si>
  <si>
    <t>Schenk, Frederik/AAI-7824-2020; Weckstrom, Jan/N-7665-2013</t>
  </si>
  <si>
    <t>Schenk, Frederik/0000-0002-4768-9832; Weckstrom, Kaarina/0000-0002-3889-0788; Korhola, Atte A./0000-0003-2577-6502; Weckstrom, Jan/0000-0001-5604-617X; Rosqvist, Gunhild/0000-0002-9195-607X; Eriksson, Pia/0000-0002-4331-024X; Kuttenkeuler, Jakob/0000-0003-3337-1900; Hancke, Marnie/0000-0001-9875-2216; Kirchner, Nina/0000-0002-6371-5527</t>
  </si>
  <si>
    <t>Swedish Infrastructure for Ecosystem Sciences (SITES Waters); Goran Gustafsson Foundation for nature and environment in Lappland; Bolin Centre for Climate Research at Stockholm University; Centre for Naval Architecture at KTH Royal Institute of Technology; University of Helsinki; Stockholm University</t>
  </si>
  <si>
    <t>This work was supported by the Swedish Infrastructure for Ecosystem Sciences (SITES Waters), The Goran Gustafsson Foundation for nature and environment in Lappland, The Bolin Centre for Climate Research at Stockholm University, the Centre for Naval Architecture at KTH Royal Institute of Technology, and Arctic Avenue (a spearhead research project between the University of Helsinki and Stockholm University).</t>
  </si>
  <si>
    <t>10.1080/15230430.2021.1886577</t>
  </si>
  <si>
    <t>QU5LG</t>
  </si>
  <si>
    <t>WOS:000627321700001</t>
  </si>
  <si>
    <t>Kytöviita, MM; Olofsson, J</t>
  </si>
  <si>
    <t>Kytoviita, Minna-Maarit; Olofsson, Johan</t>
  </si>
  <si>
    <t>Idiosyncratic responses to simulated herbivory by root fungal symbionts in a subarctic meadow</t>
  </si>
  <si>
    <t>Arbuscular mycorrhiza; dark septate endophytes; fine endophytes; grazing</t>
  </si>
  <si>
    <t>ARBUSCULAR MYCORRHIZAL FUNGI; DARK SEPTATE ENDOPHYTES; NITROGEN MINERALIZATION; PLANT DIVERSITY; COMPETITIVE INTERACTIONS; COMMUNITY STRUCTURE; PHOSPHORUS UPTAKE; CARBON FLOW; REINDEER; SOIL</t>
  </si>
  <si>
    <t>Plant-associated fungi have elementary roles in ecosystem productivity. There is little information on the interactions between arbuscular mycorrhizal (AM) fungal symbiosis, fine endophytic (FE) and dark septate endophytic (DSE) fungi, and their host plants in cold climate systems. In particular, the environmental filters potentially driving the relative abundance of these root symbionts remain unknown. We investigated the interlinkage of plant and belowground fungal responses to simulated herbivory (clipping, fertilization, and trampling) in a subarctic meadow system. AM and FE frequency in the two target plant roots, Potentilla crantzii and Saussurea alpina, was unaffected by simulated herbivory, highlighting the importance and resilience of arbuscule forming mycorrhizas in a range of environmental conditions. Fertilization and trampling increased DSE colonization in P. crantzii roots although generally P. crantzii performance was reduced in these plots. The idiosyncratic responses by DSE fungal frequency in the two host plants in our experiment indicate that the host plant identity has a pivotal role in the DSE fungus-plant outcome. DSE fungal frequency did not respond to environmental manipulations in a manner similar to arbuscular mycorrhizas, suggesting that they have a different role in plant ecology.</t>
  </si>
  <si>
    <t>[Kytoviita, Minna-Maarit] Jyvaskyla Univ, Dept Environm &amp; Biol Sci, POB 35, FIN-40014 Jyvaskyla, Finland; [Olofsson, Johan] Umea Univ, Dept Ecol &amp; Environm Sci, Umea, Sweden</t>
  </si>
  <si>
    <t>University of Jyvaskyla; Umea University</t>
  </si>
  <si>
    <t>Kytöviita, MM (corresponding author), Jyvaskyla Univ, Dept Environm &amp; Biol Sci, POB 35, FIN-40014 Jyvaskyla, Finland.</t>
  </si>
  <si>
    <t>minna-maarit.kytoviita@jyu.fi</t>
  </si>
  <si>
    <t>Olofsson, Johan/A-9362-2009</t>
  </si>
  <si>
    <t>Olofsson, Johan/0000-0002-6943-1218</t>
  </si>
  <si>
    <t>10.1080/15230430.2021.1878738</t>
  </si>
  <si>
    <t>QV2PZ</t>
  </si>
  <si>
    <t>WOS:000627820100001</t>
  </si>
  <si>
    <t>Forcén-Vázquez, A; Williams, MJM; Bowen, M; Carter, L; Bostock, H</t>
  </si>
  <si>
    <t>Forcen-Vazquez, Aitana; Williams, Michael J. M.; Bowen, Melissa; Carter, Lionel; Bostock, Helen</t>
  </si>
  <si>
    <t>Frontal dynamics and water mass variability on the Campbell Plateau</t>
  </si>
  <si>
    <t>NEW ZEALAND JOURNAL OF MARINE AND FRESHWATER RESEARCH</t>
  </si>
  <si>
    <t>Campbell Plateau; New Zealand; subantarctic; Pacific Ocean; oceanography</t>
  </si>
  <si>
    <t>ANTARCTIC CIRCUMPOLAR CURRENT; SOUTHERN-OCEAN FRONTS; NEW-ZEALAND; INTERANNUAL VARIABILITY; SUBTROPICAL CONVERGENCE; PHYSICAL OCEANOGRAPHY; INTERMEDIATE WATER; SOUTHLAND CURRENT; CARBON-DIOXIDE; SURFACE-WATER</t>
  </si>
  <si>
    <t>The Campbell Plateau is a dominating bathymetric feature of New Zealand's subantarctic region, strongly influencing the dynamics of both the Subtropical Front (STF) to the north and the Subantarctic Front (SAF) to the south. We present a consistent survey across New Zealand's subantarctic of the relationships between front positions, bathymetry and water masses. The northwest side of the Campbell Plateau is comparatively warm due to a southward extension of the STF over the plateau. The SAF is steered south and east by the combined effect of the plateau and Macquarie Ridge, with waters originating in the SAF also found north of the plateau. Formation of Subantarctic Mode Water (SAMW) is confirmed, with a deep reservoir of SAMW persisting nearly a year after formation. Antarctic Intermediate Water (AAIW) is observed around the edges of the plateau, but not present on the plateau, confirming that the waters on the plateau are isolated from deeper Southern Ocean.</t>
  </si>
  <si>
    <t>[Forcen-Vazquez, Aitana; Williams, Michael J. M.; Bostock, Helen] Natl Inst Water &amp; Atmospher Res NIWA, Wellington, New Zealand; [Forcen-Vazquez, Aitana; Carter, Lionel] Victoria Univ Wellington, Wellington, New Zealand; [Bowen, Melissa] Univ Auckland, Auckland, New Zealand; [Forcen-Vazquez, Aitana] MetOcean Solut, MetServ, Raglan, New Zealand; [Bostock, Helen] Univ Queensland, Sch Earth &amp; Environm Sci, Brisbane, Qld, Australia</t>
  </si>
  <si>
    <t>National Institute of Water &amp; Atmospheric Research (NIWA) - New Zealand; Victoria University Wellington; University of Auckland; University of Queensland</t>
  </si>
  <si>
    <t>Forcén-Vázquez, A (corresponding author), Natl Inst Water &amp; Atmospher Res NIWA, Wellington, New Zealand.;Forcén-Vázquez, A (corresponding author), Victoria Univ Wellington, Wellington, New Zealand.;Forcén-Vázquez, A (corresponding author), MetOcean Solut, MetServ, Raglan, New Zealand.</t>
  </si>
  <si>
    <t>a.forcen-vazquez@metocean.co.nz</t>
  </si>
  <si>
    <t>Bostock, Helen/A-6834-2013</t>
  </si>
  <si>
    <t>Bostock, Helen/0000-0002-8903-8958; Forcen-Vazquez, Aitana/0000-0003-2471-705X</t>
  </si>
  <si>
    <t>0028-8330</t>
  </si>
  <si>
    <t>1175-8805</t>
  </si>
  <si>
    <t>NEW ZEAL J MAR FRESH</t>
  </si>
  <si>
    <t>N. Z. J. Mar. Freshw. Res.</t>
  </si>
  <si>
    <t>10.1080/00288330.2021.1875490</t>
  </si>
  <si>
    <t>QI9NF</t>
  </si>
  <si>
    <t>WOS:000619315200004</t>
  </si>
  <si>
    <t>Thompson, JB; Zurita-Arthos, L; Müller, F; Chimbolema, S; Suárez, E</t>
  </si>
  <si>
    <t>Thompson, Jennifer B.; Zurita-Arthos, Leo; Mueller, Felix; Chimbolema, Segundo; Suarez, Esteban</t>
  </si>
  <si>
    <t>Land use change in the Ecuadorian paramo: The impact of expanding agriculture on soil carbon storage</t>
  </si>
  <si>
    <t>Andes; ecosystem services; fallow agriculture; Andosols</t>
  </si>
  <si>
    <t>EROSION; ANDES</t>
  </si>
  <si>
    <t>The Andean paramo is notable for high soil carbon storage and its contribution to ecosystem services. However, the paramo's ability to maintain high soil carbon levels is threatened by land use change from tussock grassland and shrublands to agricultural uses. A chronosequence study was conducted in the paramo around Quito, Ecuador, to determine the rate of soil carbon loss from traditional fallow agriculture. In parallel, a land use and land cover classification of Landsat images was used to measure the change in agricultural areas between 1991 and 2017. There was a significant negative relationship between the time since initial cultivation of a field and soil C: Older agricultural sites had significantly less C compared to natural ecosystems due to an average loss of 0.045 percent soil C per year. Undisturbed sites had significantly more soil C than cultivated sites but not pastures or fallow fields, indicating that cultivation is the most detrimental stage of the fallow agricultural cycle for soil C storage. There was an 838 percent increase in cultivated land between 1991 and 2017 but a 10 percent decrease in pastures, indicating a trend away from traditional regenerative agriculture toward land use types that lead to substantial losses in soil carbon.</t>
  </si>
  <si>
    <t>[Thompson, Jennifer B.] Univ Calif Berkeley, Dept Environm Sci Policy &amp; Management, 54 Mulford Hall, Berkeley, CA 94705 USA; [Thompson, Jennifer B.; Zurita-Arthos, Leo; Chimbolema, Segundo; Suarez, Esteban] Univ San Francisco Quito, GEOctr, Inst Biosfera, Colegio Ciencias Biol &amp; Ambientales, Quito, Ecuador; [Thompson, Jennifer B.; Mueller, Felix] Christian Albrecht Univ Kiel, Dept Ecosyst Management, Kiel, Germany; [Suarez, Esteban] Univ N Carolina, Dept Geog, Chapel Hill, NC 27515 USA</t>
  </si>
  <si>
    <t>University of California System; University of California Berkeley; Universidad San Francisco de Quito; University of Kiel; University of North Carolina; University of North Carolina Chapel Hill</t>
  </si>
  <si>
    <t>Thompson, JB (corresponding author), Univ Calif Berkeley, Dept Environm Sci Policy &amp; Management, 54 Mulford Hall, Berkeley, CA 94705 USA.</t>
  </si>
  <si>
    <t>jenniferbriana.thompson@gmail.com</t>
  </si>
  <si>
    <t>Suarez, Esteban/AAP-7440-2020</t>
  </si>
  <si>
    <t>Thompson, Jennifer/0000-0001-7151-6299; Zurita-Arthos, Leo/0000-0002-6741-9223; Suarez, Esteban/0000-0003-0425-8933; Mueller, Felix/0000-0002-0638-2658</t>
  </si>
  <si>
    <t>European Commission through the program Erasmus Mundus Master Course-International Master in Applied Ecology (EMMC-IMAE) [FPA2023-0224/532524-1-FR-2012-1-ERA]; Universidad San Francisco de Quito</t>
  </si>
  <si>
    <t>European Commission through the program Erasmus Mundus Master Course-International Master in Applied Ecology (EMMC-IMAE); Universidad San Francisco de Quito</t>
  </si>
  <si>
    <t>This study was financially supported by the European Commission through the program Erasmus Mundus Master Course-International Master in Applied Ecology (EMMC-IMAE; FPA2023-0224/532524-1-FR-2012-1-ERA MUNDUSEMMC). Support for ES and SC was provided by a Research Grant provided by Universidad San Francisco de Quito.</t>
  </si>
  <si>
    <t>10.1080/15230430.2021.1873055</t>
  </si>
  <si>
    <t>QG2XA</t>
  </si>
  <si>
    <t>WOS:000617452100001</t>
  </si>
  <si>
    <t>Mena, G; Yoshikawa, K; Schorghofer, N; Pastén, C; Ochoa, FA; Yoshii, Y; Doi, M; Miyata, T; Takahashi, H; Casassa, G; Sone, T</t>
  </si>
  <si>
    <t>Mena, Gabriela; Yoshikawa, Kenji; Schorghofer, Norbert; Pasten, Cesar; Ochoa, Felipe Agustin; Yoshii, Yuzuru; Doi, Mamoru; Miyata, Takeshi; Takahashi, Hidenori; Casassa, Gino; Sone, Toshio</t>
  </si>
  <si>
    <t>Freeze-thaw cycles and snow impact at arid permafrost region in Chajnantor Volcano, Atacama, northern Chile</t>
  </si>
  <si>
    <t>Permafrost; freeze– thaw cycle; high elevation; Atacama; snow</t>
  </si>
  <si>
    <t>Permafrost occurs in the high Atacama Desert, and its thermal state was characterized at a study site 5,075 m a.s.l., at the lower regional altitude boundary for permafrost. The permafrost body is about 5 m thick and located in the hydrothermal alteration zone. The freeze-thaw layer and upper part of the permafrost layer temperatures were measured at 0 to 39 cm depth at 1-cm resolution throughout the year. The upper 3 cm of the ground experienced more than 100 freeze-thaw cycles in 2019. The maximum thaw depth was 14 cm. No significant thermal offset is observed between the annual mean of the surface temperature and the top permafrost boundary. The 14-m borehole reveals that the geothermal gradient was quite high at 200 degrees C/km. In 2019 the seventy days of snow cover impacted the surface energy budget. Winter and summer snow conditions contribute to cooling the surface temperature regime in different ways.</t>
  </si>
  <si>
    <t>[Mena, Gabriela; Yoshikawa, Kenji; Pasten, Cesar; Ochoa, Felipe Agustin] Univ Chile, Dept Civil Engn, Santiago, Chile; [Yoshikawa, Kenji] Univ Alaska Fairbanks, Water &amp; Environm Res Ctr, Fairbanks, AK USA; [Schorghofer, Norbert] Planetary Sci Inst, Honolulu, HI USA; [Yoshii, Yuzuru; Doi, Mamoru; Miyata, Takeshi; Takahashi, Hidenori] Univ Tokyo, Inst Astron, Tokyo, Japan; [Casassa, Gino] Minist Publ Works, Gen Directorate Water, Santiago, Chile; [Casassa, Gino] Univ Magallanes, Gaia Antarct Res Ctr, Punta Arenas, Chile; [Sone, Toshio] Hokkaido Univ, Inst Low Temp Sci, Sapporo, Hokkaido, Japan</t>
  </si>
  <si>
    <t>Universidad de Chile; University of Alaska System; University of Alaska Fairbanks; University of Tokyo; Universidad de Magallanes; Hokkaido University</t>
  </si>
  <si>
    <t>Yoshikawa, K (corresponding author), Box 74758, Fairbanks, AK 99707 USA.</t>
  </si>
  <si>
    <t>kyoshikawa516@gmail.com</t>
  </si>
  <si>
    <t>Schorghofer, Norbert/A-1194-2007; Pasten, Cesar/H-3751-2013</t>
  </si>
  <si>
    <t>Yoshikawa, Kenji/0000-0001-5935-2041; Schorghofer, Norbert/0000-0002-5821-4066; Pasten, Cesar/0000-0002-6683-0619</t>
  </si>
  <si>
    <t>University of Tokyo Atacama Observatory (TAO); Department of Civil Engineering, University of Chile</t>
  </si>
  <si>
    <t>This research was funded by the University of Tokyo Atacama Observatory (TAO) and the Department of Civil Engineering, University of Chile.</t>
  </si>
  <si>
    <t>10.1080/15230430.2021.1878739</t>
  </si>
  <si>
    <t>QG5JE</t>
  </si>
  <si>
    <t>WOS:000617620600001</t>
  </si>
  <si>
    <t>Bulkeley, R</t>
  </si>
  <si>
    <t>Bulkeley, Rip</t>
  </si>
  <si>
    <t>Bellingshausen in Britain: Supplying the Russian Antarctic expedition, 1819</t>
  </si>
  <si>
    <t>MARINERS MIRROR</t>
  </si>
  <si>
    <t>Russian Antarctic expedition; Antarctica; Bellingshausen; London; natural history; navigation; polar science; Russia</t>
  </si>
  <si>
    <t>In August and September 1819 the first Russian Antarctic expedition, commanded by Captain Bellingshausen, visited Britain to purchase navigational and scientific instruments, charts and books. Using documents in the Russian Naval Archives, this article describes the visit in detail and reflects on what this information tells us about the framing of the expedition and the constraints under which it was carried out.</t>
  </si>
  <si>
    <t>[Bulkeley, Rip] Exeter Coll, Oxford, England; [Bulkeley, Rip] ICSUs Sci Comm Antarctic Res, Hist Experts Grp, Oxford, England</t>
  </si>
  <si>
    <t>Bulkeley, R (corresponding author), Exeter Coll, Oxford, England.;Bulkeley, R (corresponding author), ICSUs Sci Comm Antarctic Res, Hist Experts Grp, Oxford, England.</t>
  </si>
  <si>
    <t>0025-3359</t>
  </si>
  <si>
    <t>2049-680X</t>
  </si>
  <si>
    <t>Mar. Mirror</t>
  </si>
  <si>
    <t>10.1080/00253359.2021.1845511</t>
  </si>
  <si>
    <t>History</t>
  </si>
  <si>
    <t>Arts &amp; Humanities Citation Index (A&amp;HCI)</t>
  </si>
  <si>
    <t>QB0KY</t>
  </si>
  <si>
    <t>WOS:000613832900005</t>
  </si>
  <si>
    <t>Greinwald, K; Dieckmann, LA; Schipplick, C; Hartmann, A; Scherer-Lorenzen, M; Gebauer, T</t>
  </si>
  <si>
    <t>Greinwald, Konrad; Dieckmann, Lea Adina; Schipplick, Carlotta; Hartmann, Anne; Scherer-Lorenzen, Michael; Gebauer, Tobias</t>
  </si>
  <si>
    <t>Vertical root distribution and biomass allocation along proglacial chronosequences in Central Switzerland</t>
  </si>
  <si>
    <t>Biomass allocation; chronosequence; glacier forelands; root traits; plant community composition</t>
  </si>
  <si>
    <t>PLANT ECONOMICS SPECTRUM; PRIMARY SUCCESSION; GLACIER FORELANDS; VEGETATION SUCCESSION; FUNCTIONAL TRAITS; FINE-ROOTS; SOIL; PATTERNS; LEAF; RESPONSES</t>
  </si>
  <si>
    <t>Investigating changes in belowground functional plant traits is an important step toward a better understanding of vegetation dynamics during primary succession. However, in alpine glacier forelands, we still lack an accurate assessment of plant rooting patterns. In this study, we established two proglacial chronosequences with contrasting bedrocks to investigate changes in rooting patterns and biomass allocation with terrain age. We extracted soil cores up to 1 m depth and measured root traits every 10 cm of each drilled core. Furthermore, we sampled aboveground biomass determining the contributions of functional groups to total aboveground biomass. We found that root traits associated with the root economics spectrum varied significantly along the chronosequences. Vertical root distribution coefficients revealed that early successional communities had more evenly distributed root systems compared to late successional communities. Biomass allocation showed diverging patterns. We found evidence for both the isometric allocation and optimal partitioning hypotheses. In addition, we observed a significant correlation between rooting parameters and plant community composition, suggesting that the dominance of distinct plant functional groups was one important factor explaining the observed rooting patterns. Our results shed light on the often neglected belowground compartments during plant succession and contribute to a better understanding of hillslope functioning.</t>
  </si>
  <si>
    <t>[Greinwald, Konrad; Dieckmann, Lea Adina; Schipplick, Carlotta; Scherer-Lorenzen, Michael; Gebauer, Tobias] Univ Freiburg, Fac Biol, Geobot, Schanzlestr 1, D-79104 Freiburg, Germany; [Hartmann, Anne] GFZ German Res Ctr Geosci, Sect Hydrol, Potsdam, Germany</t>
  </si>
  <si>
    <t>University of Freiburg; Helmholtz Association; Helmholtz-Center Potsdam GFZ German Research Center for Geosciences</t>
  </si>
  <si>
    <t>Greinwald, K (corresponding author), Univ Freiburg, Fac Biol, Geobot, Schanzlestr 1, D-79104 Freiburg, Germany.</t>
  </si>
  <si>
    <t>konrad.greinwald@biologie.uni-freiburg.de</t>
  </si>
  <si>
    <t>Gebauer, Tobias/G-4301-2013; Scherer-Lorenzen, Michael/AGB-4140-2022</t>
  </si>
  <si>
    <t>Scherer-Lorenzen, Michael/0000-0001-9566-590X; Dieckmann, Lea/0000-0002-4844-8379; Greinwald, Konrad/0000-0003-1103-2529</t>
  </si>
  <si>
    <t>German Research Foundation (DFG) [318089487, SCHE 695/9-1]; Swiss National Science Foundation [200021E-167563/1]; BadenWuerttemberg Ministry of Science, Research and Art; University of Freiburg in the funding programme Open Access Publishing; Swiss National Science Foundation (SNF) [200021E-167563] Funding Source: Swiss National Science Foundation (SNF)</t>
  </si>
  <si>
    <t>German Research Foundation (DFG)(German Research Foundation (DFG)); Swiss National Science Foundation(Swiss National Science Foundation (SNSF)); BadenWuerttemberg Ministry of Science, Research and Art; University of Freiburg in the funding programme Open Access Publishing; Swiss National Science Foundation (SNF)(Swiss National Science Foundation (SNSF))</t>
  </si>
  <si>
    <t>This research is part of the HILLSCAPE project (www.hills cape.ch), which is supported by the German Research Foundation (DFG project number 318089487; funding to MSL: SCHE 695/9-1) and the Swiss National Science Foundation (project grant number 200021E-167563/1). The article processing charge was funded by the BadenWuerttemberg Ministry of Science, Research and Art and the University of Freiburg in the funding programme Open Access Publishing.</t>
  </si>
  <si>
    <t>10.1080/15230430.2020.1859720</t>
  </si>
  <si>
    <t>PU6XD</t>
  </si>
  <si>
    <t>WOS:000609443600001</t>
  </si>
  <si>
    <t>Pandey, M; Pathak, ML; Shrestha, BB</t>
  </si>
  <si>
    <t>Pandey, Mohan; Pathak, Mitra Lal; Shrestha, Bharat Babu</t>
  </si>
  <si>
    <t>Morphological and wood anatomical traits of Rhododendron lepidotum Wall ex G. Don along the elevation gradients in Nepal Himalayas</t>
  </si>
  <si>
    <t>Adaptation; alpine habitat; plant functional traits; specific leaf area; trade-off relationship</t>
  </si>
  <si>
    <t>Though variability in morphological features along the environmental gradients has been extensively studied, less information is available on possible adaptations and trends of anatomical features. We examined the variation in morphological and stem anatomical features of a widely distributed (2,200-5,300 m a.s.l.) Rhododendron lepidotum across elevation gradients in Langtang and Sagarmatha National Parks of Nepal Himalayas. Plant samples in each site were collected from three elevation bands (ca. 3,000, 4,000, and 5,000 m a.s.l.). In both study sites, all morphological features measured had their highest value at the lowest elevation and vice versa. Vessel density of basal stem increased but diameter and area of xylem vessels, and length of vessel element and fiber tracheids decreased as elevation increased. Similarly, height and the number of cells in uniseriate rays and height, width, area, and density of multiseriate rays also decreased toward the highest elevation. However, anatomical features of the ultimate branch did not show any distinct pattern with elevation. Morphological features showed more plasticity than anatomical features along the elevation gradients. Decreased plant height, individual leaf area, specific leaf area, and the existing trade-off relationship between vessel diameter and density could have supported a wide distribution of R. lepidotum in Nepal Himalayas.</t>
  </si>
  <si>
    <t>[Pandey, Mohan; Shrestha, Bharat Babu] Tribhuvan Univ, Cent Dept Bot, Kathmandu 44613, Nepal; [Pathak, Mitra Lal] Natl Bot Garden, Dept Plant Resources, Lalitpur, Nepal</t>
  </si>
  <si>
    <t>Tribhuvan University</t>
  </si>
  <si>
    <t>Shrestha, BB (corresponding author), Tribhuvan Univ, Cent Dept Bot, Kathmandu 44613, Nepal.</t>
  </si>
  <si>
    <t>shresthabb@gmail.com</t>
  </si>
  <si>
    <t>Shrestha, Bharat Babu/V-2006-2019</t>
  </si>
  <si>
    <t>Shrestha, Bharat Babu/0000-0002-9457-2637; Pandey, Mohan/0000-0002-5848-7355</t>
  </si>
  <si>
    <t>10.1080/15230430.2020.1859719</t>
  </si>
  <si>
    <t>PU7AG</t>
  </si>
  <si>
    <t>WOS:000609451800001</t>
  </si>
  <si>
    <t>da Silva, PED; Hodges, KI; Coutinho, MM</t>
  </si>
  <si>
    <t>Dias da Silva, Philipp Edson; Hodges, Kevin Ivan; Coutinho, Mariane Mendes</t>
  </si>
  <si>
    <t>How well does the HadGEM2-ES coupled model represent the Southern Hemisphere storm tracks?</t>
  </si>
  <si>
    <t>CLIMATE DYNAMICS</t>
  </si>
  <si>
    <t>Cyclones; Storm tracks; Climatology; HadGEM2-ES; ERA-Interim; Southern Hemisphere</t>
  </si>
  <si>
    <t>EXTRATROPICAL CYCLONES; SEASONAL-VARIATIONS; CLIMATE; CMIP5; JET; CYCLOGENESIS; VARIABILITY; DYNAMICS; ATLANTIC; BIASES</t>
  </si>
  <si>
    <t>This study presents an assessment of the ability of the Hadley Centre Global Environment Model version 2-Earth system configuration (HadGEM2-ES)-in simulating the mid-latitude storm tracks over the Southern Hemisphere (SH). The storm tracks are primarily assessed using cyclone tracking using data from a 4 member ensemble of 27-year simulations of HadGEM2-ES over the historical period, and the European Centre for Medium-Range Weather Forecasts Interim Reanalysis. Both winter and summer periods are considered and contrasted. Results show that the storm track (ST) climatology of HadGEM2-ES presents similar patterns to those of the reanalysis. However, the model tends to represent the austral winter ST position with an equatorward bias and a zonal bias in the spiral towards the pole. The main differences were found during the austral winter, with large track density biases over the Indian Ocean indicating a poor representation of the ST in this specific region. This was found to be related to two factors. First, the large negative genesis biases over South America, Antarctic Peninsula and the Antarctic coast. Second, the model resolution and the representation of the Andes Mountains in South America. The link between STs and the large-scale circulation is examined and shows at upper levels an equatorward jet position bias of the subtropical jet and a negative bias in the eddy-driven, associated with a large cold bias over the extratropical and polar regions. The analysis of the large-scale circulation shows that the split jet during winter has problems in the model linked to these biases, including geopotential anomaly and sea surface temperature biases. Consequently, in general the track densities over the Southern oceans are underestimated in the austral winter. During summer, the results show the STs move poleward and there is a single eddy-driven jet, which is represented relatively well compared with the winter situation. These factors tend to reduce the differences seen in the cyclone track distribution biases. Although the model has biases in the ST behaviour in the SH it is still considered that these do not preclude this model being used for perturbation and future projection studies.</t>
  </si>
  <si>
    <t>[Dias da Silva, Philipp Edson; Coutinho, Mariane Mendes] Natl Inst Space Res INPE, Ctr Earth Syst Sci CCST, Sao Jose Dos Campos, SP, Brazil; [Hodges, Kevin Ivan] Univ Reading, Dept Meteorol, Reading, Berks, England</t>
  </si>
  <si>
    <t>Instituto Nacional de Pesquisas Espaciais (INPE); University of Reading</t>
  </si>
  <si>
    <t>da Silva, PED (corresponding author), Natl Inst Space Res INPE, Ctr Earth Syst Sci CCST, Sao Jose Dos Campos, SP, Brazil.</t>
  </si>
  <si>
    <t>philipp.edson@gmail.com</t>
  </si>
  <si>
    <t>Dias da Silva, Philipp Edson/0000-0001-5341-3843</t>
  </si>
  <si>
    <t>Sandwich Doctoral Program CAPES/INPE at the University of Reading-United Kingdom; CAPES-Brazilian Federal Agency for Support and Evaluation of Graduate Education within the Ministry of Education of Brazil</t>
  </si>
  <si>
    <t>The authors would like to acknowledge the ECMWF for making the ERA-Interim data available and the Dr Fernando Ii for Metview support. They would also like to express their appreciation of comments made by reviewers. This work was conducted during a scholarship supported by the Sandwich Doctoral Program CAPES/INPE at the University of Reading-United Kingdom. Financed by CAPES-Brazilian Federal Agency for Support and Evaluation of Graduate Education within the Ministry of Education of Brazil.</t>
  </si>
  <si>
    <t>0930-7575</t>
  </si>
  <si>
    <t>1432-0894</t>
  </si>
  <si>
    <t>CLIM DYNAM</t>
  </si>
  <si>
    <t>Clim. Dyn.</t>
  </si>
  <si>
    <t>10.1007/s00382-020-05523-9</t>
  </si>
  <si>
    <t>QE5YY</t>
  </si>
  <si>
    <t>WOS:000604235800013</t>
  </si>
  <si>
    <t>Wang, JR; Feckan, M; Wen, Q; O'Regan, D</t>
  </si>
  <si>
    <t>Wang, JinRong; Feckan, Michal; Wen, Qian; O'Regan, Donal</t>
  </si>
  <si>
    <t>Existence and uniqueness results for modeling jet flow of the antarctic circumpolar current</t>
  </si>
  <si>
    <t>MONATSHEFTE FUR MATHEMATIK</t>
  </si>
  <si>
    <t>Second-order boundary value problem; Elliptic equation; Existence and uniquness; Fixed point theorem</t>
  </si>
  <si>
    <t>WATER-WAVES; EQUATION; TRANSPORT; STEADY; EDGE</t>
  </si>
  <si>
    <t>In this paper we are concerned with the analysis of a mathematical model, a two point boundary value problem for a second-order differential equation, that is used to deal with the jet flow of the antarctic circumpolar current. We present some new existence and uniqueness results when the vorticity function satisfies either a Lipschitz condition or is continuous.</t>
  </si>
  <si>
    <t>[Wang, JinRong; Wen, Qian] Guizhou Univ, Dept Math, Guiyang 550025, Guizhou, Peoples R China; [Wang, JinRong] Qufu Normal Univ, Sch Math Sci, Qufu 273165, Shandong, Peoples R China; [Feckan, Michal] Comenius Univ, Fac Math Phys &amp; Informat, Dept Math Anal &amp; Numer Math, Bratislava 84248, Slovakia; [Feckan, Michal] Slovak Acad Sci, Math Inst, Stefanikova 49, Bratislava 81473, Slovakia; [O'Regan, Donal] Natl Univ Ireland, Sch Math Stat &amp; Appl Math, Galway, Ireland</t>
  </si>
  <si>
    <t>Guizhou University; Qufu Normal University; Comenius University Bratislava; Slovak Academy of Sciences; Mathematical Institute, SAS; Ollscoil na Gaillimhe-University of Galway</t>
  </si>
  <si>
    <t>Wang, JR (corresponding author), Guizhou Univ, Dept Math, Guiyang 550025, Guizhou, Peoples R China.;Wang, JR (corresponding author), Qufu Normal Univ, Sch Math Sci, Qufu 273165, Shandong, Peoples R China.</t>
  </si>
  <si>
    <t>jrwang@gzu.edu.cn; Michal.Feckan@fmph.uniba.sk; wq69375@163.com; donal.oregan@nuigalway.ie</t>
  </si>
  <si>
    <t>Fečkan, Michal/T-4397-2018; Wang, JinRong/O-5745-2017</t>
  </si>
  <si>
    <t>Fečkan, Michal/0000-0002-7385-6737; Wang, JinRong/0000-0002-6642-1946</t>
  </si>
  <si>
    <t>National Natural Science Foundation of China [11661016]; Training Object of High Level and Innovative Talents of Guizhou Province [(2016)4006]; Major Research Project of Innovative Group in Guizhou Education Department [[2018]012]; Slovak Research and Development Agency [APVV-18-0308]; Slovak Grant Agency VEGA [1/0358/20, 2/0127/20]</t>
  </si>
  <si>
    <t>National Natural Science Foundation of China(National Natural Science Foundation of China (NSFC)); Training Object of High Level and Innovative Talents of Guizhou Province; Major Research Project of Innovative Group in Guizhou Education Department; Slovak Research and Development Agency(Slovak Research and Development Agency); Slovak Grant Agency VEGA(Vedecka grantova agentura MSVVaS SR a SAV (VEGA))</t>
  </si>
  <si>
    <t>This work is partially supported by the National Natural Science Foundation of China (11661016), Training Object of High Level and Innovative Talents of Guizhou Province ((2016)4006), Major Research Project of Innovative Group in Guizhou Education Department ([2018]012), the Slovak Research and Development Agency under the contract No. APVV-18-0308, and the Slovak Grant Agency VEGA No. 1/0358/20 and No. 2/0127/20.</t>
  </si>
  <si>
    <t>0026-9255</t>
  </si>
  <si>
    <t>1436-5081</t>
  </si>
  <si>
    <t>MONATSH MATH</t>
  </si>
  <si>
    <t>Mon.heft. Math.</t>
  </si>
  <si>
    <t>10.1007/s00605-020-01493-6</t>
  </si>
  <si>
    <t>QJ7AD</t>
  </si>
  <si>
    <t>WOS:000604156300001</t>
  </si>
  <si>
    <t>Honke, JS; Pigati, JS; Daniels, JM</t>
  </si>
  <si>
    <t>Honke, Jeffrey S.; Pigati, Jeffrey S.; Daniels, J. Michael</t>
  </si>
  <si>
    <t>Evidence of glacial activity during MIS 4 in the Rocky Mountains, Colorado, USA</t>
  </si>
  <si>
    <t>Glacial chronology; marine isotope stage 4; Rocky Mountains; Ziegler Reservoir fossil site</t>
  </si>
  <si>
    <t>RESERVOIR FOSSIL SITE; WIND RIVER RANGE; PROJECT-SPECIAL-VOLUME; WESTERN UNITED-STATES; ISOTOPE STAGE 4; ZIEGLER RESERVOIR; SNOWMASS VILLAGE; HIGH-ELEVATION; WISCONSIN GLACIATION; BULL LAKE</t>
  </si>
  <si>
    <t>The Ziegler Reservoir fossil site near Snowmass Village, Colorado, provides a rare opportunity to examine environmental conditions in the Rocky Mountains during marine isotope stage (MIS) 4 (71-57 ka). Although recognized as a global-scale cold event, MIS 4 is typically absent from Rocky Mountain glacial chronologies because the geologic evidence was covered or destroyed during the subsequent, and more extensive, MIS 2 (Pinedale; 29-14 ka) glaciation. Ziegler Reservoir lies beyond the Pinedale glacial extent, which allowed for the preservation of a long-lived sequence of eolian sediments deposited in a lacustrine environment that spans from late MIS 6 (ca. 140 ka) through early MIS 3 (ca. 55 ka). Sediments dating to MIS 4 exhibit a significant increase in clay-sized particles, suggesting that the source areas, most likely nearby glacio-fluvial deposits, were enriched with fine-grained material at that time. We hypothesize that the elevated clay content was the result of rock flour production by nearby valley glaciers that were active in the Rocky Mountains during MIS 4. The results of our study illustrate how recognizing indirect evidence of glacial activity can result in a more complete record of past climate conditions than what could be achieved by the study of moraines alone.</t>
  </si>
  <si>
    <t>[Honke, Jeffrey S.; Pigati, Jeffrey S.] US Geol Survey, Denver Fed Ctr, Box 25046,MS 980, Denver, CO 80225 USA; [Daniels, J. Michael] Univ Denver, Dept Geog &amp; Environm, Denver, CO 80208 USA</t>
  </si>
  <si>
    <t>United States Department of the Interior; United States Geological Survey; University of Denver</t>
  </si>
  <si>
    <t>Honke, JS (corresponding author), US Geol Survey, Denver Fed Ctr, Box 25046,MS 980, Denver, CO 80225 USA.</t>
  </si>
  <si>
    <t>jhonke@usgs.gov</t>
  </si>
  <si>
    <t>Pigati, Jeffrey/0000-0001-5843-6219; Honke, Jeffrey/0000-0003-4357-9297</t>
  </si>
  <si>
    <t>U.S. Geological Survey Climate and Land Use Change Research and Development Program</t>
  </si>
  <si>
    <t>This project was funded in part by the U.S. Geological Survey Climate and Land Use Change Research and Development Program. Any use of trade, product, or firm names is for descriptive purposes only and does not imply endorsement by the U.S. Government.</t>
  </si>
  <si>
    <t>10.1080/15230430.2021.1979167</t>
  </si>
  <si>
    <t>WQ4YA</t>
  </si>
  <si>
    <t>WOS:000713822600001</t>
  </si>
  <si>
    <t>Seeber, J; Newesely, C; Steinwandter, M; Rief, A; Körner, C; Tappeiner, U; Meyer, E</t>
  </si>
  <si>
    <t>Seeber, Julia; Newesely, Christian; Steinwandter, Michael; Rief, Alexander; Koerner, Christian; Tappeiner, Ulrike; Meyer, Erwin</t>
  </si>
  <si>
    <t>Soil invertebrate abundance, diversity, and community composition across steep high elevation snowmelt gradients in the European Alps</t>
  </si>
  <si>
    <t>European Alps; mesofauna; macrofauna; soil parameters; snowbeds</t>
  </si>
  <si>
    <t>FUNCTIONAL DIVERSITY; PLANT-COMMUNITIES; ALPINE; PHENOLOGY; SNOWBEDS; CLIMATE; VEGETATION; ORIBATIDA; EMERGENCE; RESPONSES</t>
  </si>
  <si>
    <t>We studied abundance, diversity, and composition of soil invertebrates along snowmelt gradients to generally understand how soil animal communities are responding to life conditions across snowbeds along a west-east transect of the European Alps and to create a reference inventory for future investigations of climate change effects on snowbed habitats. We extracted microarthropods (collembolans, oribatid mites) and macroinvertebrates (spiders, beetles, insect larvae) from soil cores taken from three sections along the snowmelt gradient: high (early snowmelt), middle, and low (late snowmelt) sections. Linear models showed no correlations between either soil conditions or time of snowmelt and densities of soil animals. A small, though statistically significant, variation in the generally high soil organic matter and sand contents and high porosity of snowbed soils seems to have no effect on soil invertebrates. Species found along the snowmelt gradient were in similar shares generalist and specialist species. Microarthropod community composition in general was driven by soil porosity and soil organic matter content; for macroinvertebrate community composition we found no specific driver. We conclude that invertebrate species assemblages in snowbeds are rather similar in the European Alps.</t>
  </si>
  <si>
    <t>[Seeber, Julia; Newesely, Christian; Rief, Alexander; Tappeiner, Ulrike; Meyer, Erwin] Univ Innsbruck, Dept Ecol, Technikerstr 25 Sternwartestr 15, A-6020 Innsbruck, Austria; [Seeber, Julia; Steinwandter, Michael; Tappeiner, Ulrike] Eurac Res, Inst Alpine Environm, Bozen Bolzano, Italy; [Koerner, Christian] Univ Basel, Inst Bot, Basel, Switzerland</t>
  </si>
  <si>
    <t>University of Innsbruck; European Academy of Bozen-Bolzano; University of Basel</t>
  </si>
  <si>
    <t>Seeber, J (corresponding author), Univ Innsbruck, Dept Ecol, Technikerstr 25 Sternwartestr 15, A-6020 Innsbruck, Austria.</t>
  </si>
  <si>
    <t>Julia.Seeber@uibk.ac.at</t>
  </si>
  <si>
    <t>Seeber, Julia/R-3422-2017; Steinwandter, Michael/J-8881-2019; Körner, Christian/B-6592-2014; Tappeiner, Ulrike/B-8727-2009</t>
  </si>
  <si>
    <t>Seeber, Julia/0000-0003-0189-7377; Steinwandter, Michael/0000-0001-8545-6047; Körner, Christian/0000-0001-7768-7638; Tappeiner, Ulrike/0000-0002-0195-7459</t>
  </si>
  <si>
    <t>European Union; Austrian Federal Ministry of Agriculture, Regions and Tourism via National Park Hohe Tauern [7.6.1b-I824/16]</t>
  </si>
  <si>
    <t>European Union(European Union (EU)); Austrian Federal Ministry of Agriculture, Regions and Tourism via National Park Hohe Tauern</t>
  </si>
  <si>
    <t>This work was supported by the European Union and the Austrian Federal Ministry of Agriculture, Regions and Tourism via National Park Hohe Tauern, Grant 7.6.1b-I824/16.</t>
  </si>
  <si>
    <t>10.1080/15230430.2021.1982665</t>
  </si>
  <si>
    <t>XB1IR</t>
  </si>
  <si>
    <t>WOS:000721088800001</t>
  </si>
  <si>
    <t>Madani, Z</t>
  </si>
  <si>
    <t>Madani, Zia</t>
  </si>
  <si>
    <t>Emerging legal, policy and scientific issues in the Antarctic</t>
  </si>
  <si>
    <t>POLAR JOURNAL</t>
  </si>
  <si>
    <t>[Madani, Zia] Kobe Univ, Kobe, Japan</t>
  </si>
  <si>
    <t>Kobe University</t>
  </si>
  <si>
    <t>Madani, Z (corresponding author), Kobe Univ, Kobe, Japan.</t>
  </si>
  <si>
    <t>madani.zia@gmail.com</t>
  </si>
  <si>
    <t>Madani, Zia/0000-0002-2787-7844</t>
  </si>
  <si>
    <t>2154-896X</t>
  </si>
  <si>
    <t>2154-8978</t>
  </si>
  <si>
    <t>POLAR J-UK</t>
  </si>
  <si>
    <t>Polar J.</t>
  </si>
  <si>
    <t>10.1080/2154896X.2021.1879423</t>
  </si>
  <si>
    <t>Area Studies; Environmental Studies; Geography; International Relations</t>
  </si>
  <si>
    <t>Area Studies; Environmental Sciences &amp; Ecology; Geography; International Relations</t>
  </si>
  <si>
    <t>X5HX5</t>
  </si>
  <si>
    <t>WOS:001098770500013</t>
  </si>
  <si>
    <t>Buchheister, GR</t>
  </si>
  <si>
    <t>Buchheister, Gustavo Ramirez</t>
  </si>
  <si>
    <t>Antarctic science-policy interface: a way forward</t>
  </si>
  <si>
    <t>[Buchheister, Gustavo Ramirez] Univ Magallanes, Philipps Univ Marburg, Panel Policy Law Sci Nexus Polar Reg 13 PLS, Punta Arenas, Chile</t>
  </si>
  <si>
    <t>Universidad de Magallanes</t>
  </si>
  <si>
    <t>Buchheister, GR (corresponding author), Univ Magallanes, Philipps Univ Marburg, Panel Policy Law Sci Nexus Polar Reg 13 PLS, Punta Arenas, Chile.</t>
  </si>
  <si>
    <t>gustavo.ramirez@umag.cl</t>
  </si>
  <si>
    <t>10.1080/2154896X.2021.1881240</t>
  </si>
  <si>
    <t>WOS:001098770500014</t>
  </si>
  <si>
    <t>Flores, C</t>
  </si>
  <si>
    <t>Flores, Carolina</t>
  </si>
  <si>
    <t>Legal and political issues in Antarctica: celebrating 80 years since the delimitation of Chilean Antarctic Territory and the New Chilean Antarctic Law</t>
  </si>
  <si>
    <t>[Flores, Carolina] Univ Chile, Dept Int Law, Santiago, Chile</t>
  </si>
  <si>
    <t>Universidad de Chile</t>
  </si>
  <si>
    <t>Flores, C (corresponding author), Univ Chile, Dept Int Law, Santiago, Chile.</t>
  </si>
  <si>
    <t>carolinaflores@derecho.uchile.cl</t>
  </si>
  <si>
    <t>10.1080/2154896X.2021.1885898</t>
  </si>
  <si>
    <t>WOS:001098770500015</t>
  </si>
  <si>
    <t>Rustambek, A; Klimovna, KN</t>
  </si>
  <si>
    <t>Rustambek, Allaiarov; Klimovna, Kharlampieva Nadezhda</t>
  </si>
  <si>
    <t>International seminar 'Articulations of indigenous culture 2021' within the Russian-Japanese program 'Sustainable development: environment, resource development, intercultural education'</t>
  </si>
  <si>
    <t>[Rustambek, Allaiarov; Klimovna, Kharlampieva Nadezhda] St Petersburg State Univ, St Petersburg, Russia; [Klimovna, Kharlampieva Nadezhda] Arctic &amp; Antarctic Res Inst, St Petersburg, Russia</t>
  </si>
  <si>
    <t>Rustambek, A (corresponding author), St Petersburg State Univ, St Petersburg, Russia.</t>
  </si>
  <si>
    <t>st080073@student.spbu.ru</t>
  </si>
  <si>
    <t>10.1080/2154896X.2021.1898768</t>
  </si>
  <si>
    <t>WOS:001098770500016</t>
  </si>
  <si>
    <t>Mcgee, J; Arpi, B; Neumann, A; Nijhoff, B</t>
  </si>
  <si>
    <t>Mcgee, Jeffrey; Arpi, Bruno; Neumann, Antje; Nijhoff, Brill</t>
  </si>
  <si>
    <t>Wilderness protection in polar regions: arctic lessons learnt for the regulation and management of tourism in the Antarctic</t>
  </si>
  <si>
    <t>[Mcgee, Jeffrey] Univ Tasmania, Inst Marine &amp; Antarctic Studies, Hobart, Australia; [Mcgee, Jeffrey; Arpi, Bruno] Univ Tasmania, Fac Law, Hobart, Australia</t>
  </si>
  <si>
    <t>University of Tasmania; University of Tasmania</t>
  </si>
  <si>
    <t>Mcgee, J (corresponding author), Univ Tasmania, Inst Marine &amp; Antarctic Studies, Hobart, Australia.;Mcgee, J (corresponding author), Univ Tasmania, Fac Law, Hobart, Australia.</t>
  </si>
  <si>
    <t>Jeffrey.mcgee@utas.edu.au; Bruno.arpi@utas.edu.au</t>
  </si>
  <si>
    <t>10.1080/2154896X.2021.1911764</t>
  </si>
  <si>
    <t>WOS:001098770500018</t>
  </si>
  <si>
    <t>Deepali; Asthana, RK; Nath, G</t>
  </si>
  <si>
    <t>Deepali; Asthana, Ravi Kumar; Nath, Gopal</t>
  </si>
  <si>
    <t>Antarctic cvanobacterium NostocCCC537, a new source of γ-Iinolenic acid and its antioacieriai potential</t>
  </si>
  <si>
    <t>CHEMICAL BIOLOGY LETTERS</t>
  </si>
  <si>
    <t>gamma-linolenic acid; antimicrobial activity; Antarctic cyanobacterium; Nostoc(CCC537)</t>
  </si>
  <si>
    <t>POLYUNSATURATED FATTY-ACIDS; SPIRULINA-PLATENSIS; LINOLENIC ACID; GLA PRODUCTION; CYANOBACTERIUM; TEMPERATURE; STRAINS; BIOMASS; IDENTIFICATION; PURIFICATION</t>
  </si>
  <si>
    <t>Unsaturated fatty acids are one of an important component of our healthy diet as needed for various physiological functions as well as it has medicinal significance. The Gamma linolenic acid (GLA), the pharmaceutically important fatty acid, was isolated from the Antarctic cyanobacetrium, Nostoc(CCC)(537). The antibacterial potential of GLA was evaluated against Staphylococcus aureus ATCC25923, Pseudomonas aeruginosa ATCC27853, Salmonella typhi MTCC3216, Escherichia coli ATCC25992 and Enterobacter aerogenes MTCC2822. It was observed that GLA production in the cyanobacterium was also regulated by alterations in phosphate or nitrate levels during growth along with temperature. A doubling in the phosphate concentration (116 mu M) over that routinely used (58 mu M) in the diazotrophic medium, enhanced GLA production 20.5%, while the biomass yield decreased to 7.3% of the control. GLA production, however, decreased to 18% or 23% in 5 mM or 10 mM nitrate, respectively. A downshift in growth temperature to 10 degrees C from 20 degrees C enhanced GLA production. It is suggested that the Antarctic cyanobacterium may also act as a source of an antibacterial agent as well as GLA.</t>
  </si>
  <si>
    <t>[Deepali] Univ Delhi, Dept Bot, Miranda House, Delhi 110007, India; [Asthana, Ravi Kumar] Banaras Hindu Univ, Ctr Adv Study Bot, Varanasi 221005, Uttar Pradesh, India; [Nath, Gopal] Banaras Hindu Univ, Inst Med Sci, Dept Microbiol, Varanasi 221005, Uttar Pradesh, India</t>
  </si>
  <si>
    <t>University of Delhi; Banaras Hindu University (BHU); Banaras Hindu University (BHU)</t>
  </si>
  <si>
    <t>Deepali (corresponding author), Univ Delhi, Dept Bot, Miranda House, Delhi 110007, India.</t>
  </si>
  <si>
    <t>deepali@mirandahouse.ac.in</t>
  </si>
  <si>
    <t>UGC [S-01/12723]</t>
  </si>
  <si>
    <t>UGC(University Grants Commission, India)</t>
  </si>
  <si>
    <t>We are grateful to Head and Program Coordinator, Centre of Advanced Study in Botany, for lab facilities, Chemical Engineering, Institute of Technology, Banaras Hindu University and Head, Regional Sophisticated Instrumentation Centre (Central Drug Research Institute), Lucknow for HPLC and to UGC for financial support to Deepali (S-01/12723).</t>
  </si>
  <si>
    <t>ScienceIn Publications</t>
  </si>
  <si>
    <t>Delhi</t>
  </si>
  <si>
    <t>Main Gaddi Panna Raod, Jaunti, Delhi, North West Delhi, INDIA</t>
  </si>
  <si>
    <t>2347-9825</t>
  </si>
  <si>
    <t>CHEM BIOL LETT</t>
  </si>
  <si>
    <t>Chem. Biol. Lett.</t>
  </si>
  <si>
    <t>Biochemistry &amp; Molecular Biology; Chemistry, Medicinal</t>
  </si>
  <si>
    <t>Biochemistry &amp; Molecular Biology; Pharmacology &amp; Pharmacy</t>
  </si>
  <si>
    <t>6Q7XQ</t>
  </si>
  <si>
    <t>WOS:000891824700002</t>
  </si>
  <si>
    <t>C</t>
  </si>
  <si>
    <t>Nelli, F; Van Zuydam, A; Pferdekamper, K; Alberello, A; Derkani, M; Bekker, A; Toffoli, A</t>
  </si>
  <si>
    <t>ASME</t>
  </si>
  <si>
    <t>Nelli, Filippo; Van Zuydam, Armand; Pferdekamper, Karl; Alberello, Alberto; Derkani, Marzieh; Bekker, Anriette; Toffoli, Alessandro</t>
  </si>
  <si>
    <t>RECONSTRUCTING SEA-STATES IN THE SOUTHERN OCEAN USING SHIP MOTION DATA</t>
  </si>
  <si>
    <t>PROCEEDINGS OF ASME 2021 40TH INTERNATIONAL CONFERENCE ON OCEAN, OFFSHORE AND ARCTIC ENGINEERING (OMAE2021), VOL 6</t>
  </si>
  <si>
    <t>Proceedings Paper</t>
  </si>
  <si>
    <t>40th ASME International Conference on Ocean, Offshore and Arctic Engineering (OMAE)</t>
  </si>
  <si>
    <t>JUN 21-30, 2021</t>
  </si>
  <si>
    <t>ELECTR NETWORK</t>
  </si>
  <si>
    <t>WAVES</t>
  </si>
  <si>
    <t>Sea state conditions can be estimated from the motion of a moving ship by converting its response to incident waves through the response amplitude operator. The method is applied herein to ship motion data from the icebreaker RN Akademik Tryoshnikov and recorded during the Antarctic Circumnavigation Expedition across the Southern Ocean during the Austral summer 2016-17. The response amplitude operator of the vessel was estimated using two boundary element method models, namely NEMOH and HydroSTAR. An inter-comparison of model performance is discussed. The accuracy of the reconstructed sea states is assessed against concurrent measurements of the wave energy spectrum, which were acquired during the expedition with the marine radar WaMoS-II. Results show good agreement between reconstructed sea states (wave spectrum as well as integrated parameters) and direct observations. Model performances are consistent. Nevertheless, NEMOH produces slightly more accurate wave parameters when quantitatively compared against HydroSTAR.</t>
  </si>
  <si>
    <t>[Nelli, Filippo; Derkani, Marzieh; Toffoli, Alessandro] Univ Melbourne, Dept Infrastruct Engn, Parkville, Vic 3010, Australia; [Van Zuydam, Armand; Pferdekamper, Karl; Bekker, Anriette] Stellenbosch Univ, Dept Mech &amp; Mechatron Engn, ZA-7599 Stellenbosch, South Africa; [Alberello, Alberto] Univ Tokyo, Grad Sch Frontier Sci, Kashiwa, Chiba 2778563, Japan</t>
  </si>
  <si>
    <t>University of Melbourne; Stellenbosch University; University of Tokyo</t>
  </si>
  <si>
    <t>Nelli, F (corresponding author), Univ Melbourne, Dept Infrastruct Engn, Parkville, Vic 3010, Australia.</t>
  </si>
  <si>
    <t>filipponelli1988@gmail.com; 19190107@sun.ac.za; 20132964@sun.ac.za; alberto.alberello@outlook.com; marzieh.h.derkani@gmail.com; annieb@sun.ac.za; toffoli.alessandro@gmail.com</t>
  </si>
  <si>
    <t>Cooperative Research Centres Projects, CRC-P, initiative of the Australian Government [CRC-P53991]; Antarctic Circumnavigation Expedition (ACE) - Swiss Polar Institute; Ferring Pharmaceuticals; Australian Bureau of Meteorology; Japanese Society for the Promotion of Science [PE19055]; National Research Foundation (NRF) South African National Antarctic Programme [110737]</t>
  </si>
  <si>
    <t>Cooperative Research Centres Projects, CRC-P, initiative of the Australian Government(Australian GovernmentDepartment of Industry, Innovation and ScienceCooperative Research Centres (CRC) Programme); Antarctic Circumnavigation Expedition (ACE) - Swiss Polar Institute; Ferring Pharmaceuticals(Ferring Pharmaceuticals); Australian Bureau of Meteorology; Japanese Society for the Promotion of Science(Ministry of Education, Culture, Sports, Science and Technology, Japan (MEXT)Japan Society for the Promotion of Science); National Research Foundation (NRF) South African National Antarctic Programme</t>
  </si>
  <si>
    <t>This work was supported by the Cooperative Research Centres Projects, CRC-P, initiative of the Australian Government (project CRC-P53991) and the Antarctic Circumnavigation Expedition (ACE), which was funded by the Swiss Polar Institute and Ferring Pharmaceuticals. MHD was partially supported by a PhD top-up from the Australian Bureau of Meteorology. AA was supported by the Japanese Society for the Promotion of Science (PE19055). FN, AA, MHD and AT acknowledge technical support from the Air-Sea-Ice-Lab Project initiative. The research of Stellenbosch University is enabled through the National Research Foundation (NRF) South African National Antarctic Programme (SANAP Grant No.110737).</t>
  </si>
  <si>
    <t>AMER SOC MECHANICAL ENGINEERS</t>
  </si>
  <si>
    <t>THREE PARK AVENUE, NEW YORK, NY 10016-5990 USA</t>
  </si>
  <si>
    <t>978-0-7918-8516-1</t>
  </si>
  <si>
    <t>V006T06A027</t>
  </si>
  <si>
    <t>Engineering, Marine; Engineering, Ocean</t>
  </si>
  <si>
    <t>Conference Proceedings Citation Index - Science (CPCI-S)</t>
  </si>
  <si>
    <t>BU1VQ</t>
  </si>
  <si>
    <t>WOS:000882897700026</t>
  </si>
  <si>
    <t>Nejad, AR; Purcell, E; Valavi, M; Hudak, R; Lehmann, B; Guzmán, FG; Behrendt, F; Böhm, AM; von Bock, F; Polach; Nickerson, BM; Bekker, A; Drazyk, W</t>
  </si>
  <si>
    <t>Nejad, Amir R.; Purcell, Etienne; Valavi, Mostafa; Hudak, Roman; Lehmann, Benjamin; Guzman, Francisco Gutierrez; Behrendt, Felix; Boehm, Angelo Mario; von Bock, Franz; Polach; Nickerson, Brendon M.; Bekker, Anriette; Drazyk, Withold</t>
  </si>
  <si>
    <t>CONDITION MONITORING OF SHIP PROPULSION SYSTEMS: STATE-OF-THE-ART, DEVELOPMENT TREND AND ROLE OF DIGITAL TWIN</t>
  </si>
  <si>
    <t>PROCEEDINGS OF ASME 2021 40TH INTERNATIONAL CONFERENCE ON OCEAN, OFFSHORE AND ARCTIC ENGINEERING (OMAE2021), VOL 7</t>
  </si>
  <si>
    <t>ACOUSTIC-EMISSION</t>
  </si>
  <si>
    <t>This paper describes the current implementations and development trends of condition monitoring as it pertains to ship propulsion systems. In terms of total incidents in the shipping industry in the last five years, failures relating to the propulsion system represent the majority. Condition monitoring offers effective early detection of failure which translates to increased reliability and decreased maintenance costs. Current industrial practices are often limited to performance monitoring rather than condition monitoring. Special focus is afforded to how condition monitoring is implemented on board ships, which regulatory codes are relevant and the summary of state-of-the-art research in marine machinery. Moreover, operation and monitoring in extreme environmental conditions, such as the Arctic and Antarctic with ice impact on the propulsion has been discussed. The new developments, in particular, digital twin approaches in health and condition monitoring have been highlighted, considering its pros and cons and potential challenges.</t>
  </si>
  <si>
    <t>[Nejad, Amir R.; Purcell, Etienne] Norwegian Univ Sci Technol, Dept Marine Technol, NO-7491 Trondheim, Norway; [Valavi, Mostafa] EDR &amp; MEDESO AS, N-1327 Lysaker, Norway; [Hudak, Roman; Lehmann, Benjamin; Guzman, Francisco Gutierrez] Rhein Westfal TH Aachen, Inst Machine Elements &amp; Syst Engn, Schinkelstr 10, D-52062 Aachen, Germany; [Behrendt, Felix; Boehm, Angelo Mario; von Bock, Franz; Polach] Hamburg Univ Technol, Inst Ship Struct Design &amp; Anal, D-21073 Hamburg, Germany; [Nickerson, Brendon M.; Bekker, Anriette] Stellenbosch Univ, Dept Mech &amp; Mech Engn, ZA-7600 Stellenbosch, South Africa; [Drazyk, Withold] Otto Piening GmbH, Altendeich 83, D-25348 Gluckstadt, Germany</t>
  </si>
  <si>
    <t>Norwegian University of Science &amp; Technology (NTNU); RWTH Aachen University; Hamburg University of Technology; Stellenbosch University</t>
  </si>
  <si>
    <t>Nejad, AR (corresponding author), Norwegian Univ Sci Technol, Dept Marine Technol, NO-7491 Trondheim, Norway.</t>
  </si>
  <si>
    <t>Amir.Nejad@ntnu.no</t>
  </si>
  <si>
    <t>Lehmann, Benjamin/JXN-9345-2024</t>
  </si>
  <si>
    <t>Lehmann, Benjamin/0000-0003-4262-6303</t>
  </si>
  <si>
    <t>MarTERA - an ERA-NET Cofund scheme of Horizon 2020 of the European Commission; Research Council of Norway [311502]; Federal Ministry for Economic Affairs and Energy of Germany [03SX519B]; Department of Science and Technology of South Africa</t>
  </si>
  <si>
    <t>MarTERA - an ERA-NET Cofund scheme of Horizon 2020 of the European Commission; Research Council of Norway(Research Council of Norway); Federal Ministry for Economic Affairs and Energy of Germany; Department of Science and Technology of South Africa</t>
  </si>
  <si>
    <t>The authors would like to acknowledge support from MarTERA - an ERA-NET Cofund scheme of Horizon 2020 of the European Commission - and the Research Council of Norway (Project no. 311502), the Federal Ministry for Economic Affairs and Energy of Germany (Project no. 03SX519B), and Department of Science and Technology of South Africa, through the HealthProp project.</t>
  </si>
  <si>
    <t>978-0-7918-8517-8</t>
  </si>
  <si>
    <t>V007T07A005</t>
  </si>
  <si>
    <t>BU1VS</t>
  </si>
  <si>
    <t>WOS:000882902600005</t>
  </si>
  <si>
    <t>Nickerson, BM; Bekker, A</t>
  </si>
  <si>
    <t>Nickerson, Brendon M.; Bekker, Anriette</t>
  </si>
  <si>
    <t>A COMPARISON OF INVERSE MODELS FOR THE ESTIMATION OF ICE-INDUCED PROPELLER MOMENTS ON A POLAR VESSEL</t>
  </si>
  <si>
    <t>LOAD CASE ESTIMATION; L-CURVE; REGULARIZATION</t>
  </si>
  <si>
    <t>Full-scale measurements were conducted on the port side propulsion shaft the S.A. Agulhas II during the 2019 SCALE Spring Cruise. The measurements included the shaft torque captured at two separate measurement locations, and the shaft rotational speed at one measurement location. The ice-induced propeller moments are estimated from the full-scale shaft responses using two inverse models. The first is a published discrete lumped mass model that relies on regularization due to the inverse problem being ill-posed. This model is only able to make use of the propulsion shaft torque as inputs. The second model is new and employs modal superposition to represent the propulsion shaft as a combination of continuous modes, resulting in a well-posed problem. This new model requires the additional measurement of the shaft rotational speed for the inverse solution. The continuous model is shown to be more consistent and efficient, which allows its use in real-time monitoring of propeller moments.</t>
  </si>
  <si>
    <t>[Nickerson, Brendon M.; Bekker, Anriette] Stellenbosch Univ, Dept Mech &amp; Mech Engn, ZA-7600 Stellenbosch, South Africa</t>
  </si>
  <si>
    <t>Stellenbosch University</t>
  </si>
  <si>
    <t>Nickerson, BM (corresponding author), Stellenbosch Univ, Dept Mech &amp; Mech Engn, ZA-7600 Stellenbosch, South Africa.</t>
  </si>
  <si>
    <t>16603087@sun.ac.za; annieb@sun.ac.za</t>
  </si>
  <si>
    <t>South African National Research Foundation through the South African National Antarctic Programme [SNA170420228015, 110737]</t>
  </si>
  <si>
    <t>South African National Research Foundation through the South African National Antarctic Programme</t>
  </si>
  <si>
    <t>The authors acknowledge the financial assistance of the South African National Research Foundation through the South African National Antarctic Programme (Ref.: SNA170420228015, Grant No.: 110737).</t>
  </si>
  <si>
    <t>V007T07A007</t>
  </si>
  <si>
    <t>WOS:000882902600007</t>
  </si>
  <si>
    <t>S</t>
  </si>
  <si>
    <t>Wilch, TI; McIntosh, WC; Panter, KS</t>
  </si>
  <si>
    <t>Smellie, JL; Panter, KS; Geyer, A</t>
  </si>
  <si>
    <t>Wilch, T. I.; McIntosh, W. C.; Panter, K. S.</t>
  </si>
  <si>
    <t>Marie Byrd Land and Ellsworth Land: volcanology</t>
  </si>
  <si>
    <t>VOLCANISM IN ANTARCTICA: 200 MILLION YEARS OF SUBDUCTION, RIFTING AND CONTINENTAL BREAK-UP</t>
  </si>
  <si>
    <t>Geological Society Memoirs</t>
  </si>
  <si>
    <t>Article; Book Chapter</t>
  </si>
  <si>
    <t>WEST ANTARCTIC RIFT; UPPER-MANTLE STRUCTURE; BASALTIC TUFF RINGS; ICE-SHEET; ROSS SEA; CRUSTAL STRUCTURE; VOLCANIC ACTIVITY; VICTORIA LAND; RAYLEIGH-WAVE; MOUNT SIDLEY</t>
  </si>
  <si>
    <t>Nineteen large (2348-4285 m above sea level) central polygenetic alkaline shield-like composite volcanoes and numerous smaller volcanoes in Marie Byrd Land (MBL) and western Ellsworth Land rise above the West Antarctic Ice Sheet (WAIS) and comprise the MBL Volcanic Group (MBLVG). Earliest MBLVG volcanism dates to the latest Eocene (36.6 Ma). Polygenetic volcanism began by the middle Miocene (13.4 Ma) and has continued into the Holocene without major interruptions, producing the central volcanoes with 24 large (2-10 km-diameter) summit calderas and abundant evidence for explosive eruptions in caldera-rim deposits. Rock lithofacies are dominated by basanite and trachyte/phonolite lava and breccia, deposited in both subaerial and ice-contact environments. The chronology of MBLVG volcanism is well constrained by 330 age analyses, including 52 new 40Ar/39Ar ages. A volcanic lithofacies record of glaciation provides evidence of local ice-cap glaciation at 29-27 Ma and of widespread WAIS glaciation by 9 Ma. Late Quaternary glaciovolcanic records document WAIS expansions that correlate to eustatic sea-level lowstands (MIS 16, 4 and 2): the WAIS was +500 m at 609 ka at coastal Mount Murphy, and +400 m at 64.7 ka, +400 m at 21.2 ka and +575 m at 17.5 ka at inland Mount Takahe.</t>
  </si>
  <si>
    <t>[Wilch, T. I.] Albion Coll, Dept Geol, 611 East Porter St, Albion, MI 49224 USA; [McIntosh, W. C.] New Mexico Inst Min &amp; Technol, New Mexico Bur Geol &amp; Mineral Resources, 801 Leroy Pl, Socorro, NM 87801 USA; [Panter, K. S.] Bowling Green State Univ, Sch Earth Environm &amp; Soc, Bowling Green, OH 43403 USA</t>
  </si>
  <si>
    <t>Albion College; New Mexico Institute of Mining Technology; University System of Ohio; Bowling Green State University</t>
  </si>
  <si>
    <t>Wilch, TI (corresponding author), Albion Coll, Dept Geol, 611 East Porter St, Albion, MI 49224 USA.</t>
  </si>
  <si>
    <t>twilch@albion.edu</t>
  </si>
  <si>
    <t>Panter, Kurt S/B-4486-2010</t>
  </si>
  <si>
    <t>National Science Foundation [OPP-9725910, DPP-918806, OPP-9814782]</t>
  </si>
  <si>
    <t>National Science Foundation(National Science Foundation (NSF))</t>
  </si>
  <si>
    <t>Fieldwork was supported by the National Science Foundation with grants OPP-9725910 and DPP-918806 awarded to W.C. Mcintosh, and grant OPP-9814782 awarded to T.I. Wilch.</t>
  </si>
  <si>
    <t>GEOLOGICAL SOC PUBLISHING HOUSE</t>
  </si>
  <si>
    <t>UNIT 7, BRASSMILL ENTERPRISE CTR, BRASSMILL LANE, BATH BA1 3JN, AVON, ENGLAND</t>
  </si>
  <si>
    <t>0435-4052</t>
  </si>
  <si>
    <t>978-1-78620-536-0</t>
  </si>
  <si>
    <t>GEOL SOC MEM</t>
  </si>
  <si>
    <t>10.1144/M55-2019-39</t>
  </si>
  <si>
    <t>10.1144/M55</t>
  </si>
  <si>
    <t>Geochemistry &amp; Geophysics; Geology</t>
  </si>
  <si>
    <t>Book Citation Index – Science (BKCI-S)</t>
  </si>
  <si>
    <t>BS0PO</t>
  </si>
  <si>
    <t>WOS:000683732500028</t>
  </si>
  <si>
    <t>Doughty, AM; Kelly, MA; Russell, JM; Jackson, MS; Anderson, BM; Chipman, J; Nakileza, B; Dee, SG</t>
  </si>
  <si>
    <t>Waitt, RB; Thackray, GD; Gillespie, AR</t>
  </si>
  <si>
    <t>Doughty, Alice M.; Kelly, Meredith A.; Russell, James M.; Jackson, Margaret S.; Anderson, Brian M.; Chipman, Jonathan; Nakileza, Bob; Dee, Sylvia G.</t>
  </si>
  <si>
    <t>Modeling glacier extents and equilibrium line altitudes in the Rwenzori Mountains, Uganda, over the last 31,000 yr</t>
  </si>
  <si>
    <t>UNTANGLING THE QUATERNARY PERIOD: A Legacy of Stephen C. Porter</t>
  </si>
  <si>
    <t>Geological Society of America Special Papers</t>
  </si>
  <si>
    <t>SOUTHERN PERUVIAN ANDES; QUELCCAYA ICE CAP; NEW-ZEALAND; LATE PLEISTOCENE; CLIMATE SENSITIVITY; BE-10 CHRONOLOGY; ENERGY-BALANCE; MAXIMUM; FLUCTUATIONS; TEMPERATURE</t>
  </si>
  <si>
    <t>Mountain glacier moraine sequences and their chronologies allow us to evaluate the timing and climate conditions that underpin changes in the equilibrium line altitudes (ELAs), which can provide valuable information on the paleoclimatology of understudied regions such as tropical East Africa. However, moraine sequences are inherently discontinuous, and the precise climate conditions that they represent can be ambiguous due to the sensitivity of mountain glaciers to temperature, precipitation, and other environmental variables. Here, we used a two-dimensional (2-D) ice-flow and mass-balance model to simulate glacier extents and ELAs in the Rwenzori Mountains in East Africa over the past 31,000 yr (31 k.y.), including the Last Glacial Maximum (LGM), late glacial period, and the Holocene Epoch. We drove the glacier model with two independent, continuous temperature reconstructions to simulate possible glacier length changes through time. Model input paleoclimate values came from branched glycerol dialkyl glycerol tetraether (brGDGT) temperature reconstructions from alpine lakes on Mount Kenya for the last similar to 31 k.y., and precipitation reconstructions for the LGM came from various East African locations. We then compared the simulated fluctuations with the positions and ages (where known) of the Rwenzori moraines. The simulated glacier extents reached within 1.1 km of the dated LGM moraines in one valley (93% of the full LGM extent) when forced by the brGDGT temperature reconstructions (maximum cooling of 6.1 degrees C) and a decrease in precipitation (-10% than modern amounts). These simulations suggest that the Rwenzori glaciers required a cooling of at least 6.1 degrees C to reach the dated LGM moraines. Based on the model output, we predict an age of 12-11 ka for moraines located halfway between the LGM and modern glacier extents. We also predict ice-free conditions in the Rwenzori Mountains for most of the early to middle Holocene, followed by a late Holocene glacier readvance within the last 2000 yr.</t>
  </si>
  <si>
    <t>[Doughty, Alice M.; Kelly, Meredith A.; Jackson, Margaret S.; Chipman, Jonathan] Dartmouth Coll, Dept Earth Sci, HB6105 Fairchild Hall, Hanover, NH 03755 USA; [Russell, James M.] Brown Univ, Dept Earth Environm &amp; Planetary Sci, Providence, RI 02912 USA; [Anderson, Brian M.] Victoria Univ Wellington, Antarctic Res Ctr, POB 600, Wellington 6140, New Zealand; [Nakileza, Bob] Makerere Univ, Mt Resource Ctr, Kampala, Uganda; [Dee, Sylvia G.] Rice Univ, Dept Earth Environm &amp; Planetary Sci, Houston, TX 77005 USA</t>
  </si>
  <si>
    <t>Dartmouth College; Brown University; Victoria University Wellington; Makerere University; Rice University</t>
  </si>
  <si>
    <t>Doughty, AM (corresponding author), Dartmouth Coll, Dept Earth Sci, HB6105 Fairchild Hall, Hanover, NH 03755 USA.</t>
  </si>
  <si>
    <t>alice.doughty@maine.edu</t>
  </si>
  <si>
    <t>Neukom Institute at Dartmouth College; National Science Foundation [EAR-1702319, 1702293]; Comer Science and Education Foundation [CP103, GSSF13]; National Geographic Society [8886 -11]; Ugandan Wildlife Authority; Ugandan National Council on Science and Technology [UWA/TDO/33/02, NS395, 151]; Directorate For Geosciences; Division Of Earth Sciences [1702293] Funding Source: National Science Foundation</t>
  </si>
  <si>
    <t>Neukom Institute at Dartmouth College; National Science Foundation(National Science Foundation (NSF)); Comer Science and Education Foundation; National Geographic Society(National Geographic Society); Ugandan Wildlife Authority; Ugandan National Council on Science and Technology; Directorate For Geosciences; Division Of Earth Sciences(National Science Foundation (NSF)NSF - Directorate for Geosciences (GEO))</t>
  </si>
  <si>
    <t>We thank the Neukom Institute at Dartmouth College, and acknowledge grants from the National Science Foundation (EAR-1702319 and 1702293), the Comer Science and Education Foundation (CP103 and GSSF13), and the National Geographic Society (8886 -11) for funding. We thank S. Loomis for access to the published branched glycerol dialkyl glycerol tetraether (brGDGT) temperature data. We are grateful for field assistance by Rwenzori Trekking Services and Rwenzori Mountaineering Services, and the support of the Ugandan Wildlife Authority and the Ugandan National Council on Science and Technology (research permit numbers UWA/TDO/33/02, NS395, and Material Transfer Agreement 151).</t>
  </si>
  <si>
    <t>GEOLOGICAL SOC AMER INC</t>
  </si>
  <si>
    <t>BOULDER</t>
  </si>
  <si>
    <t>3300 PENROSE PL, PO BOX 9140, BOULDER, CO 80301 USA</t>
  </si>
  <si>
    <t>0072-1077</t>
  </si>
  <si>
    <t>978-0-8137-2548-2; 978-0-8137-9548-5</t>
  </si>
  <si>
    <t>GEOL SOC AM SPEC PAP</t>
  </si>
  <si>
    <t>10.1130/2020.2548(09)</t>
  </si>
  <si>
    <t>Geography, Physical; Geology; Geosciences, Multidisciplinary</t>
  </si>
  <si>
    <t>BT6EI</t>
  </si>
  <si>
    <t>WOS:000841135900011</t>
  </si>
  <si>
    <t>Hawkins, JD; Lok, LB; Brennan, PV; Nicholls, KW</t>
  </si>
  <si>
    <t>IEEE</t>
  </si>
  <si>
    <t>Hawkins, J. D.; Lok, L. B.; Brennan, P., V; Nicholls, K. W.</t>
  </si>
  <si>
    <t>Towards a Field-Ready HF-VHF Ground-Based Ice Penetrating Synthetic Aperture Radar: Forward Modelling and Validation for SAR Imaging</t>
  </si>
  <si>
    <t>2021 18TH EUROPEAN RADAR CONFERENCE (EURAD)</t>
  </si>
  <si>
    <t>European Radar Conference EuRAD</t>
  </si>
  <si>
    <t>18th European Radar Conference (EuRAD) / European Microwave Week (EuMW)</t>
  </si>
  <si>
    <t>APR 02-07, 2022</t>
  </si>
  <si>
    <t>London, ENGLAND</t>
  </si>
  <si>
    <t>ice-penetrating radar; SAR; forward modelling</t>
  </si>
  <si>
    <t>A ray-based 2D modelling approach is proposed to reduce computation times involved in the forward-modelling of deramped frequency-modulated continuous wave (FMCW) radar signals for subglacial ice features. The model generation procedure and link-budget are described, prior to validation and benchmarking of the ray-based approach using a commercial 3D FDTD simulator. The proposed model results in a reduced computation time of three orders of magnitude per range profile, for comparable power and phase outputs. This provides a highly efficient numerical method for investigating subglacial ice structures with more realistic sizes and features.</t>
  </si>
  <si>
    <t>[Hawkins, J. D.; Lok, L. B.; Brennan, P., V] UCL, Dept Elect &amp; Elect Engn, Radar Grp, London, England; [Nicholls, K. W.] British Antarctic Survey, Cambridge, England</t>
  </si>
  <si>
    <t>University of London; University College London; UK Research &amp; Innovation (UKRI); Natural Environment Research Council (NERC); NERC British Antarctic Survey</t>
  </si>
  <si>
    <t>Hawkins, JD (corresponding author), UCL, Dept Elect &amp; Elect Engn, Radar Grp, London, England.</t>
  </si>
  <si>
    <t>jonathanhawkins17@ucl.ac.uk</t>
  </si>
  <si>
    <t>Hawkins, Jonathan/ACM-6983-2022</t>
  </si>
  <si>
    <t>Royal Society Research Fellows Enhancement Award [RGF\EA\180173]</t>
  </si>
  <si>
    <t>Royal Society Research Fellows Enhancement Award(Royal Society)</t>
  </si>
  <si>
    <t>This work is supported by the Royal Society Research Fellows Enhancement Award RGF\EA\180173.</t>
  </si>
  <si>
    <t>345 E 47TH ST, NEW YORK, NY 10017 USA</t>
  </si>
  <si>
    <t>978-2-87487-065-1</t>
  </si>
  <si>
    <t>EUROP RADAR CONF</t>
  </si>
  <si>
    <t>Engineering, Electrical &amp; Electronic; Remote Sensing; Telecommunications</t>
  </si>
  <si>
    <t>Engineering; Remote Sensing; Telecommunications</t>
  </si>
  <si>
    <t>BT5VY</t>
  </si>
  <si>
    <t>WOS:000838709300097</t>
  </si>
  <si>
    <t>B</t>
  </si>
  <si>
    <t>Moriarty, S</t>
  </si>
  <si>
    <t>Moriarty, Sinead</t>
  </si>
  <si>
    <t>Antarctic Whaling Literature for Children</t>
  </si>
  <si>
    <t>ANTARCTICA IN BRITISH CHILDREN'S LITERATURE</t>
  </si>
  <si>
    <t>Childrens Literature and Culture</t>
  </si>
  <si>
    <t>[Moriarty, Sinead] Trinity Coll Dublin, Sch English, Childrens Literature, Dublin, Ireland</t>
  </si>
  <si>
    <t>Trinity College Dublin</t>
  </si>
  <si>
    <t>Moriarty, S (corresponding author), Trinity Coll Dublin, Sch English, Childrens Literature, Dublin, Ireland.</t>
  </si>
  <si>
    <t>ROUTLEDGE</t>
  </si>
  <si>
    <t>2 PARK SQ, MILTON PARK, ABINGDON OX14 4RN, OXFORD, ENGLAND</t>
  </si>
  <si>
    <t>978-1-003-04575-5; 978-0-367-49325-7</t>
  </si>
  <si>
    <t>CHILD LIT CULT</t>
  </si>
  <si>
    <t>Cultural Studies; Literary Theory &amp; Criticism; Literature</t>
  </si>
  <si>
    <t>Book Citation Index – Social Sciences &amp; Humanities (BKCI-SSH)</t>
  </si>
  <si>
    <t>Cultural Studies; Literature</t>
  </si>
  <si>
    <t>BT4DM</t>
  </si>
  <si>
    <t>WOS:000828176500006</t>
  </si>
  <si>
    <t>Alvarez, M; Bello, AB; Raposo, J; Miranda, M</t>
  </si>
  <si>
    <t>Rocha, A; Goncalves, R; Penalvo, FG; Martins, J</t>
  </si>
  <si>
    <t>Alvarez, Marina; Bello, Ana Belen; Raposo, Javier; Miranda, Monica</t>
  </si>
  <si>
    <t>Drones in Antarctica Living Island Glaciers Case Study</t>
  </si>
  <si>
    <t>PROCEEDINGS OF 2021 16TH IBERIAN CONFERENCE ON INFORMATION SYSTEMS AND TECHNOLOGIES (CISTI'2021)</t>
  </si>
  <si>
    <t>Iberian Conference on Information Systems and Technologies</t>
  </si>
  <si>
    <t>Spanish</t>
  </si>
  <si>
    <t>16th Iberian Conference on Information Systems and Technologies (CISTI)</t>
  </si>
  <si>
    <t>JUN 23-26, 2021</t>
  </si>
  <si>
    <t>Antarctica; UAS; DSM; SDI; WMS</t>
  </si>
  <si>
    <t>For the study of glacier thermo-mechanics models, the precise definition of the glacier geometry is required. It was thought in a solution from aerial photogrammetry with drones. The purpose is the capture of data in extreme climatological environments, for the precise obtaining three-dimensional Digital Surface Models of glaciers (DSM). These models will be the base for glaciology studies. The distinctiveness of this work lies in the fact that it was the first time that drones were used in the Spanish Antarctic area and the need to adapt the conventional methodology to an environment of extreme weather conditions. This methodology was applied to a real case, the Johnsons and Hurd glaciers, on Livingston Island. The results were compared with other data obtained from the same glacier by other techniques, which allowed to validate the reliability of the methodology used and will be published through Web services (WMS) in a prototype of a Spatial Data Infrastructure (SDI) of the Spanish Antarctica.</t>
  </si>
  <si>
    <t>[Alvarez, Marina; Bello, Ana Belen] Univ Politecn Madrid, Dept Lenguajes &amp; Sistemas Informat &amp; Ingn Softwar, ETS Ingn Informat, Madrid, Spain; [Raposo, Javier; Miranda, Monica] UPM, Dept Ideac Graf Arquitecton, ETS Arquitectura, Madrid, Spain</t>
  </si>
  <si>
    <t>University of Sevilla; Universidad Politecnica de Madrid; Universidad Politecnica de Madrid</t>
  </si>
  <si>
    <t>Alvarez, M (corresponding author), Univ Politecn Madrid, Dept Lenguajes &amp; Sistemas Informat &amp; Ingn Softwar, ETS Ingn Informat, Madrid, Spain.</t>
  </si>
  <si>
    <t>marina.alvarez@upm.es; anabelen.bello@upm.es; javierfrancisco.raposo@upm.es; m.miranda@alumnos.upm.es</t>
  </si>
  <si>
    <t>Álvarez-Alonso, Marina/AEA-3444-2022</t>
  </si>
  <si>
    <t>2166-0727</t>
  </si>
  <si>
    <t>978-989-54659-1-0</t>
  </si>
  <si>
    <t>IBER CONF INF SYST</t>
  </si>
  <si>
    <t>Computer Science, Information Systems</t>
  </si>
  <si>
    <t>Computer Science</t>
  </si>
  <si>
    <t>BT3XM</t>
  </si>
  <si>
    <t>WOS:000824588500185</t>
  </si>
  <si>
    <t>Traversa, G; Zappetti, M; Senese, A</t>
  </si>
  <si>
    <t>Traversa, Giacomo; Zappetti, Marta; Senese, Antonella</t>
  </si>
  <si>
    <t>QUATERNARY PHYSICAL AND DYNAMIC GEOGRAPHY</t>
  </si>
  <si>
    <t>GEOGRAFIA FISICA E DINAMICA QUATERNARIA</t>
  </si>
  <si>
    <t>Blue ice areas; Antarctica; Amery Ice Shelf; Albedo</t>
  </si>
  <si>
    <t>AMERY ICE SHELF; SURFACE MASS-BALANCE; BLUE-ICE; ANTARCTIC ICE; MAUD-LAND; ETM PLUS; SNOW; CLIMATE; AREAS; SHEET</t>
  </si>
  <si>
    <t>TRAvERsA G., ZAppETTi M., sENEsE A., Spring and Sum -mer Spatial Evolution of Blue Ice Areas in Antarctica. (IT ISSN 0391-9838, 2021). Blue ice areas (BIAs) are relevant ablation surfaces present on the Antarctic continent, mainly located in proximity of the coast or moun-tainous zones, in sloping areas. Featuring negative values of surface mass balance, in a continent where this parameter is averagely positive, their study gains of importance, in particular regarding their evolution in time and space and the reasons of their variations. Therefore, taking advan-tage of remote sensing techniques and satellite products, we analysed the intra-annual BIA variation in 2000-2021 spring-summer periods. Basing the detection on topographic slope and albedo values from MCD43A3 product of Moderate Resolution Imaging Spectroradiometer (MODIS), trends are detected for all the analysed seasons, showing a steady and significant increase from the spring to the summer and only in half of the cases a final decrease in early autumn. Comparing these areal patterns with meteorological parameters (i.e., air temperature and wind speed) acquired by an automatic weather station located on the Amery Ice Shelf (Eastern Antarctica), a relation between positive temperatures and BIA increase was found (R = 0.60), possibly due to snow melting or sublima-tion processes, which expose the beneath bare blue ice. In addition, weak relations between area increase and high and steady wind speed condi-tions are detected. Finally, the areal decrease in early autumn observed in a certain number of seasons could be explained with intense phenom-ena of melting, as a result of continuing days of positive air temperatures, which lead to the formation of drainage systems, or with extreme solid precipitation events. In both the cases, water and snow cover the BIAs, making them impossible to be detected from remote techniques.</t>
  </si>
  <si>
    <t>[Traversa, Giacomo] Univ Siena, Dept Phys Sci Earth &amp; Environm, Siena, Italy; [Traversa, Giacomo; Zappetti, Marta; Senese, Antonella] Univ Milan, Dept Environm Sci &amp; Policy, Milan, Italy</t>
  </si>
  <si>
    <t>University of Siena; University of Milan</t>
  </si>
  <si>
    <t>Traversa, G (corresponding author), Univ Siena, Dept Phys Sci Earth &amp; Environm, Siena, Italy.;Traversa, G (corresponding author), Univ Milan, Dept Environm Sci &amp; Policy, Milan, Italy.</t>
  </si>
  <si>
    <t>giacomo.traversa@student.unisi.it</t>
  </si>
  <si>
    <t>Senese, Antonella/AFN-4831-2022; Traversa, Giacomo/HPC-6524-2023</t>
  </si>
  <si>
    <t>Senese, Antonella/0000-0001-7190-3272; Traversa, Giacomo/0000-0003-3108-887X</t>
  </si>
  <si>
    <t>COMITATO GLACIOLOGICO ITALIANO</t>
  </si>
  <si>
    <t>TORINO</t>
  </si>
  <si>
    <t>VIA VALPERGA CALUSO 35, TORINO, 10125, ITALY</t>
  </si>
  <si>
    <t>0391-9838</t>
  </si>
  <si>
    <t>1724-4781</t>
  </si>
  <si>
    <t>GEOGR FIS DIN QUAT</t>
  </si>
  <si>
    <t>Geogr. Fis. Din. Quat.</t>
  </si>
  <si>
    <t>10.4461/GFDQ.2021.44.7</t>
  </si>
  <si>
    <t>Geography, Physical</t>
  </si>
  <si>
    <t>Physical Geography</t>
  </si>
  <si>
    <t>2N8RN</t>
  </si>
  <si>
    <t>WOS:000818640600006</t>
  </si>
  <si>
    <t>Fogwill, GP; Pelle, P; Asmi, E</t>
  </si>
  <si>
    <t>Perez Fogwill, German; Pelle, Patricia; Asmi, Eija</t>
  </si>
  <si>
    <t>Identification of New Particle Formation Events With Hidden Markov Models</t>
  </si>
  <si>
    <t>2021 XIX WORKSHOP ON INFORMATION PROCESSING AND CONTROL (RPIC)</t>
  </si>
  <si>
    <t>19th Workshop on Information Processing and Control (RPIC)</t>
  </si>
  <si>
    <t>NOV 03-05, 2021</t>
  </si>
  <si>
    <t>ARGENTINA</t>
  </si>
  <si>
    <t>Atmospheric measurements; Markov processes; Aerosols</t>
  </si>
  <si>
    <t>NUCLEATION; GROWTH</t>
  </si>
  <si>
    <t>Formation of new particles in the atmosphere is a phenomenon of great importance in the Earth's climate system. To study this phenomenon, number concentration of particles of various sizes (even nanometric) must be measured over long periods of time. Traditionally the analysis of the data requires a manual visual inspection of the records following pre-established protocols. A critical step in the analysis of the measurements is to detect those moments where the new particle formation (NPF) events actually occurred. In addition, the number of formed new particles and their particle dynamics are typically investigated and quantified. Manual analysis of the measurements makes the obtained results strongly subjective, even if the established protocols are strictly followed. Therefore, obtained results, such as the frequency of occurrence of such events, or the average new particle formation rate, can be highly variable. To decrease these uncertainties, we have developed a new methodology to automatize the NPF analysis. In this work, we present a system based on Hidden Markov Models (HMM) to automatically detect in long data series the instants where a NPF event occurs. We show that the HMM can be used to detect NPF event in an objective and effective way, with low complexity either to create the automatic classification system or to use it.</t>
  </si>
  <si>
    <t>[Perez Fogwill, German] Univ Buenos Aires, Fac Ingn, Buenos Aires, DF, Argentina; [Perez Fogwill, German; Pelle, Patricia] Serv Meteorol Nacl, Buenos Aires, DF, Argentina; [Asmi, Eija] Finnish Meteorol Inst, Helsinki, Finland</t>
  </si>
  <si>
    <t>University of Buenos Aires; Finnish Meteorological Institute</t>
  </si>
  <si>
    <t>Fogwill, GP (corresponding author), Univ Buenos Aires, Fac Ingn, Buenos Aires, DF, Argentina.;Fogwill, GP (corresponding author), Serv Meteorol Nacl, Buenos Aires, DF, Argentina.</t>
  </si>
  <si>
    <t>gfogwill@smn.gov.ar; ppelle@fi.uba.ar; easmi@fmi.fi</t>
  </si>
  <si>
    <t>Asmi, Eija/0000-0002-9226-2360</t>
  </si>
  <si>
    <t>Academy of Finland [335845]; Academy of Finland (AKA) [335845] Funding Source: Academy of Finland (AKA)</t>
  </si>
  <si>
    <t>Academy of Finland(Research Council of Finland); Academy of Finland (AKA)(Research Council of Finland)</t>
  </si>
  <si>
    <t>This work is part of the Argentine-Finnish meteorological cooperation under the bilateral agreement between Servicio Meteorologico Nacional (Argentina) and Finnish Meteorological Institute. This work was supported by the Academy of Finland (project number 335845). The authors would like to thank all the laboratory operators of Marambio Antarctic Station. In addition, we are grateful to Pasi P. Aalto, from the University of Helsinki, for the construction of the measurement system with which the observations used in this work were collected. We are grateful of the logistic support received from the Finnish Antarctic Research Program (FINNARP) and from the Argentinean Air Force, which were highly valuable for the project.</t>
  </si>
  <si>
    <t>978-1-6654-1436-4</t>
  </si>
  <si>
    <t>10.1109/RPIC53795.2021.9648466</t>
  </si>
  <si>
    <t>BT1ST</t>
  </si>
  <si>
    <t>WOS:000802215900036</t>
  </si>
  <si>
    <t>Kabanov, DM; Makarov, VI; Pol'kin, VV; Popova, SA; Radionov, VF; Sakerin, SM; Turchinovich, YS</t>
  </si>
  <si>
    <t>Matvienko, GG; Romanovskii, OA</t>
  </si>
  <si>
    <t>Kabanov, Dmitry M.; Makarov, Valery, I; Pol'kin, Viktor V.; Popova, Svetlana A.; Radionov, Vladimir F.; Sakerin, Sergey M.; Turchinovich, Yuri S.</t>
  </si>
  <si>
    <t>Estimates of interrelations in variations of aerosol characteristics in high-latitude regions of ocean</t>
  </si>
  <si>
    <t>27TH INTERNATIONAL SYMPOSIUM ON ATMOSPHERIC AND OCEAN OPTICS, ATMOSPHERIC PHYSICS</t>
  </si>
  <si>
    <t>Proceedings of SPIE</t>
  </si>
  <si>
    <t>27th International Symposium on Atmospheric and Ocean Optics, Atmospheric Physics</t>
  </si>
  <si>
    <t>JUL 05-09, 2021</t>
  </si>
  <si>
    <t>Moscow, RUSSIA</t>
  </si>
  <si>
    <t>North Atlantic; Arctic Ocean; aerosol; black carbon; correlation</t>
  </si>
  <si>
    <t>BLACK CARBON; TIKSI STATION; SURFACE AIR</t>
  </si>
  <si>
    <t>The results of multiyear aerosol studies during ten marine expeditions in the North Atlantic and the Arctic Ocean are used to analyze the interrelations in variations of related aerosol characteristics: volumes of particles in fine and coarse fractions, mass concentrations of black carbon, contents of organic and elemental carbons in aerosol samples, and aerosol optical depth of the atmosphere. The main factors, influencing the correlations between aerosol characteristics in high-latitude regions of ocean, are discussed.</t>
  </si>
  <si>
    <t>[Kabanov, Dmitry M.; Pol'kin, Viktor V.; Sakerin, Sergey M.; Turchinovich, Yuri S.] Russian Acad Sci, Siberian Branch, VE Zuev Inst Atmospher Opt, Academician Zuev Sq 1, Tomsk 634021, Russia; [Makarov, Valery, I; Popova, Svetlana A.] Voevodsky Inst Chem Kinet &amp; Combust, Novosibirsk 630090, Russia; [Radionov, Vladimir F.] Arctic &amp; Antarctic Res Inst, 38 Bering Str, St Petersburg 199397, Russia</t>
  </si>
  <si>
    <t>Zuev Institute of Atmospheric Optics, Siberian Branch of the Russian Academy of Sciences; Russian Academy of Sciences; Voevodsky Institute of Chemical Kinetics &amp; Combustion SB RAS; Arctic &amp; Antarctic Research Institute</t>
  </si>
  <si>
    <t>Kabanov, DM (corresponding author), Russian Acad Sci, Siberian Branch, VE Zuev Inst Atmospher Opt, Academician Zuev Sq 1, Tomsk 634021, Russia.</t>
  </si>
  <si>
    <t>dkab@iao.ru</t>
  </si>
  <si>
    <t>Sakerin, Sergey/A-6508-2014; Kabanov, Dmitry M./A-5805-2014; Kabanov, Dmitry/A-4871-2014</t>
  </si>
  <si>
    <t>Russian Science Foundation [21-77-20025]; Ministry of Education and Science of Russia [075-15-2021-661]; Russian Science Foundation [21-77-20025] Funding Source: Russian Science Foundation</t>
  </si>
  <si>
    <t>Russian Science Foundation(Russian Science Foundation (RSF)); Ministry of Education and Science of Russia(Ministry of Education and Science, Russian Federation); Russian Science Foundation(Russian Science Foundation (RSF))</t>
  </si>
  <si>
    <t>This analysis was supported by the Russian Science Foundation (Grant No. 21-77-20025). The AOT data were obtained using techniques and equipment of Center for Collective Use Atmosphere with partial financial support from the Ministry of Education and Science of Russia (Agreement No. 075-15-2021-661), preliminary data processing -within the framework of the state assignment of the IAO SB RAS.</t>
  </si>
  <si>
    <t>SPIE-INT SOC OPTICAL ENGINEERING</t>
  </si>
  <si>
    <t>BELLINGHAM</t>
  </si>
  <si>
    <t>1000 20TH ST, PO BOX 10, BELLINGHAM, WA 98227-0010 USA</t>
  </si>
  <si>
    <t>0277-786X</t>
  </si>
  <si>
    <t>1996-756X</t>
  </si>
  <si>
    <t>978-1-5106-4698-8; 978-1-5106-4697-1</t>
  </si>
  <si>
    <t>PROC SPIE</t>
  </si>
  <si>
    <t>119162K</t>
  </si>
  <si>
    <t>10.1117/12.2602107</t>
  </si>
  <si>
    <t>Meteorology &amp; Atmospheric Sciences; Optics; Physics, Applied</t>
  </si>
  <si>
    <t>Meteorology &amp; Atmospheric Sciences; Optics; Physics</t>
  </si>
  <si>
    <t>BT1FF</t>
  </si>
  <si>
    <t>WOS:000797340000091</t>
  </si>
  <si>
    <t>Kabanov, DM; Kruglinsky, IA; Radionov, VF; Ryabkov, GE; Sakerin, SM</t>
  </si>
  <si>
    <t>Kabanov, Dmitry M.; Kruglinsky, Ivan A.; Radionov, Vladimir F.; Ryabkov, Grigory E.; Sakerin, Sergey M.</t>
  </si>
  <si>
    <t>Inter-annual variations of the aerosol optical depth of the atmosphere at the Mirny Antarctic observatory</t>
  </si>
  <si>
    <t>Antarctic; aerosol optical depth; inter-annual variations</t>
  </si>
  <si>
    <t>WATER-VAPOR</t>
  </si>
  <si>
    <t>The results of 25-year measurements of the aerosol optical depth of the atmosphere (AOD) at Mirny observatory (Antarctica) are discussed. It is shown that the annual average AOD values in 1996 - 2020 are characterized by statistically significant oscillation with a period of 5 years. The AOT variability is compared with the Antarctic oscillation index and the frequency of occurrence of the three main types of atmospheric circulation in the South Polar Region.</t>
  </si>
  <si>
    <t>[Kabanov, Dmitry M.; Kruglinsky, Ivan A.; Sakerin, Sergey M.] Russian Acad Sci, Siberian Branch, VE Zuev Inst Atmospher Opt, Academician Zuev Sq 1, Tomsk 634055, Russia; [Radionov, Vladimir F.; Ryabkov, Grigory E.] Arctic &amp; Antarctic Res Inst, 38 Bering Str, St Petersburg 199397, Russia</t>
  </si>
  <si>
    <t>Zuev Institute of Atmospheric Optics, Siberian Branch of the Russian Academy of Sciences; Russian Academy of Sciences; Arctic &amp; Antarctic Research Institute</t>
  </si>
  <si>
    <t>Kabanov, DM (corresponding author), Russian Acad Sci, Siberian Branch, VE Zuev Inst Atmospher Opt, Academician Zuev Sq 1, Tomsk 634055, Russia.</t>
  </si>
  <si>
    <t>Radionov, Vladimir F./O-3038-2017; Sakerin, Sergey/A-6508-2014; Kabanov, Dmitry/A-4871-2014; Kabanov, Dmitry M./A-5805-2014</t>
  </si>
  <si>
    <t>Ministry of Science and Higher Education of the Russian Federation (V.E. Zuev Institute of Atmospheric Optics of Siberian Branch of the Russian Academy of Sciences); Ministry of Education and Science of Russia [075-15-2021-661]</t>
  </si>
  <si>
    <t>Ministry of Science and Higher Education of the Russian Federation (V.E. Zuev Institute of Atmospheric Optics of Siberian Branch of the Russian Academy of Sciences); Ministry of Education and Science of Russia(Ministry of Education and Science, Russian Federation)</t>
  </si>
  <si>
    <t>This work was supported by the Ministry of Science and Higher Education of the Russian Federation (V.E. Zuev Institute of Atmospheric Optics of Siberian Branch of the Russian Academy of Sciences). The measurement results were processed using techniques and equipment of Center for Collective Use Atmosphere with partial financial support from the Ministry of Education and Science of Russia (Agreement No. 075-15-2021-661).</t>
  </si>
  <si>
    <t>119162M</t>
  </si>
  <si>
    <t>10.1117/12.2602124</t>
  </si>
  <si>
    <t>WOS:000797340000093</t>
  </si>
  <si>
    <t>Khuriganova, OI; Loskutova, MA; Rize, DD; Onischuk, NA; Khodzher, TV; Shikhovtsev, MY; Golobokova, LP</t>
  </si>
  <si>
    <t>Khuriganova, Olga, I; Loskutova, Marina A.; Rize, Denis D.; Onischuk, Natalia A.; Khodzher, Tamara, V; Shikhovtsev, Maxim Yu; Golobokova, Liudmila P.</t>
  </si>
  <si>
    <t>Variability of aerosol elemental composition in the atmosphere at Ice Base Baranov Cape: 2017-2019 results</t>
  </si>
  <si>
    <t>atmospheric aerosol; elements; enrichment coefficient</t>
  </si>
  <si>
    <t>CHEMICAL-COMPOSITION; NY-ALESUND; TRENDS</t>
  </si>
  <si>
    <t>The elemental composition of aerosol in the atmosphere of the research station Ice Base Baranov Cape based on 2017-2020 measurements was studied. The elements, most prevalent in the earth's crust, dominate in the composition of aerosol. The seasonal and annual variability of the concentrations of elements in the composition of aerosol is shown. During the summer and spring periods, the concentrations of Li, Cd, As, V, Cj, Sb, Sn, Se, Pb, B, Tl, U, Be, Th, Ag, and W increase multiple times.</t>
  </si>
  <si>
    <t>[Khuriganova, Olga, I; Onischuk, Natalia A.; Khodzher, Tamara, V; Shikhovtsev, Maxim Yu; Golobokova, Liudmila P.] Limnol Inst SB RAS, Irkutsk, Russia; [Loskutova, Marina A.; Rize, Denis D.] Arctic &amp; Antarctic Res Inst, St Petersburg, Russia</t>
  </si>
  <si>
    <t>Russian Academy of Sciences; Irkutsk Science Centre of the Russian Academy of Sciences; Limnological Institute SB RAS; Arctic &amp; Antarctic Research Institute</t>
  </si>
  <si>
    <t>Khuriganova, OI (corresponding author), Limnol Inst SB RAS, Irkutsk, Russia.</t>
  </si>
  <si>
    <t>khuriganowa@mail.ru</t>
  </si>
  <si>
    <t>Loskutova, Marina/JNS-4477-2023</t>
  </si>
  <si>
    <t>Maxim, Shikhovtsev/0000-0002-7177-907X</t>
  </si>
  <si>
    <t>Russian Science Foundation (RSF) [21-77-20025]; Russian Science Foundation [21-77-20025] Funding Source: Russian Science Foundation</t>
  </si>
  <si>
    <t>Russian Science Foundation (RSF)(Russian Science Foundation (RSF)); Russian Science Foundation(Russian Science Foundation (RSF))</t>
  </si>
  <si>
    <t>This study was supported by the project of the Russian Science Foundation (RSF) No.21-77-20025 Atmospheric aerosol in the high-latitudes regions of world ocean: physical-chemical composition, geographical distribution, main sources and variability factors. The research was carried out using Shared Research Facilities for Physical and Chemical Ultramicroanalysis LIN SB RAS.</t>
  </si>
  <si>
    <t>10.1117/12.2601987</t>
  </si>
  <si>
    <t>WOS:000797340000183</t>
  </si>
  <si>
    <t>Mayboroda, SA; Kazakov, SI; Metik-Diyunova, VV; Boguslavsky, AS</t>
  </si>
  <si>
    <t>Mayboroda, S. A.; Kazakov, S., I; Metik-Diyunova, V. V.; Boguslavsky, A. S.</t>
  </si>
  <si>
    <t>Tendencies of long-term variations in ozone content and UV radiation by observation data at different latitudes</t>
  </si>
  <si>
    <t>atmosphere; total ozone; UV radiation; trends; Antarctic ozone anomaly; Arctic zone; equatorial zone; Black Sea coasts</t>
  </si>
  <si>
    <t>Long-term and seasonal variability has been investigated and trends in the change in the total atmospheric ozone and ultraviolet radiation have been revealed according to the data of observation stations at different latitudes: Arctic polar (Alert), Antarctic polar (Palmer), equatorial zone of the Northern hemisphere (Paramaribo), middle latitudes at the South coast of Crimea (Katsiveli), and the closest Turkish coast across the Black Sea (Samsun). The ecologically negative trends of TO decrease and UV increase in the Arctic are revealed. In Antarctica, there are ecologically positive trends in TO increase and UV decrease, however, during 2019, 2020, TO decreases, and UV increases. In the equatorial zone of the Northern Hemisphere, there is no noticeable increase or decrease in TO. On the South coast of Crimea, an insignificant but ecologically positive trend of TO increase is revealed, which should contribute to a decrease in UV. In contrast to the South coast of Crimea, on the Turkish coast, there is a downward trend in TO, probably due to the prevailing opposite directions of the atmospheric circulation flows over the central northern and southern coasts of the Azov-Black Sea basin.</t>
  </si>
  <si>
    <t>[Mayboroda, S. A.; Kazakov, S., I; Metik-Diyunova, V. V.; Boguslavsky, A. S.] Russian Acad Sci, Marine Hydrophys Inst, 2 Kapitanskaya St, Sevastopol 299011, Russia</t>
  </si>
  <si>
    <t>Russian Academy of Sciences; Marine Hydrophysical Institute of RAS</t>
  </si>
  <si>
    <t>Mayboroda, SA (corresponding author), Russian Acad Sci, Marine Hydrophys Inst, 2 Kapitanskaya St, Sevastopol 299011, Russia.</t>
  </si>
  <si>
    <t>Kazakov, Sergey/K-2344-2018; Metik-Diyunova, Vitaliya Валериевна/HKV-8333-2023</t>
  </si>
  <si>
    <t>Kazakov, Sergey/0000-0002-7053-0002; Metik-Diyunova, Vitaliya Валериевна/0000-0001-7616-0965; Mayboroda, Sergey/0000-0002-6528-9971</t>
  </si>
  <si>
    <t>State Assignment of Marine Hydrophysical Institute of Russian Academy of Sciences [0555-2021-0005]</t>
  </si>
  <si>
    <t>State Assignment of Marine Hydrophysical Institute of Russian Academy of Sciences</t>
  </si>
  <si>
    <t>The work was carried out within the framework of the Scientific Research Theme No 0555-2021-0005, State Assignment of Marine Hydrophysical Institute of Russian Academy of Sciences.</t>
  </si>
  <si>
    <t>119167F</t>
  </si>
  <si>
    <t>10.1117/12.2602881</t>
  </si>
  <si>
    <t>WOS:000797340000266</t>
  </si>
  <si>
    <t>Popova, SA; Kalashnikova, DA; Turchinovich, YS; Sidorova, OR; Makarov, VI; Radionov, VF</t>
  </si>
  <si>
    <t>Popova, Svetlana A.; Kalashnikova, Daria A.; Turchinovich, Yuri S.; Sidorova, Olga R.; Makarov, Valery, I; Radionov, Vladimir F.</t>
  </si>
  <si>
    <t>Variations in the concentrations of elements, carbon-containing particles and in carbon isotope composition in the Arctic aerosols at the Ice Base Cape Baranov</t>
  </si>
  <si>
    <t>elemental composition; organic carbon; elemental carbon; carbon isotope composition (delta C-13); Severnaya Zemlya</t>
  </si>
  <si>
    <t>BLACK CARBON; TRACE-ELEMENTS</t>
  </si>
  <si>
    <t>The results of experimental studies are presented on the variability of mass concentration of organic and element carbon, of carbon isotope composition, and of elemental content in aerosol composition at the polar station Cape Baranov (the Severnaya Zemlya archipelago) in 2018. Statistical and comparative analysis of expeditionary data, together with the backward air mass trajectories analysis, makes it possible to estimate the degree of Arctic aerosol pollution, and the role of natural and anthropogenic sources in the formation of high latitude aerosol substances.</t>
  </si>
  <si>
    <t>[Popova, Svetlana A.; Makarov, Valery, I] SB RAS, Voevodsky Inst Chem Kinet &amp; Combust, 3 Inst Skaya Str, Novosibirsk 630090, Russia; [Kalashnikova, Daria A.] SB RAS, Inst Monitoring Climat &amp; Ecol Syst, 10-3 Acad Sky Ave, Tomsk 634055, Russia; [Turchinovich, Yuri S.] VE Zuev Inst Atmospher Opt SB RAS, 1 Academician Zuev Sq, Tomsk 634055, Russia; [Sidorova, Olga R.; Radionov, Vladimir F.] Arctic &amp; Antarctic Res Inst, 38 Bering Str, St Petersburg 199397, Russia</t>
  </si>
  <si>
    <t>Russian Academy of Sciences; Voevodsky Institute of Chemical Kinetics &amp; Combustion SB RAS; Russian Academy of Sciences; Institute of Monitoring of Climatic &amp; Ecological Systems of the Siberian Branch of the RAS; Zuev Institute of Atmospheric Optics, Siberian Branch of the Russian Academy of Sciences; Russian Academy of Sciences; Arctic &amp; Antarctic Research Institute</t>
  </si>
  <si>
    <t>Popova, SA (corresponding author), SB RAS, Voevodsky Inst Chem Kinet &amp; Combust, 3 Inst Skaya Str, Novosibirsk 630090, Russia.</t>
  </si>
  <si>
    <t>popova@kinetics.nsc.ru</t>
  </si>
  <si>
    <t>Kalashnikova, Daria/KDN-0449-2024</t>
  </si>
  <si>
    <t>Russian Scientific Foundation [RFMEFI62119X0022]; [21-77-20025]; Russian Science Foundation [21-77-20025] Funding Source: Russian Science Foundation</t>
  </si>
  <si>
    <t>Russian Scientific Foundation(Russian Science Foundation (RSF)); ; Russian Science Foundation(Russian Science Foundation (RSF))</t>
  </si>
  <si>
    <t>The work was done at the shared research center SSTRC on VEPP-4 - VEPP-2000 complex at BINP SB RAS, using equipment supported by project RFMEFI62119X0022.; The work was supported by the Russian Scientific Foundation. 21-77-20025.</t>
  </si>
  <si>
    <t>119162E</t>
  </si>
  <si>
    <t>10.1117/12.2601992</t>
  </si>
  <si>
    <t>WOS:000797340000085</t>
  </si>
  <si>
    <t>Zuev, VV; Savelieva, E; Borovko, IV; Krupchatnikov, VN</t>
  </si>
  <si>
    <t>Zuev, Vladimir V.; Savelieva, Ekaterina; Borovko, Irina, V; Krupchatnikov, Vladimir N.</t>
  </si>
  <si>
    <t>Influence of the subtropical stratosphere on the Antarctic polar vortex during spring 2019</t>
  </si>
  <si>
    <t>Antarctic polar vortex; subtropical stratospheric temperature; polar ozone depletion; eddy heat flux</t>
  </si>
  <si>
    <t>SOUTHERN-HEMISPHERE; WINTER; DEPLETION</t>
  </si>
  <si>
    <t>The stratospheric polar vortex strength in spring determines to a great extent the duration and intensity of ozone depletion in the polar regions. A temperature increase in the lower subtropical stratosphere in spring leads to an increase in the stratospheric equator-to-pole temperature gradient and the subsequent strengthening of the Antarctic polar vortex, accompanied by severe springtime ozone depletion. At the same time, the unusual weakening of the Antarctic polar vortex was observed in the spring of 2019. An abnormal temperature decrease in the lower subtropical stratosphere was recorded in the same time period and probably led to a decrease in the stratospheric equator-to-pole temperature gradient and the subsequent weakening of the polar vortex.</t>
  </si>
  <si>
    <t>[Zuev, Vladimir V.; Savelieva, Ekaterina] Russian Acad Sci, Siberian Branch, Inst Monitoring Climat &amp; Ecol Syst, 10-3 Acad Sky Ave, Tomsk 634055, Russia; [Borovko, Irina, V; Krupchatnikov, Vladimir N.] Russian Acad Sci, Siberian Branch, Inst Computat Math &amp; Math Geophys, 6 Ac Lavrentieva Ave, Novosibirsk 630090, Russia; [Krupchatnikov, Vladimir N.] Novosibirsk State Univ, 1 Pirogova St, Novosibirsk 630090, Russia</t>
  </si>
  <si>
    <t>Institute of Monitoring of Climatic &amp; Ecological Systems of the Siberian Branch of the RAS; Russian Academy of Sciences; Russian Academy of Sciences; Novosibirsk State University</t>
  </si>
  <si>
    <t>Krupchatnikov, VN (corresponding author), Russian Acad Sci, Siberian Branch, Inst Computat Math &amp; Math Geophys, 6 Ac Lavrentieva Ave, Novosibirsk 630090, Russia.;Krupchatnikov, VN (corresponding author), Novosibirsk State Univ, 1 Pirogova St, Novosibirsk 630090, Russia.</t>
  </si>
  <si>
    <t>vzuev@list.ru; esav.pv@gmail.com; irina.borovko@yandex.ru; vkrupchatnikov@yandex.ru</t>
  </si>
  <si>
    <t>Savelieva, Ekaterina/HCH-5908-2022; Savelieva, Ekaterina S/E-4782-2014; Zuev, Vladimir Vladimirovich/E-5470-2014</t>
  </si>
  <si>
    <t>Savelieva, Ekaterina S/0000-0002-6560-7386;</t>
  </si>
  <si>
    <t>Ministry of Science and Higher Education of the Russian Federation [121031300156-5, 0215-2021-0003]</t>
  </si>
  <si>
    <t>Ministry of Science and Higher Education of the Russian Federation</t>
  </si>
  <si>
    <t>This study was supported by the Ministry of Science and Higher Education of the Russian Federation (project No. 121031300156-5) and the budget project No. 0215-2021-0003 for ICMMG SB RAS.</t>
  </si>
  <si>
    <t>10.1117/12.2599029</t>
  </si>
  <si>
    <t>WOS:000797340000258</t>
  </si>
  <si>
    <t>Zabolotskikh, EV; Zhivotovskaya, MA; Balashova, E; Azarov, SM</t>
  </si>
  <si>
    <t>Zabolotskikh, E., V; Zhivotovskaya, M. A.; Balashova, E.; Azarov, S. M.</t>
  </si>
  <si>
    <t>Analysis of the MTVZA-GYa Microwave Imager/Sounder Measurements over the Arctic Sea Ice and Sea Water</t>
  </si>
  <si>
    <t>2021 PHOTONICS &amp; ELECTROMAGNETICS RESEARCH SYMPOSIUM (PIERS 2021)</t>
  </si>
  <si>
    <t>Photonics and Electromagnetics Research Symposium (PIERS)</t>
  </si>
  <si>
    <t>NOV 21-25, 2021</t>
  </si>
  <si>
    <t>Hangzhou, PEOPLES R CHINA</t>
  </si>
  <si>
    <t>GEOPHYSICAL MODEL; ALGORITHMS</t>
  </si>
  <si>
    <t>Variability of the sea ice vertically and horizontally polarized microwave radiation at four frequencies in winter 2020 is studied on the basis of the Russian satellite passive microwave instrument MTVZA-GYa measurements from the Meteor-M N2-2 satellite. Physical modeling of the microwave radiation transfer in the sea-ice-atmosphere system under non-scattering conditions is used to derive the brightness temperatures (BT) of the sea ice microwave radiation at 10.6, 18.7, 23.8 and 36.5 GHz from the MTVZA-GYa measured brightness and profiles of the atmospheric meteorological parameters. EraS re-analysis data on the profiles of the atmospheric meteorological parameters are explored in the calculations. The sea ice areas are selected on the basis of the sea ice maps of the Arctic and Antarctic Research Institute (AARI) and sea ice concentration data, derived from the AMSR2 measurements. EraS data on the sea ice temperature (SIT) are used to downscale the sea ice BTs to the sea ice emissivities at the four MTVZA-GYa frequencies on vertical and horizontal polarization. The time evolution of the sea ice emissivity values is studied for the predefined sea ice types, defined with the AARI sea ice maps.</t>
  </si>
  <si>
    <t>[Zabolotskikh, E., V; Zhivotovskaya, M. A.; Balashova, E.; Azarov, S. M.] Russian State Hydrometeorol Univ, Satellite Oceanog Lab, St Petersburg, Russia; [Zabolotskikh, E., V; Zhivotovskaya, M. A.; Balashova, E.; Azarov, S. M.] IFREMER, Dept Oceanog &amp; Ecosyst Dynam, Brest, France</t>
  </si>
  <si>
    <t>Russian State Hydrometeorological University; Ifremer</t>
  </si>
  <si>
    <t>Zabolotskikh, EV (corresponding author), Russian State Hydrometeorol Univ, Satellite Oceanog Lab, St Petersburg, Russia.;Zabolotskikh, EV (corresponding author), IFREMER, Dept Oceanog &amp; Ecosyst Dynam, Brest, France.</t>
  </si>
  <si>
    <t>Ministry of Science and Higher Education of Russia [0763-2020-0005]</t>
  </si>
  <si>
    <t>Ministry of Science and Higher Education of Russia</t>
  </si>
  <si>
    <t>The work under this project was supported by the Ministry of Science and Higher Education of Russia, State assignment 0763-2020-0005.</t>
  </si>
  <si>
    <t>978-1-7281-7247-7</t>
  </si>
  <si>
    <t>10.1109/PIERS53385.2021.9694876</t>
  </si>
  <si>
    <t>Engineering, Electrical &amp; Electronic</t>
  </si>
  <si>
    <t>BT0ZS</t>
  </si>
  <si>
    <t>WOS:000795902300336</t>
  </si>
  <si>
    <t>Liu, MJ; Zhang, X; Chen, P; Wang, J; Zhong, SL</t>
  </si>
  <si>
    <t>Liu, Meijie; Zhang, Xi; Chen, Ping; Wang, Jin; Zhong, Shilei</t>
  </si>
  <si>
    <t>Arctic Sea-ice Type Recognition Based on the Surface Wave Investigation and Monitoring Instrument of the China-French Ocean Satellite</t>
  </si>
  <si>
    <t>CLASSIFICATION; FEATURES; EXTENT</t>
  </si>
  <si>
    <t>The sea-ice type is the key parameter for Arctic sea-ice monitoring. Traditionally, Arctic sea-ice types are mainly identified based on the scatterometer, radiometer, and Synthetic Aperture Radar (SAR) with the medium-incidence angles (about 20 degrees-60 degrees). The Surface Wave Investigation and Monitoring instrument (SWIM) on the China-France Oceanography Satellite (CFOSAT), as a new type sensor with the low-incidence angles (0 degrees, 2 degrees, 4 degrees, 8 degrees, and 10 degrees), is different from traditional remote sensors. SWIM has the potential to recognize sea-ice types based on its echo signals and backscattering information, whereas relevant research is still under development. In this research, the sea-ice classification using the SWIM's observations of the low-incidence angles is studied. Firstly, the waveform features of the six low-incidence angles were extracted from the SWIM echoes from November 2019 to April 2020, including the maximum power (MAX), the backscattering power (BSP), the pulse peakiness (PP), the stack standard deviation (SSD), the leading-edge width (LEW), and the trailing-edge width (TEW). Secondly, the Euclidean distances among the sea-ice types (the first-year ice (FYI) and the multi-year ice (MYI)) and the open water (OW) are used to analyze the distinction of the three categories based on the waveform features in the incidence angles. Thirdly, the FYI, MYI, and OW are classified by the Support Vector Machine (SVM) using the waveform features, and the three kinds of kernel (Gaussian kernel, Linear kernel, and Polynomial kernel) for SVM are analyzed for their capabilities of sea-ice classification. Then, the classification results are compared with the ice charts of the Arctic and Antarctic Research Institute (AARI) to evaluate the classification accuracies. It is found that the accuracies of the waveform features in the low-incidence angles for the Gaussian kernel are the highest, and the accuracies of the Linear kernel are the lowest. It is revealed that the accuracies of all features in the different angles using Gaussian kernel is up to 77%. It is concluded that SWIM has the capacity for the sea-ice classification. In the future, our work will focus on the development of recognition methods based on more waveform features or feature sets to improve the accuracies of the sea-ice classification. This research will expand new horizons for the SWIM ocean detection application.</t>
  </si>
  <si>
    <t>[Liu, Meijie; Wang, Jin; Zhong, Shilei] Qingdao Univ, Coll Phys, Qingdao 266071, Peoples R China; [Zhang, Xi] Minist Nat Resources China, Inst Oceanog 1, Qingdao 266061, Peoples R China; [Chen, Ping] Huazhong Univ Sci &amp; Technol, Sch Elect Informat &amp; Commun, Wuhan 430074, Peoples R China</t>
  </si>
  <si>
    <t>Qingdao University; Ministry of Natural Resources of the People's Republic of China; Huazhong University of Science &amp; Technology</t>
  </si>
  <si>
    <t>Liu, MJ (corresponding author), Qingdao Univ, Coll Phys, Qingdao 266071, Peoples R China.</t>
  </si>
  <si>
    <t>Liu, Meijie/0000-0003-2478-8595</t>
  </si>
  <si>
    <t>National Natural Science Foundation of China [41976173, 41976168]; Shandong Provincial Natural Science Foundation, China [ZR2019MD016]; University-Industry Joint Center for Ocean Observation and Broadband Communication</t>
  </si>
  <si>
    <t>National Natural Science Foundation of China(National Natural Science Foundation of China (NSFC)); Shandong Provincial Natural Science Foundation, China(Natural Science Foundation of Shandong Province); University-Industry Joint Center for Ocean Observation and Broadband Communication</t>
  </si>
  <si>
    <t>The sea-ice classification was based on the SWIM data. The sea-ice charts were provided by the AARI. This work was supported by the National Natural Science Foundation of China (41976173), and the Shandong Provincial Natural Science Foundation, China (ZR2019MD016), the National Natural Science Foundation of China (41976168), and University-Industry Joint Center for Ocean Observation and Broadband Communication.</t>
  </si>
  <si>
    <t>10.1109/PIERS53385.2021.9695052</t>
  </si>
  <si>
    <t>WOS:000795902300390</t>
  </si>
  <si>
    <t>Geyer, A</t>
  </si>
  <si>
    <t>Geyer, A.</t>
  </si>
  <si>
    <t>Antarctic volcanism: active volcanism overview</t>
  </si>
  <si>
    <t>SOUTH SHETLAND ISLANDS; JAMES-ROSS-ISLAND; MARIE BYRD LAND; DECEPTION ISLAND; BRANSFIELD BASIN; MOUNT MELBOURNE; EREBUS VOLCANO; ICE-SHEET; SUBDUCTION HISTORY; TECTONIC EVOLUTION</t>
  </si>
  <si>
    <t>In the last two centuries, demographic expansion and extensive urbanization of volcanic areas have increased the exposure of our society to volcanic hazards. Antarctica is no exception. During the last decades, the permanent settlement and seasonal presence of scientists, technicians, tourists and logistical personnel close to active volcanoes in the south polar region have increased notably. This has led to an escalation in the number of people and the amount of infrastructure exposed to potential eruptions. This requires advancement of our knowledge of the volcanic and magmatic history of Antarctic active volcanoes, significant improvement of the monitoring networks, and development of long-term hazard assessments and vulnerability analyses to carry out the required mitigation actions, and to elaborate on the most appropriate response plans to reduce loss of life and infrastructure during a future volcanic crisis. This chapter provides a brief summary of the active volcanic systems in Antarctica, highlighting their main volcanological features, which monitoring systems are deployed (if any), and recent (i.e. Holocene and/or historical) eruptive activity or unrest episodes. To conclude, some notes about the volcanic hazard assessments carried out so far on south polar volcanoes are also included, along with recommendations for specific actions and ongoing research on active Antarctic volcanism.</t>
  </si>
  <si>
    <t>[Geyer, A.] GEO3BCN CSIC, Geosci Barcelona, Lluis Sole i Sabaris S-N, Barcelona 08028, Spain</t>
  </si>
  <si>
    <t>Geyer, A (corresponding author), GEO3BCN CSIC, Geosci Barcelona, Lluis Sole i Sabaris S-N, Barcelona 08028, Spain.</t>
  </si>
  <si>
    <t>ageyer@geo3bcn.csic.es</t>
  </si>
  <si>
    <t>Geyer, Adelina/C-9490-2011; Geyer, Adelina/A-6624-2012</t>
  </si>
  <si>
    <t>Geyer, Adelina/0000-0002-8803-6504</t>
  </si>
  <si>
    <t>Ramon y Cajal contract [RYC-2012-11024]; Ministerio de Economia, Industria y Competitividad, Gobierno de Espana grant (POSVOLDEC) [CTM2016-79617-P]; Ministerio de Economia, Industria y Competitividad, Gobierno de Espana grant (PEVOLDEC) [CTM2011-13578-E/AN]; Ministerio de Economia, Industria y Competitividad, Gobierno de Espana grant (VOLCLIMA) [CGL2015-72629EXP]</t>
  </si>
  <si>
    <t>Ramon y Cajal contract(Spanish Government); Ministerio de Economia, Industria y Competitividad, Gobierno de Espana grant (POSVOLDEC); Ministerio de Economia, Industria y Competitividad, Gobierno de Espana grant (PEVOLDEC); Ministerio de Economia, Industria y Competitividad, Gobierno de Espana grant (VOLCLIMA)</t>
  </si>
  <si>
    <t>This research received funding from Ministerio de Economia, Industria y Competitividad, Gobierno de Espana grants (POSVOLDEC (CTM2016-79617-P) (AEI/FEDER, UE); PEVOLDEC (CTM2011-13578-E/ANT); and VOLCLIMA (CGL2015-72629EXP)) and Ramon y Cajal contract (RYC-2012-11024). This research is part of POLARCSIC activities.</t>
  </si>
  <si>
    <t>10.1144/M55-2020-12</t>
  </si>
  <si>
    <t>WOS:000683732500006</t>
  </si>
  <si>
    <t>Galindo, D; Liu, J; Ordean, M; Wong, JM</t>
  </si>
  <si>
    <t>Galindo, David; Liu, Jia; Ordean, Mihair; Wong, Jin-Mann</t>
  </si>
  <si>
    <t>Fully Distributed Verifiable Random Functions and their Application to Decentralised Random Beacons</t>
  </si>
  <si>
    <t>2021 IEEE EUROPEAN SYMPOSIUM ON SECURITY AND PRIVACY (EUROS&amp;P 2021)</t>
  </si>
  <si>
    <t>6th IEEE European Symposium on Security and Privacy (Euro S and P)</t>
  </si>
  <si>
    <t>SEP 06-10, 2021</t>
  </si>
  <si>
    <t>Cryptography; Blockchain; Random Beacon; Distributed Computation; Implementation; Pseudorandom Functions; Threshold Signatures; Leader Election; Open Source</t>
  </si>
  <si>
    <t>SIGNATURES</t>
  </si>
  <si>
    <t>We provide a systematic analysis of two related multiparty protocols, namely (Non-Interactive Fully) Distributed Verifiable Random Functions (DVRFs) and Decentralised Random Beacons (DRBs), including their syntax and definition of robustness and privacy properties. These two protocols are run by multiple network nodes where each node contributes with a partial evaluation and the collection of these partial values is used to evaluate a pseudorandom function. We refine current pseudorandomness definitions for distributed functions and show that the privacy provided by strong pseudorandomness, where an adversary is allowed to make partial function evaluation queries on the challenge value, is strictly better than that provided by standard pseudorandomness, where such adversarial queries are disallowed. We provide two new DVRF instantiations, named DDH-DVRF and GLOW-DVRF, that meet strong pseudorandomness under widely accepted cryptographic assumptions. We show the usefulness of our DRB formalism in two different ways. Firstly, we give a rigorous treatment of a folklore generic construction that builds a Decentralized Random Beacon from any DVRF instance and prove that it satisfies robustness and pseudorandomness provided that the original DVRF protocol is secure. Secondly, we capture several existing DRB protocols from academia and industry within our framework, which serves as an evidence of its wider applicability. Finally, we report on experimental evaluations of our newly introduced DVRFs with implementations under different cryptographic libraries, and we also report preliminary benchmark results on two of the DRBs obtained from the generic DVRF-to-DRB transformation. Our benchmarks can be independently verified as we provide an open source C++ reference implementation of the new DVRFs. Finally, we conclude that our new DRB instantiations are the most efficient instantiations currently available while enjoying strong and formally proven security properties.</t>
  </si>
  <si>
    <t>[Galindo, David; Liu, Jia] Fetchai, Cambridge, England; [Galindo, David; Ordean, Mihair] Univ Birmingham, Birmingham, W Midlands, England; [Wong, Jin-Mann] British Antarctic Survey, Cambridge, England</t>
  </si>
  <si>
    <t>University of Birmingham; UK Research &amp; Innovation (UKRI); Natural Environment Research Council (NERC); NERC British Antarctic Survey</t>
  </si>
  <si>
    <t>Galindo, D (corresponding author), Fetchai, Cambridge, England.;Galindo, D (corresponding author), Univ Birmingham, Birmingham, W Midlands, England.</t>
  </si>
  <si>
    <t>Galindo, David/0000-0003-3563-5551; Wong, Jin-Mann/0000-0002-4729-075X</t>
  </si>
  <si>
    <t>978-1-6654-1491-3</t>
  </si>
  <si>
    <t>10.1109/EuroSP51992.2021.00017</t>
  </si>
  <si>
    <t>Computer Science, Information Systems; Computer Science, Interdisciplinary Applications</t>
  </si>
  <si>
    <t>BS9SC</t>
  </si>
  <si>
    <t>WOS:000783804100006</t>
  </si>
  <si>
    <t>Lin, LJ; Lin, L; Waheed, A</t>
  </si>
  <si>
    <t>Lin, Lejing; Lin, Li; Waheed, Abdul</t>
  </si>
  <si>
    <t>RETRACTED: ASSESSMENT OF GENETIC STRUCTURE AND DIVERSITY OF Erodium (Geranaiceae) SPECIES (Retracted Article)</t>
  </si>
  <si>
    <t>GENETIKA-BELGRADE</t>
  </si>
  <si>
    <t>Article; Retracted Publication</t>
  </si>
  <si>
    <t>Sequence-related amplified polymorphism; Gene Flow; Genetic Diversity; Morphometric Analysis; Erodium species</t>
  </si>
  <si>
    <t>PHYLOGENETIC-RELATIONSHIPS; POPULATION-SIZE; GERANIACEAE; CONSERVATION; VARIABILITY; PERFORMANCE; EVOLUTION; SUPPORT; SYSTEM; SRAP</t>
  </si>
  <si>
    <t>Erodium Aiton (Geraniaceae) with 75 species is distributed in all continents except Antarctic. Its main diversification center is Mediterranean region with 62 species. The genetic diversity was assessed through Sequence-related amplified polymorphism. To uncover genetic diversity and species characteristics in Erodium species, were studied through a combination of morphological and molecular data. 70 individuals related to seven Erodium were collected in 7 provinces. A total of 96 (Number of total loci) (NTL) DNA bands were produced through polymerase chain reaction amplifications (PCR) amplification of seven Erodium species. These bands were produced with the combinations of six selective primers. The total number of amplified fragments ranged from 10 to 25. The genetic similarities between seven species are estimated from 0.70 to 0.85. Clustering results showed two major clusters. This study also detected a significant signature of isolation by distance (Mantel test results). Present results showed that sequence-related amplified polymorphism have the potential to identify and decipher genetic affinity in Erodium species. Current results have implications in biodiversity and conservation programs. Besides this, present results could pave the way for selecting suitable ecotypes for forage and pasture purposes in Iran.</t>
  </si>
  <si>
    <t>[Lin, Lejing; Lin, Li] Ningbo City Coll Vocat Technol, Coll Landscape &amp; Ecol, Ningbo 315100, Zhejiang, Peoples R China; [Waheed, Abdul] Quaid I Azam Univ Islamabad, Dept Plant Sci, Islamabad, Pakistan</t>
  </si>
  <si>
    <t>Ningbo City College of Vocational Technology; Quaid I Azam University</t>
  </si>
  <si>
    <t>Lin, LJ (corresponding author), Ningbo City Coll Vocat Technol, Coll Landscape &amp; Ecol, Ningbo 315100, Zhejiang, Peoples R China.</t>
  </si>
  <si>
    <t>linlejing01@163.com</t>
  </si>
  <si>
    <t>SERBIAN GENETICS SOC</t>
  </si>
  <si>
    <t>BELGRADE</t>
  </si>
  <si>
    <t>SLOBODANA BAJICA 1, BELGRADE, ZEMUN 11185, SERBIA</t>
  </si>
  <si>
    <t>0534-0012</t>
  </si>
  <si>
    <t>1820-6069</t>
  </si>
  <si>
    <t>Genetika-Belgrade</t>
  </si>
  <si>
    <t>10.2298/GENSR2102507L</t>
  </si>
  <si>
    <t>Agronomy; Genetics &amp; Heredity</t>
  </si>
  <si>
    <t>Agriculture; Genetics &amp; Heredity</t>
  </si>
  <si>
    <t>UA9GD</t>
  </si>
  <si>
    <t>WOS:000685461700004</t>
  </si>
  <si>
    <t>Pysarenko, LA; Krakovska, SV</t>
  </si>
  <si>
    <t>Pysarenko, L. A.; Krakovska, S., V</t>
  </si>
  <si>
    <t>Impact of deforestation on moisture evaporation from soil and canopy for the territory of Ukraine based on data of numerical experiment LUMIP</t>
  </si>
  <si>
    <t>GEOFIZICHESKIY ZHURNAL-GEOPHYSICAL JOURNAL</t>
  </si>
  <si>
    <t>Ukrainian</t>
  </si>
  <si>
    <t>LUMIP; deforestation; forest cover; evaporation from soil; evaporation from canopy</t>
  </si>
  <si>
    <t>CLIMATE-CHANGE; VEGETATION; FEEDBACKS; FORESTS; TRENDS; KYIV</t>
  </si>
  <si>
    <t>The study presents results of analysis of the impact of partial deforestation on spatiotemporal distribution of the outflow part of water balance, namely evaporation from soil and canopy. The data of 6 Global climate models of theoretical experiment Land Use Model Intercomparison Project (LUMIP) was used in the research. The aim of this experiment is to reveal the influence of global deforestation with further replacement by grass cover on distribution of climate characteristics. It was done for the period 1850-1929, where the first part 1850-1899 refers to the pre-industrial period or period with minimal mostly constant anthropogenic influence; the second part is the next 30 years - 1900-1929. During the pre-industrial period 1850-1899 land cover was reduced globally with a trend of 400 thousand km(2) per year and during 1900-1929 it was stable. Defining the impact of deforestation, the normalization over the first 20 years (1850-1869) was performed and there were found anomalies of climatic characteristics as difference to this basic period. Deforestation with further replacement of the forest cover by grass causes an increase in soil evaporation with the trend up to 1.6 mm/10 years in the warm season with more significant changes in April-July, as deforestation reveals more of the soil. Thus, the correlation was -0.8 ... -0.4 between forest cover and soil evaporation with maximal changes in April. It can be connected with grass being sparse in this period but later on covering more soil and preventing intensive evaporation. On the contrary, evaporation from canopy in global climate models is reduced with deforestation as the evaporation area is shrunk. This effect was revealed during all seasons in most grid points, where deforestation occurs. But the biggest change is found in spring and summer months with values up to -0.8 mm/10 years and correlation r = 0.4 ... 0.9 depending on the model and the season. Thus, we found an effect of increasing evaporation from soil while decreasing evaporation from canopy in climate modeling as the effect of partial deforestation on the territory of Ukraine. These changes can cause redistribution in water balance components of the territory and have consequences for hydrological regime, agrometeorology etc. In particular, the increase in soil evaporation due to deforestation can provoke more intensive soil aridization and degradation. The influence of deforestation on total soil moisture and regime of precipitation will be presented in the next publication.</t>
  </si>
  <si>
    <t>[Pysarenko, L. A.; Krakovska, S., V] State Emergency Serv Ukraine, Ukrainian Hydrometeorol Inst, Kiev, Ukraine; [Pysarenko, L. A.; Krakovska, S., V] Natl Acad Sci Ukraine, Kiev, Ukraine; [Krakovska, S., V] State Inst Natl Antarctic Sci Ctr MES Ukraine, Kiev, Ukraine</t>
  </si>
  <si>
    <t>National Academy of Sciences Ukraine; Ukrainian Hydrometeorological Institute of the State Emergency Service of Ukraine &amp; National Academy of Sciences of Ukraine; National Academy of Sciences Ukraine; Ministry of Education &amp; Science of Ukraine; State Institution National Antarctic Scientific Center</t>
  </si>
  <si>
    <t>Pysarenko, LA (corresponding author), State Emergency Serv Ukraine, Ukrainian Hydrometeorol Inst, Kiev, Ukraine.;Pysarenko, LA (corresponding author), Natl Acad Sci Ukraine, Kiev, Ukraine.</t>
  </si>
  <si>
    <t>Pysarenko, Larysa/HNR-9335-2023</t>
  </si>
  <si>
    <t>Pysarenko, Larysa/0000-0002-2885-0213</t>
  </si>
  <si>
    <t>S I SUBBOTIN INST GEOPHYSICS NATL ACAD</t>
  </si>
  <si>
    <t>KIEV</t>
  </si>
  <si>
    <t>PR PALLADINA 32, KIEV, 252142, UKRAINE</t>
  </si>
  <si>
    <t>0203-3100</t>
  </si>
  <si>
    <t>2524-1052</t>
  </si>
  <si>
    <t>GEOFIZ ZHURNAL</t>
  </si>
  <si>
    <t>Geofiz. Zhurnal</t>
  </si>
  <si>
    <t>10.24028/gzh.v43i6.251564</t>
  </si>
  <si>
    <t>ZQ6QS</t>
  </si>
  <si>
    <t>WOS:000767227900010</t>
  </si>
  <si>
    <t>Chernov, A; Ivko, A; Bulakh, O</t>
  </si>
  <si>
    <t>Chernov, A.; Ivko, A.; Bulakh, O.</t>
  </si>
  <si>
    <t>Reconnaissance GPR investigation of the ice caps on islands of Wilhelm Archipelago and on Berthelot island (West Antarctica)</t>
  </si>
  <si>
    <t>ice caps; glaciers; Antarctica; ground penetrating radar; interior structure</t>
  </si>
  <si>
    <t>In this paper results of Antarctic ice caps investigations with Ground penetrating radar (GPR) are represented. Local glaciological investigations of small glaciers on islands at the western coast of the AP are rare. Ice thickness is an important parameter for ice mass balance calculation. Investigation of the layering help to reveal information about past climate conditions and to understand glacio-geological history of the region. However, neither the information about the thickness nor interior structure of the ice caps on represented islands are contained in modern database Global Terrestrial Network for Glaciers. The research is aimed at investigating the thickness and interior structure of the ice caps on Antarctic islands Pleneau, Petermann, Booth, Berthelot, Stego and Elisabethinsel. This territory was described only on the level of pioneering research in 19-20th centuries. The aim of the research is to obtain data about the general structure of the ice caps and ice thickness. VIY 3-300 (300 MHz) was applied to the surveying. Processed GPR profiles show up to 14 layers (Pleneau island) inside the ice caps. There are interior crevasses, zones of moisture concentration and voids. Maps of the ice thickness were built for each island. The ice thickness on Stego and Elisabethinsel, Booth and part of Pleneau islands is more than 27 m, so it is recommended to use less frequency of the antennae than 300 MHz for a deeper and more detailed research of these ice caps. There are crevasses inside the ice near the surface, so for further investigations it is better to use special equipment to prevent any emergency situations (ropes, crampons, ice-hammerd, etc.). Landing sites on the islands with better access to the territories are mentioned in this paper.</t>
  </si>
  <si>
    <t>[Chernov, A.] Natl Antarctic Sci Ctr Ukraine, Kiev, Ukraine; [Ivko, A.; Bulakh, O.] Taras Shevchenko Natl Univ Kyiv, Inst Geol, Kiev, Ukraine</t>
  </si>
  <si>
    <t>Ministry of Education &amp; Science of Ukraine; State Institution National Antarctic Scientific Center; National Academy of Sciences Ukraine; Institute of Geological Sciences, National Academy of Sciences of Ukraine; Ministry of Education &amp; Science of Ukraine; Taras Shevchenko National University of Kyiv</t>
  </si>
  <si>
    <t>Chernov, A (corresponding author), Natl Antarctic Sci Ctr Ukraine, Kiev, Ukraine.</t>
  </si>
  <si>
    <t>National Antarctic Scientific Center of Ukraine</t>
  </si>
  <si>
    <t>Research is done as a part of the Ukrainian governmental program &lt;&lt; State Special-Purpose Research Program in Antarctica for 2011--2023 &gt;&gt;. Authors are gratitude to the National Antarctic Scientific Center of Ukraine for the support of this research and the NSI Institute of Geology for access to the processing software.</t>
  </si>
  <si>
    <t>10.24028/gzh.v43i6.251567</t>
  </si>
  <si>
    <t>WOS:000767227900012</t>
  </si>
  <si>
    <t>Da Silva, MK; Da Silva, AV; Fernandez, PM; Montone, RC; Alves, RP; De Queiroz, AC; De Oliveira, VM; Dos Santos, VP; Putzke, J; Rosa, LH; Duarte, AWF</t>
  </si>
  <si>
    <t>Da Silva, Mayanne Karla; Da Silva, Averlane, V; Fernandez, Paula M.; Montone, Rosalinda C.; Alves, Rodrigo P.; De Queiroz, Aline C.; De Oliveira, Valeria M.; Dos Santos, Viviane P.; Putzke, Jair; Rosa, Luiz Henrique; Duarte, Alysson W. F.</t>
  </si>
  <si>
    <t>Extracellular hydrolytic enzymes produced by yeasts from Antarctic lichens</t>
  </si>
  <si>
    <t>ANAIS DA ACADEMIA BRASILEIRA DE CIENCIAS</t>
  </si>
  <si>
    <t>Bioprospection; cellulase; fungi; lichensphere; Vishniacozyma</t>
  </si>
  <si>
    <t>ENZYMATIC-ACTIVITIES; TERRESTRIAL; MARINE; FUNGI; BIODIVERSITY; COMMUNITIES; DIVERSITY</t>
  </si>
  <si>
    <t>In the Antarctic environment, yeasts are versatile eukaryotes that have shown wide dispersion in different substrates, producing active enzymes in extreme conditions, but their relevance in biotechnological applications is largely unknown. The aim of this study was to evaluate the production of extracellular hydrolases by yeasts isolated from Antarctic lichens and molecularly identify these isolates. From a total of 144 isolates on the screening, 109 (76%) produced at least one of the hydrolases tested, with most activities for proteases 59 (41%), cellulases 58 (40%), esterases 57 (39%), lipases 29 (20%), amylases 23 (16%) and pectinases 20 (14%). Among these isolates, 76 were identified, most belonged to the phylum Basidiomycota (n=73) with the dominance of Vishniacozyma victoriae (n=27), Cystobasidium alpinum (n=3), Mrakia niccombsii (n=3), Cystobasidium laryngis (n=2), Bannozyma yamatoana (n=2), Holtermanniella nyarrowii (n=2), and Glaciozyma martinii (n=2). This study is the first one reporting extracellular enzyme production by yeasts isolated from thallus of the species of Antarctic lichens Lecania brialmontii, Polycauliona candelaria, Usnea capillacea, Cladonia metacorallifera, and Polycauliona regalis. With these data, it's possible to confirm lichens as a source of hydrolase-producing yeasts, reinforcing the potential of these microorganisms in bioprospecting studies of catalytic molecules from polar regions that may be useful in promising biotechnological applications.</t>
  </si>
  <si>
    <t>[Da Silva, Mayanne Karla; Da Silva, Averlane, V; De Queiroz, Aline C.; Duarte, Alysson W. F.] Univ Fed Alagoas, Complexo Ciencias Med &amp; Enfermagem, Campus Arapiraca,Av Manoel Severino Barbosa S-N, BR-57315226 Arapiraca, AL, Brazil; [Fernandez, Paula M.; Montone, Rosalinda C.] Univ Sao Paulo, Praca Oceanog, Inst Oceanog, 191 Vila Univ, BR-05508120 Sao Paulo, SP, Brazil; [Fernandez, Paula M.] La Rochelle Univ, Observ Pelagis, UMS 3462, CNRS, 5 Allees Ocean, F-17000 La Rochelle, France; [Alves, Rodrigo P.] Karl Franzens Univ Graz, Inst Biol, Univ Pl 3, A-8010 Graz, Austria; [De Oliveira, Valeria M.; Dos Santos, Viviane P.] Univ Estadual Campinas, Ctr Pluridisciplinar Pesquisas Quim Biol &amp; Agr, Rua Alexandre Cazellato 999, BR-13148218 Paulinia, SP, Brazil; [Putzke, Jair] Univ Pampa, Campus Sao Gabriel,Av Antonio Trilha 1847, BR-97300162 Sao Gabriel, RS, Brazil; [Rosa, Luiz Henrique] Univ Fed Minas Gerais, Inst Ciencias Biol, Av Pres Antonio Carlos 6627, BR-31270901 Belo Horizonte, MG, Brazil</t>
  </si>
  <si>
    <t>Universidade Federal de Alagoas; Universidade de Sao Paulo; Centre National de la Recherche Scientifique (CNRS); CNRS - Institute of Ecology &amp; Environment (INEE); University of Graz; Universidade Estadual de Campinas; Universidade Federal de Minas Gerais</t>
  </si>
  <si>
    <t>Duarte, AWF (corresponding author), Univ Fed Alagoas, Complexo Ciencias Med &amp; Enfermagem, Campus Arapiraca,Av Manoel Severino Barbosa S-N, BR-57315226 Arapiraca, AL, Brazil.</t>
  </si>
  <si>
    <t>alysson.duarte@arapiraca.ufal.br</t>
  </si>
  <si>
    <t>Queiroz, Aline Cavalcanti de/GLS-3284-2022; Duarte, Alysson Wagner Fernandes/S-8062-2019; Oliveira, Valéria Maia/L-2422-2014; Paidano Alves, Rodrigo/L-6987-2017; Montone, Rosalinda/J-9110-2012</t>
  </si>
  <si>
    <t>Queiroz, Aline Cavalcanti de/0000-0002-6362-2726; Duarte, Alysson Wagner Fernandes/0000-0001-9626-7524; Oliveira, Valéria Maia/0000-0001-8817-4758; Paidano Alves, Rodrigo/0000-0003-1009-5923; Karla da Silva, Mayanne/0000-0002-0292-3648; Montone, Rosalinda/0000-0002-9586-1000; Mendez Fernandez, Paula/0000-0001-5221-7410; Vieira da Silva, Averlane/0000-0003-1972-3682</t>
  </si>
  <si>
    <t>Conselho Nacional de Desenvolvimento Cientifico e Tecnologico - CNPq [433388/2018-8, 442258/20186]; Fundacao de Amparo a Pesquisa do Estado de Alagoas - FAPEAL [60030 1074/2016]; parliamentarian Tereza Nelma da Silva Porto Viana Soares (Alagoas) by the Secretaria da Comissao Interministerial para os Recursos do Mar (SECIRM)</t>
  </si>
  <si>
    <t>Conselho Nacional de Desenvolvimento Cientifico e Tecnologico - CNPq(Conselho Nacional de Desenvolvimento Cientifico e Tecnologico (CNPQ)); Fundacao de Amparo a Pesquisa do Estado de Alagoas - FAPEAL(Fundacao de Amparo a Pesquisa do Estado de Alagoas (FAPEAL)); parliamentarian Tereza Nelma da Silva Porto Viana Soares (Alagoas) by the Secretaria da Comissao Interministerial para os Recursos do Mar (SECIRM)</t>
  </si>
  <si>
    <t>This research has been supported by the Conselho Nacional de Desenvolvimento Cientifico e Tecnologico - CNPq (grant nos. #433388/2018-8 and #442258/20186), and Fundacao de Amparo a Pesquisa do Estado de Alagoas - FAPEAL (grant no. #60030 1074/2016). We would like to thank the parliamentarian Tereza Nelma da Silva Porto Viana Soares (Alagoas) for supporting the Brazilian Antarctic research. Logistical support provided by the Secretaria da Comissao Interministerial para os Recursos do Mar (SECIRM).</t>
  </si>
  <si>
    <t>ACAD BRASILEIRA DE CIENCIAS</t>
  </si>
  <si>
    <t>RIO JANEIRO</t>
  </si>
  <si>
    <t>RUA ANFILOFIO DE CARVALHO, 29, 3 ANDAR, 20030-060 RIO JANEIRO, BRAZIL</t>
  </si>
  <si>
    <t>0001-3765</t>
  </si>
  <si>
    <t>1678-2690</t>
  </si>
  <si>
    <t>AN ACAD BRAS CIENC</t>
  </si>
  <si>
    <t>An. Acad. Bras. Cienc.</t>
  </si>
  <si>
    <t>e20210540</t>
  </si>
  <si>
    <t>10.1590/0001-3765202220210540</t>
  </si>
  <si>
    <t>ZX2VQ</t>
  </si>
  <si>
    <t>WOS:000771757900001</t>
  </si>
  <si>
    <t>Mytrokhyn, O; Bakhmutov, V; Aleksieienko, A; Mytrokhina, T; Marushchenko, O</t>
  </si>
  <si>
    <t>Mytrokhyn, O.; Bakhmutov, V; Aleksieienko, A.; Mytrokhina, T.; Marushchenko, O.</t>
  </si>
  <si>
    <t>INTRUSIVE-MAGMATIC COMPLEXES OF WILHELM ARCHIPELAGO, WEST ANTARCTICA (PART 1 - INTRUSIONS OF GABBROIDS, DIORITES AND GRANITOIDS)</t>
  </si>
  <si>
    <t>VISNYK OF TARAS SHEVCHENKO NATIONAL UNIVERSITY OF KYIV-GEOLOGY</t>
  </si>
  <si>
    <t>geology; calc-alkaline magmatism; Antarctic Peninsula</t>
  </si>
  <si>
    <t>U-PB GEOCHRONOLOGY; ROCKS</t>
  </si>
  <si>
    <t>The Wilhelm Archipelago and the adjacent coast of Graham Land are typical areas of calc-alkaline magmatism associated with the protracted evolution of the Antarctic Peninsula igneous belt. The authors studied intrusive complexes of the Wilhelm Archipelago (WA) in order to characterize their geographical distribution, geological occurrence and age, mineralogical and petrographical features. Geological surveys revealed that gabbro, diorite, and granitoid intrusions are widespread on the WA. Due to the processes of tectonic uplift and exhumation, both apical and bottom parts of individual intrusive bodies can be exposed on the modern erosion level. Recent geological observations have shown that plutons of different ages intersect each other in a complex sequence. This made it possible to determine their relative geological age and reconstruct the general direction of the deep magmatic development from the Early Cretaceous to the Early Paleogene, inclusive. It has been proved that the oldest massifs of gabbroids are parts of much larger intrusive bodies. They were formed in the period between the Jurassic and the Early Cretaceous periods. Crystallization differentiation of basaltic magmas gave them various scale layering. In the bottom parts of gabroid intrusions there were conditions for the formation of Fe-Ti-V and Cu-Ni-EPG mineralization. Diorite and granitoid intrusions occupy much larger areas compared to gabbroids. The formation of diorite intrusions took place in the period between the Early Cretaceous and the Paleocene. Although the oldest gabbroids were formed much earlier than diorites, the phenomena of magmatic mingling in the latter indicate that magmas of basic and intermediate composition could also synchronously intrude in common magmatic chambers. Granitoid magmatism on the WA covers the Late Cretaceous and the Paleogene periods. Most granitoid intrusions formed in the Paleocene after the main phase of tectonic deformations. Cu-Mo mineralization may be associated with these intrusions.</t>
  </si>
  <si>
    <t>[Mytrokhyn, O.; Aleksieienko, A.; Mytrokhina, T.; Marushchenko, O.] Taras Schevchenko Natl Univ Kyiv, Inst Geol, 90 Vasylkivska Str, UA-03022 Kiev, Ukraine; [Bakhmutov, V] Natl Acad Sci Ukraine, Inst Geophys, 32 Palladin Ave, UA-03680 Kiev, Ukraine</t>
  </si>
  <si>
    <t>National Academy of Sciences Ukraine; Institute of Geological Sciences, National Academy of Sciences of Ukraine; Ministry of Education &amp; Science of Ukraine; Taras Shevchenko National University of Kyiv; National Academy of Sciences Ukraine; Subbotin Institute of Geophysics, National Academy of Sciences of Ukraine</t>
  </si>
  <si>
    <t>Mytrokhyn, O (corresponding author), Taras Schevchenko Natl Univ Kyiv, Inst Geol, 90 Vasylkivska Str, UA-03022 Kiev, Ukraine.</t>
  </si>
  <si>
    <t>mitrokhin.a.v@ukr.net; bakhmutovvg@gmail.com; scr315@gmail.com; tanussa@ukr.net; lesymarush@gmail.com</t>
  </si>
  <si>
    <t>Mytrokhyn, Oleksandr/I-2020-2018; Volodymyr, Bakhmutov/A-8508-2019</t>
  </si>
  <si>
    <t>Mytrokhyn, Oleksandr/0000-0001-6269-0092; Marushchenko, Oleksandra/0000-0002-7423-3849</t>
  </si>
  <si>
    <t>NATL TARAS SHEVCHENKO UNIV KYIV</t>
  </si>
  <si>
    <t>KYIV</t>
  </si>
  <si>
    <t>BULVAR TARASA SHEVCHENKO, 14, OFIS 43, KYIV, 01601, UKRAINE</t>
  </si>
  <si>
    <t>2079-9063</t>
  </si>
  <si>
    <t>VISNYK TARAS SHEVCHE</t>
  </si>
  <si>
    <t>Visnyk Taras Shevchenko Natl. Univ. Kyiv-Geol.</t>
  </si>
  <si>
    <t>10.17721/1728-2713.95.01</t>
  </si>
  <si>
    <t>ZH6FV</t>
  </si>
  <si>
    <t>WOS:000761033200001</t>
  </si>
  <si>
    <t>Sandru, A; Visala, A; Kujala, P</t>
  </si>
  <si>
    <t>Sandru, Andrei; Visala, Arto; Kujala, Pentti</t>
  </si>
  <si>
    <t>Shipborne sea-ice field mapping using a LiDAR</t>
  </si>
  <si>
    <t>2021 IEEE/RSJ INTERNATIONAL CONFERENCE ON INTELLIGENT ROBOTS AND SYSTEMS (IROS)</t>
  </si>
  <si>
    <t>IEEE International Conference on Intelligent Robots and Systems</t>
  </si>
  <si>
    <t>IEEE/RSJ International Conference on Intelligent Robots and Systems (IROS)</t>
  </si>
  <si>
    <t>SEP 27-OCT 01, 2021</t>
  </si>
  <si>
    <t>LiDAR; sea ice; IMU; ship</t>
  </si>
  <si>
    <t>ROUGHNESS</t>
  </si>
  <si>
    <t>The increasing interest for autonomous ships has motivated research in numerous areas. One such area is the safe navigation through ice infested waters, for which a sensor instrumentation and automated process are proposed for near-field, sea-ice 3D scanning and mapping using a ship mounted LiDAR, with attitude compensation from inertial and satellite positioning sensors. Data were collected both at the Aalto Ice Tank laboratory and on board the icebreaker S.A. Agulhas II during its voyage to the Antarctic waters. The implemented process enables automated acquisition of detailed 3D point cloud maps, containing highly valuable information for icy waters going ships currently operated by a human crew and, in the near future, supporting the development of autonomous ships. Compared to other methods using satellite, aerial or underwater data, the proposed method is a more cost-effective and easy to integrate solution into current and future icy waters going ships, thus enabling a higher level of situational awareness.</t>
  </si>
  <si>
    <t>[Sandru, Andrei; Visala, Arto] Aalto Univ, Dept Elect Engn &amp; Automat, Espoo 02150, Finland; [Kujala, Pentti] Aalto Univ, Dept Mech Engn, Espoo 02150, Finland</t>
  </si>
  <si>
    <t>Aalto University; Aalto University</t>
  </si>
  <si>
    <t>Kujala, P (corresponding author), Aalto Univ, Dept Mech Engn, Espoo 02150, Finland.</t>
  </si>
  <si>
    <t>pentti.kujala@aalto.fi</t>
  </si>
  <si>
    <t>Kujala, Pentti JS/B-3780-2011; Visala, Arto J/G-2475-2013</t>
  </si>
  <si>
    <t>Strategic Research Council at the Academy of Finland [293389, 314312]</t>
  </si>
  <si>
    <t>Strategic Research Council at the Academy of Finland</t>
  </si>
  <si>
    <t>Strategic Research Council at the Academy of Finland is acknowledged for financial support of project Competence-Based Growth Through Integrated Disruptive Technologies of 3D Digitalization, Robotics, Geospatial Information and Image Processing/Computing - Point Cloud Ecosystem (project decision numbers 293389 and 314312).</t>
  </si>
  <si>
    <t>2153-0858</t>
  </si>
  <si>
    <t>978-1-6654-1714-3</t>
  </si>
  <si>
    <t>IEEE INT C INT ROBOT</t>
  </si>
  <si>
    <t>10.1109/IROS51168.2021.9636275</t>
  </si>
  <si>
    <t>Automation &amp; Control Systems; Computer Science, Artificial Intelligence; Engineering, Electrical &amp; Electronic; Robotics</t>
  </si>
  <si>
    <t>Automation &amp; Control Systems; Computer Science; Engineering; Robotics</t>
  </si>
  <si>
    <t>BS6ZK</t>
  </si>
  <si>
    <t>WOS:000755125503063</t>
  </si>
  <si>
    <t>Rossi, F; Branch, A; Schodlok, MP; Stanton, T; Fenty, IG; Vander Hook, J; Clark, EB</t>
  </si>
  <si>
    <t>Rossi, Federico; Branch, Andrew; Schodlok, Michael P.; Stanton, Timothy; Fenty, Ian G.; Vander Hook, Joshua; Clark, Evan B.</t>
  </si>
  <si>
    <t>Stochastic Guidance of Buoyancy Controlled Vehicles under Ice Shelves using Ocean Currents</t>
  </si>
  <si>
    <t>PINE ISLAND GLACIER</t>
  </si>
  <si>
    <t>We propose a novel technique for guidance of buoyancy-controlled vehicles in uncertain under-ice ocean flows. In-situ melt rate measurements collected at the grounding zone of Antarctic ice shelves, where the ice shelf meets the underlying bedrock, are essential to constrain models of future sea level rise. Buoyancy-controlled vehicles, which control their vertical position in the water column through internal actuation but have no means of horizontal propulsion, offer an affordable and reliable platform for such in-situ data collection. However, reaching the grounding zone requires vehicles to traverse tens of kilometers under the ice shelf, with approximate position knowledge and no means of communication, in highly variable and uncertain ocean currents. To address this challenge, we propose a partially observable MDP approach that exploits model-based knowledge of the under-ice currents and, critically, of their uncertainty, to synthesize effective guidance policies. The approach uses approximate dynamic programming to model uncertainty in the currents, and QMDP to address localization uncertainty. Numerical experiments show that the policy can deliver up to 88.8% of underwater vehicles to the grounding zone - a 33% improvement compared to state-of-the-art guidance techniques, and a 262% improvement over uncontrolled drifters. Collectively, these results show that model-based under-ice guidance is a highly promising technique for exploration of under-ice cavities, and has the potential to enable cost-effective and scalable access to these challenging and rarely observed environments.</t>
  </si>
  <si>
    <t>[Rossi, Federico; Branch, Andrew; Schodlok, Michael P.; Fenty, Ian G.; Vander Hook, Joshua; Clark, Evan B.] CALTECH, Jet Prop Lab, Pasadena, CA 91109 USA; [Stanton, Timothy] Moss Landing Marine Labs, Pob 450, Moss Landing, CA 95039 USA</t>
  </si>
  <si>
    <t>National Aeronautics &amp; Space Administration (NASA); NASA Jet Propulsion Laboratory (JPL); California Institute of Technology; Moss Landing Marine Laboratories</t>
  </si>
  <si>
    <t>Rossi, F (corresponding author), CALTECH, Jet Prop Lab, Pasadena, CA 91109 USA.</t>
  </si>
  <si>
    <t>federico.rossi@jpl.nasa.gov; andrew.branch@jpl.nasa.gov; michael.p.schodlok@jpl.nasa.gov; stanton@nps.edu; ian.fenty@jpl.nasa.gov; hook@jpl.nasa.gov; evan.clark@jpl.nasa.gov</t>
  </si>
  <si>
    <t>Fenty, Ian/AAP-9569-2021</t>
  </si>
  <si>
    <t>Fenty, Ian/0000-0001-6662-6346</t>
  </si>
  <si>
    <t>National Aeronautics and Space Administration [80NM0018D0004]; NASA Cryospheric Sciences Programs</t>
  </si>
  <si>
    <t>National Aeronautics and Space Administration(National Aeronautics &amp; Space Administration (NASA)); NASA Cryospheric Sciences Programs</t>
  </si>
  <si>
    <t>Part of this work was carried out at the Jet Propulsion Laboratory (JPL), California Institute of Technology, under a contract with the National Aeronautics and Space Administration (80NM0018D0004). We gratefully acknowledge support from the NASA Cryospheric Sciences Programs. High-end computing resources were provided by the NASA Advanced Supercomputing (NAS) Division of the Ames Research Center.</t>
  </si>
  <si>
    <t>10.1109/IROS51168.2021.9635987</t>
  </si>
  <si>
    <t>WOS:000755125506119</t>
  </si>
  <si>
    <t>Uchaev, DV; Uchaev, DV; Malinnikov, VA; Savinykh, VP</t>
  </si>
  <si>
    <t>Bruzzone, L; Bovolo, F; Benediktsson, JA</t>
  </si>
  <si>
    <t>Uchaev, Dm, V; Uchaev, D., V; Malinnikov, V. A.; Savinykh, V. P.</t>
  </si>
  <si>
    <t>Multifractal classification of Sentinel-1 SAR images of ice-covered sea areas</t>
  </si>
  <si>
    <t>IMAGE AND SIGNAL PROCESSING FOR REMOTE SENSING XXVII</t>
  </si>
  <si>
    <t>Conference on Image and Signal Processing for Remote Sensing XXVII</t>
  </si>
  <si>
    <t>SEP 13-17, 2021</t>
  </si>
  <si>
    <t>SAR images; ice chart; floating ice; multifractal classification; Holder exponents</t>
  </si>
  <si>
    <t>In this study, a technique for multifractal classification (MC) of synthetic aperture radar (SAR) images of ice-covered sea areas is proposed. This technique is based on the use of SAR image local Holder exponents (LHEs) and coarse Holder exponents (CHEs) calculated for sliding windows with different sizes. Holder exponents are very effective and easily computable image texture descriptors that characterize the degree of local irregularity of image functions. The main steps of the presented SAR image classification technique are following: Sentinel-1 SAR image transformation (application of orbit file, radiometric calibration, speckle filtering, terrain correction and conversion to dB), extracting local and coarse Holder exponents from HH- and HV-polarized Sentinel-1 SAR images, stacking local and coarse Holder exponents into high-dimensional feature vectors, classification of the formed feature vectors by some classifier. Experimental testing of the proposed technique for classification of SAR images was carried out on several regions of Sentinel-1b SAR images demonstrating ice-covered areas of the Kara Sea. The first step of the technique was implemented by SNAP toolbox, and the next three steps were implemented using own MATLAB application (https://github.com/UchaevD/GMAToolbox). SAR image classification results were compared with ice charts of U.S. National Ice Center (NIC), which contain weekly information on sea ice concentration and ice thickness. As a result of comparison with NIC ice charts, it has been established that Kara Sea areas with widely-spreading types of floating ice can be successfully separated by MC of Sentinel-1b SAR images, and overall and average classification accuracies are not less than 75%. The results of the study suggest that MC of SAR images of ice-covered sea areas can be used to automate the generation daily ice charts for various ice-covered sea areas in the Arctic and Antarctic.</t>
  </si>
  <si>
    <t>[Uchaev, Dm, V; Uchaev, D., V; Malinnikov, V. A.; Savinykh, V. P.] Moscow State Univ Geodesy &amp; Cartog, Moscow 105064, Russia</t>
  </si>
  <si>
    <t>Uchaev, DV (corresponding author), Moscow State Univ Geodesy &amp; Cartog, Moscow 105064, Russia.</t>
  </si>
  <si>
    <t>Uchaev, Dmitry/AAG-3965-2019; Uchaev, Denis/A-8207-2014</t>
  </si>
  <si>
    <t>Uchaev, Dmitry/0000-0002-4227-5956; Uchaev, Denis/0000-0002-8324-8305</t>
  </si>
  <si>
    <t>Russian Foundation for Basic Research [19-05-00330, 0708-2020-0001]; Ministry of Science and Higher Education of the Russian Federation</t>
  </si>
  <si>
    <t>Russian Foundation for Basic Research(Russian Foundation for Basic Research (RFBR)Spanish Government); Ministry of Science and Higher Education of the Russian Federation</t>
  </si>
  <si>
    <t>The study related to the development of a technique for multifractal classification of Sentinel-1 SAR images of icecovered sea areas has been supported by the Russian Foundation for Basic Research (Project No. 19-05-00330.). The work devoted to experiments with the developed technique was carried out within the framework of the state assignment 0708-2020-0001 of the Ministry of Science and Higher Education of the Russian Federation.</t>
  </si>
  <si>
    <t>978-1-5106-4569-1; 978-1-5106-4568-4</t>
  </si>
  <si>
    <t>118620S</t>
  </si>
  <si>
    <t>10.1117/12.2599886</t>
  </si>
  <si>
    <t>Computer Science, Artificial Intelligence; Remote Sensing; Optics; Imaging Science &amp; Photographic Technology</t>
  </si>
  <si>
    <t>Computer Science; Remote Sensing; Optics; Imaging Science &amp; Photographic Technology</t>
  </si>
  <si>
    <t>BS7DU</t>
  </si>
  <si>
    <t>WOS:000759218100024</t>
  </si>
  <si>
    <t>Bolshunov, AV; Vasiliev, NI; Timofeev, IP; Ignatiev, SA; Vasiliev, DA; Leichenkov, GL</t>
  </si>
  <si>
    <t>V. Bolshunov, Aleksey; Vasiliev, Nikolay I.; Timofeev, Igor P.; Ignatiev, Sergey A. .; Vasiliev, Dmitrii A. .; Leichenkov, German L.</t>
  </si>
  <si>
    <t>Potential technological solution for sampling the bottom sediments of the subglacial lake Vostok: relevance and formulation of investigation goals</t>
  </si>
  <si>
    <t>JOURNAL OF MINING INSTITUTE</t>
  </si>
  <si>
    <t>Antarctic; lake Vostok; subglacial lake; access well; sampling; walking device; bottom sediments</t>
  </si>
  <si>
    <t>WATER DRILL SYSTEM; ANTARCTICA; WISSARD; WHILLANS; FLUIDS; FIELD; ICE</t>
  </si>
  <si>
    <t>The subglacial Lake Vostok in Antarctic is a unique natural phenomenon, its comprehensive study involves sampling of water and bottom surface rocks. For further study of the lake, it is necessary to drill a new access well and develop environmentally safe technologies for its exploration. This article discusses existing and potential technologies for sampling bottom surface rocks of subglacial lakes. All these technologies meet environmental safety requirements and are conducive for sampling. The authors have proposed an alternative technology, using a walking device, which, due to its mobility, enables selective sampling of rocks across a large area from a single access well. The principal issues, related to the implementation of the proposed technology, are investigated within this article. This report is prepared by a team of specialists with many years of experience in drilling at the Vostok Station in Antarctic and in experimental work on the design of equipment and non-standard means of mechanization for complicated mining, geological and climatic conditions.</t>
  </si>
  <si>
    <t>[V. Bolshunov, Aleksey; Vasiliev, Nikolay I.; Timofeev, Igor P.; Ignatiev, Sergey A. .; Vasiliev, Dmitrii A. .] St Petersburg Min Univ, St Petersburg, Russia; [Leichenkov, German L.] VNIIOkeangeologiya, St Petersburg, Russia; [Leichenkov, German L.] St Petersburg State Univ, St Petersburg, Russia</t>
  </si>
  <si>
    <t>Saint Petersburg Mining University; Saint Petersburg State University</t>
  </si>
  <si>
    <t>Bolshunov, AV (corresponding author), St Petersburg Min Univ, St Petersburg, Russia.</t>
  </si>
  <si>
    <t>bolshunov_av@pers.spmi.ru</t>
  </si>
  <si>
    <t>Васильев, Дмитрий/IAO-0238-2023</t>
  </si>
  <si>
    <t>Vasilev, Dmitrii/0000-0001-8132-8881; Vasilev, Dmitri/0000-0001-5552-861X</t>
  </si>
  <si>
    <t>[FSRW-2021-0011]</t>
  </si>
  <si>
    <t>The research was performed at the expense of the subsidy for the state assignment in the field of scientific activity for 2021. FSRW-2021-0011.</t>
  </si>
  <si>
    <t>SAINT-PETERSBURG MINING UNIV</t>
  </si>
  <si>
    <t>SANKT-PETERSBURG</t>
  </si>
  <si>
    <t>SAINT-PETERSBURG MINING UNIV, SANKT-PETERSBURG, 00000, RUSSIA</t>
  </si>
  <si>
    <t>2411-3336</t>
  </si>
  <si>
    <t>2541-9404</t>
  </si>
  <si>
    <t>J MIN INST</t>
  </si>
  <si>
    <t>J. Min. Inst.</t>
  </si>
  <si>
    <t>10.31897/PMI.2021.6.1</t>
  </si>
  <si>
    <t>Mining &amp; Mineral Processing</t>
  </si>
  <si>
    <t>YX2RS</t>
  </si>
  <si>
    <t>WOS:000753955900002</t>
  </si>
  <si>
    <t>Mytrokhyn, O</t>
  </si>
  <si>
    <t>Mytrokhyn, O.</t>
  </si>
  <si>
    <t>GEOLOGICAL INVESTIGATIONS IN THE UKRAINIAN ANTARCTIC STATION REGION BEFORE 1996</t>
  </si>
  <si>
    <t>geology; West Antarctica; Graham Coast; Wilhelm Archipelago</t>
  </si>
  <si>
    <t>GRAHAM LAND EXPEDITION; PENINSULA; ISLANDS; BISCOE; WORK</t>
  </si>
  <si>
    <t>The author submits a chronological account on the history of geological exploration on the Graham Coast and the Wilhelm Archipelago of West Antarctica within the time interval from 1819 to 1996. The state of geological exploration of this area before the creation of the Ukrainian Antarctic Station (UAS) here is determined. A number of conclusions were made regarding: the temporal sequence of individual studies and the geological specifics of the territories covered by them; conditions for carrying out and features of the organization of field works; the reliability of the results of individual geological surveys; the presence of unexplored territories. It was found out that all reconnaissance and geological survey work in the study area was carried out in the 30-50s of the XXth century. Medium-scale geological surveys of individual parts of the Graham Coast and adjacent islands were carried out under unfavorable conditions. This led to the fragmentariness of the created geological maps and their heterogeneous support by field observations. Due to poor ice conditions and local features of the organization of geological routes, numerous bays on the Graham Coast, as well as its hard-to-reach inland territories, have remained completely unexplored. Also, many of the islands of the Wilhelm Archipelago were not covered by geological survey. In particular, there was no way to explore those islands that are remote from the navigable Lemaire Channel, Penola Strait and Grandidier Channel. The Argentine Islands are the only site where a large-scale geological survey has been carried out. But the available large-scale geological map of the Argentine Islands has a number of significant disadvantages. The map contains only petrographic data. There are no elements of bedding of rocks, tectonic deformations, zones of postmagmatic changes, manifestations of ore mineralization. The spatial distribution of the main petrographic representatives does not always correspond to the true one. The relative ages of individual geological bodies are insufficiently substantiated, and sometimes, in general, are determined incorrectly. All of the above-mentioned explains why the level of geological knowledge about the area at the time of the creation of the UAS here remained much worse than in the adjacent territories.</t>
  </si>
  <si>
    <t>[Mytrokhyn, O.] Taras Schevchenko Natl Univ Kyiv, Inst Geol, 90 Vasylkivska Str, UA-03022 Kiev, Ukraine</t>
  </si>
  <si>
    <t>Ministry of Education &amp; Science of Ukraine; Taras Shevchenko National University of Kyiv; National Academy of Sciences Ukraine; Institute of Geological Sciences, National Academy of Sciences of Ukraine</t>
  </si>
  <si>
    <t>mitrokhin.a.v@ukr.net</t>
  </si>
  <si>
    <t>Mytrokhyn, Oleksandr/I-2020-2018</t>
  </si>
  <si>
    <t>Mytrokhyn, Oleksandr/0000-0001-6269-0092</t>
  </si>
  <si>
    <t>10.17721/1728-2713.94.02</t>
  </si>
  <si>
    <t>YY6MM</t>
  </si>
  <si>
    <t>WOS:000754902300002</t>
  </si>
  <si>
    <t>Starkweather, S; Larsen, JR; Kruemmel, E; Eicken, H; Arthurs, D; Bradley, AC; Carlo, N; Christensen, T; Daniel, R; Danielsen, F; Kalhok, S; Karcher, M; Johansson, M; Jóhannsson, H; Kodama, Y; Lund, S; Murray, MS; Petäjä, T; Pulsifer, PL; Sandven, S; Sankar, RD; Strahlendorff, M; Wilkinson, J</t>
  </si>
  <si>
    <t>Starkweather, Sandy; Larsen, Jan R.; Kruemmel, Eva; Eicken, Hajo; Arthurs, David; Bradley, Alice C.; Carlo, Nikoosh; Christensen, Tom; Daniel, Raychelle; Danielsen, Finn; Kalhok, Sarah; Karcher, Michael; Johansson, Margareta; Johannsson, Halldor; Kodama, Yuji; Lund, Sten; Murray, Maribeth S.; Petaja, Tuukka; Pulsifer, Peter L.; Sandven, Stein; Sankar, Ravi D.; Strahlendorff, Mikko; Wilkinson, Jeremy</t>
  </si>
  <si>
    <t>Sustaining Arctic Observing Networks' (SAON) Roadmap for Arctic Observing and Data Systems (ROADS)</t>
  </si>
  <si>
    <t>ARCTIC</t>
  </si>
  <si>
    <t>framework; roadmap; observing; data; Indigenous knowledge; societal benefit; essential variable; shared Arctic variable</t>
  </si>
  <si>
    <t>KNOWLEDGE; WORKING; SCIENCE</t>
  </si>
  <si>
    <t>Arctic observing and data systems have been widely recognized as critical infrastructures to support decision making and understanding across sectors in the Arctic and globally. Yet due to broad and persistent issues related to coordination, deployment infrastructure and technology gaps, the Arctic remains among the most poorly observed regions on the planet from the standpoint of conventional observing systems. Sustaining Arctic Observing Networks (SAON) was initiated in 2011 to address the persistent shortcomings in the coordination of Arctic observations that are maintained by its many national and organizational partners. SAON set forth a bold vision in its 2018-28 strategic plan to develop a roadmap for Arctic observing and data systems (ROADS) to specifically address a key gap in coordination efforts-the current lack of a systematic planning mechanism to develop and link observing and data system requirements and implementation strategies in the Arctic region. This coordination gap has hampered partnership development and investments toward improved observing and data systems. ROADS seeks to address this shortcoming through generating a systems-level view of observing requirements and implementation strategies across SAON's many partners through its roadmap. A critical success factor for ROADS is equitable participation of Arctic Indigenous Peoples in the design and development process, starting at the process design stage to build needed equity. ROADS is both a comprehensive concept, building from a societal benefit assessment approach, and one that can proceed step-wise so that the most imperative Arctic observations-here described as shared Arctic variables (SAVs)-can be rapidly improved. SAVs will be identified through rigorous assessment at the beginning of the ROADS process, with an emphasis in that assessment on increasing shared benefit of proposed system improvements across a range of partnerships from local to global scales. The success of the ROADS process will ultimately be measured by the realization of concrete investments in and well-structured partnerships for the improved sustainment of Arctic observing and data systems in support of societal benefit.</t>
  </si>
  <si>
    <t>[Starkweather, Sandy] Univ Colorado, Cooperat Inst Res Environm Sci, Boulder, CO 80309 USA; [Starkweather, Sandy] NOAA, 325 Broadway, Boulder, CO 80305 USA; [Larsen, Jan R.] Arctic Monitoring &amp; Assessment Program Secretaria, Fram Ctr, POB 6606, N-9296 Tromso, Norway; [Kruemmel, Eva] Inuit Circumpolar Council Canada, 75 Albert St,Suite 1001, Ottawa, ON K1P 5E7, Canada; [Eicken, Hajo] Univ Alaska Fairbanks, Int Arctic Res Ctr, 2160 Koyukuk Dr, Fairanks, AK 99775 USA; [Arthurs, David] Polar View ApS, Symfonivej 18, DK-2630 Herlev, Denmark; [Bradley, Alice C.] Williams Coll, Wachenheim Sci Ctr, Geosci Dept, 18 Hoxesy St, Williamstown, MA 01267 USA; [Carlo, Nikoosh] CNC North Consulting, Seattle, WA 98101 USA; [Christensen, Tom] Aarhus Univ, Arctic Res Ctr, Dept Biosci, Frederiksborgvej 399, DK-4000 Roskilde, Denmark; [Daniel, Raychelle] PEW Charitable Trusts, 111 SW Columbia St,Suite 200, Portland, OR 97201 USA; [Danielsen, Finn] Nordic Agcy Dev &amp; Ecol NORDECO, Skindergade 23, DK-1159 Copenhagen, Denmark; [Kalhok, Sarah] Indigenous &amp; Northern Affairs Canada, Northern Contaminants Program, 15 Eddy St, Gatineau, PQ J8X 4B3, Canada; [Karcher, Michael] Alfred Wegener Inst, Helmholtz Ctr Polar &amp; Marine Res, Handelshafen 12, D-27570 Bremerhaven, Germany; [Johansson, Margareta] Lund Univ, Solvegatan 14,Hus 1, S-22362 Lund, Sweden; [Johannsson, Halldor] Arctic Portal, Raohustorg 7, IS-600 Akureyri, Iceland; [Kodama, Yuji] Natl Inst Polar Res, 10-3 Midori Cho, Tokyo 1908518, Japan; [Lund, Sten] Minist Educ Culture Sports &amp; Church, Imaneq 1,POB 1029, Nuuk 3900, Greenland; [Murray, Maribeth S.; Sankar, Ravi D.] Univ Calgary, Arctic Inst North Amer, 2500 Univ Dr NW, Calgary, AB T2N 1N4, Canada; [Petaja, Tuukka] Univ Helsinki, Fac Sci, Inst Atmospher &amp; Earth Syst Res Phys, POB 64, Helsinki 00014, Finland; [Pulsifer, Peter L.] Carleton Univ, Geog &amp; Environm Studies, 1125 Colonel By Dr, Ottawa, ON K1S 5B6, Canada; [Sandven, Stein] Nansen Environm &amp; Remote Sensing Ctr, Jahnebakken 3, N-5007 Bergen, Norway; [Strahlendorff, Mikko] Finnish Meteorol Inst, Erik Palmenin Aukio 1, FL-00560 Helsinki, Finland; [Wilkinson, Jeremy] British Antarctic Survey, Madingley Rd, Cambridge CB3 0ET, England</t>
  </si>
  <si>
    <t>University of Colorado System; University of Colorado Boulder; National Oceanic Atmospheric Admin (NOAA) - USA; University of Alaska System; University of Alaska Fairbanks; Williams College; Aarhus University; Helmholtz Association; Alfred Wegener Institute, Helmholtz Centre for Polar &amp; Marine Research; Lund University; Research Organization of Information &amp; Systems (ROIS); National Institute of Polar Research (NIPR) - Japan; University of Calgary; University of Helsinki; Carleton University; Nansen Environmental &amp; Remote Sensing Center (NERSC); Finnish Meteorological Institute; UK Research &amp; Innovation (UKRI); Natural Environment Research Council (NERC); NERC British Antarctic Survey</t>
  </si>
  <si>
    <t>Starkweather, S (corresponding author), Univ Colorado, Cooperat Inst Res Environm Sci, Boulder, CO 80309 USA.;Starkweather, S (corresponding author), NOAA, 325 Broadway, Boulder, CO 80305 USA.</t>
  </si>
  <si>
    <t>sandy.starkweather@noaa.gov</t>
  </si>
  <si>
    <t>Christensen, Tom/ABA-6135-2020; Petäjä, Tuukka/A-8009-2008</t>
  </si>
  <si>
    <t>Christensen, Tom/0000-0002-8125-6459; Petäjä, Tuukka/0000-0002-1881-9044; Carlo, C. Nikoosh/0000-0003-2200-6289; STARKWEATHER, SANDRA/0000-0001-7369-1891; Karcher, Michael/0000-0002-9587-811X; Danielsen, Finn/0000-0003-0229-2847; Heyer, Hajo/0000-0003-4700-8176; Bradley, Alice/0000-0002-6953-5260; Daniel, Raychelle/0000-0002-0392-6453</t>
  </si>
  <si>
    <t>EU [727890, 869673, 101003472]; NOAA</t>
  </si>
  <si>
    <t>EU(European Union (EU)); NOAA(National Oceanic Atmospheric Admin (NOAA) - USA)</t>
  </si>
  <si>
    <t>The authors would like to thank the following programs for their support in participating in the framing of the ROADS process: NOAA's Arctic Research Program (Starkweather); EU H2020 projects INTAROS and CAPARDUS (grants no. 727890 and no. 869673, Danielsen and Sandven), and EU H2020 project Arctic PASSION (grant no. 101003472). We would like to thank our two anonymous reviewers in addition to those who provided comments on earlier versions of this draft: Will Ambrose, Christine Barnard, Carolina Behe, Nicole Biebow, Etienne Charpentier, Cathy Coon, Roberto Delgado, Lauren Divine, Attillio Gambardella, Jackie Grebmeier, Thorsteinn Gunnarsson, Nadezhda Kharlampieva, Kirsi Latola, Heikki Lihavainen, Lisa Loseto, Roberta Pirazzini, Allen Pope, Julie RaymondYakoubian, Sophie Seeyave, and Vito Vitale.</t>
  </si>
  <si>
    <t>ARCTIC INST N AMER</t>
  </si>
  <si>
    <t>CALGARY</t>
  </si>
  <si>
    <t>UNIV OF CALGARY 2500 UNIVERSITY DRIVE NW 11TH FLOOR LIBRARY TOWER, CALGARY, ALBERTA T2N 1N4, CANADA</t>
  </si>
  <si>
    <t>0004-0843</t>
  </si>
  <si>
    <t>1923-1245</t>
  </si>
  <si>
    <t>Arctic</t>
  </si>
  <si>
    <t>10.14430/arctic74330</t>
  </si>
  <si>
    <t>YT8QE</t>
  </si>
  <si>
    <t>WOS:000751616800004</t>
  </si>
  <si>
    <t>Smellie, JL; Collerson, KD</t>
  </si>
  <si>
    <t>Smellie, J. L.; Collerson, K. D.</t>
  </si>
  <si>
    <t>Gaussberg: volcanology and petrology</t>
  </si>
  <si>
    <t>EDZIZA VOLCANIC COMPLEX; NORTHWESTERN TASMANIA; LITHOSPHERIC MANTLE; BRITISH-COLUMBIA; TRACE-ELEMENTS; PILLOW LAVAS; ANTARCTICA; EVOLUTION; CLASSIFICATION; CONSTRAINTS</t>
  </si>
  <si>
    <t>Gaussberg is a nunatak composed of lamproite pillow lava situated on the coast of East Antarctica. It is the most isolated Quaternary volcanic centre in Antarctica but it is important palaeoenvironmentally and petrologically out of all proportion to its small size. The edifice has a likely low, shield-like, morphology c. 1200 m high and possibly up to 10 km wide, which is unusually large for a lamproite construct. Gaussberg was erupted subglacially at 56 +/- 5 ka, which places it late in the last glacial, close to the peak of marine isotope stage 3. The coeval ice sheet was c. 1300 m thick, and c. 420 m has been removed from the ice surface since Gaussberg erupted. Lamproite is a rare ultrapotassic mantle-derived magma, and Gaussberg is one of two type examples worldwide. Although traditionally considered as related in some way to the Kerguelen plume, it is more likely that the Gaussberg magma is a product of a separate magmatic event. It is ascribed to the storage and long-term (Gy) isolation of sediment emplaced by subduction in the Transition Zone of the deep mantle, followed by entrainment and subsequent melting in a plume.</t>
  </si>
  <si>
    <t>[Smellie, J. L.] Univ Leicester, Sch Geog Geol &amp; Environm, Univ Rd, Leicester LE1 7RH, Leics, England; [Collerson, K. D.] Univ Queensland, Sch Earth &amp; Environm Studies, St Lucia, Qld 4072, Australia</t>
  </si>
  <si>
    <t>University of Leicester; University of Queensland</t>
  </si>
  <si>
    <t>Smellie, JL (corresponding author), Univ Leicester, Sch Geog Geol &amp; Environm, Univ Rd, Leicester LE1 7RH, Leics, England.</t>
  </si>
  <si>
    <t>jls55@le.ac.uk</t>
  </si>
  <si>
    <t>Australian Antarctic Division</t>
  </si>
  <si>
    <t>Logistical support to KC for the Gaussberg voyage and field work was provided by a grant from the Australian Antarctic Division, which is gratefully acknowledged.</t>
  </si>
  <si>
    <t>10.1144/M55-2018-85</t>
  </si>
  <si>
    <t>WOS:000683732500030</t>
  </si>
  <si>
    <t>Lampert, S; Ingle, RA; Jackson, JA; Gopal, K; Plön, S</t>
  </si>
  <si>
    <t>Lampert, Sarah; Ingle, Robert A.; Jackson, Jennifer A.; Gopal, Keshni; Plon, Stephanie</t>
  </si>
  <si>
    <t>Low mitochondrial genetic diversity in the Indian Ocean humpback dolphin Sousa plumbea in South African waters</t>
  </si>
  <si>
    <t>ENDANGERED SPECIES RESEARCH</t>
  </si>
  <si>
    <t>Conservation; Population structure; Mitochondrial DNA; mtDNA; Genetics; Cetaceans; Sousa plumbea</t>
  </si>
  <si>
    <t>NATAL SHARK NETS; POPULATION-STRUCTURE; CEPHALORHYNCHUS-COMMERSONII; FRAGMENTED POPULATIONS; ENDEMIC HECTORS; MARINE MAMMALS; DNA VARIATION; GROUP-SIZE; ALGOA BAY; CONSERVATION</t>
  </si>
  <si>
    <t>The Indian Ocean humpback dolphin Sousa plumbea has been described as South Africa's most endangered marine mammal due to its low abundance, reliance on coastal habitats with increasing anthropogenic threats and high rates of mortality from bycatch in bather protection nets (BPNs). Although the species has been well studied in South Africa, only a single study has examined its molecular ecology to date, and its population structure remains poorly understood. However, understanding population structure is vital for the conservation and management of a species. To address these research gaps for S. plumbea in South African waters, we analysed the mitochondrial D-loop of 157 museum skin and tooth samples collected between 1963 and 2017 from across the species' geographic range in South Africa. Our data show that the humpback dolphin has extremely low mitochondrial diversity (haplotype diversity, H-D = 0.47; nucleotide diversity, pi = 0.2%) with only 3 haplotypes identified, which is comparable to the Critically Endangered Maui dolphin Cephalorhynchus hectori maui and the Critically Endangered Mekong population of Irrawaddy dolphin Orcaella brevirostris. Mitochondrial genetic diversity has not changed significantly in the last 50 yr, despite the high levels of bycatch in BPNs over this time period. Furthermore, we found no evidence of differentiation between dolphins from the KwaZulu-Natal Coast and the Cape South Coast (Western Cape and Eastern Cape). The extremely low mitochondrial diversity we found adds to the growing body of evidence that the humpback dolphin is becoming increasingly vulnerable and that urgent conservation efforts are required for the survival of the species.</t>
  </si>
  <si>
    <t>[Lampert, Sarah; Ingle, Robert A.] Univ Cape Town, Dept Mol &amp; Cell Biol, ZA-7700 Rondebosch, South Africa; [Jackson, Jennifer A.] British Antarctic Survey, Cambridge CB3 0ET, England; [Gopal, Keshni] South African Natl Biodivers Inst, Nat Sci Collect Facil, ZA-0186 Pretoria, South Africa; [Gopal, Keshni] Iziko South African Museums, Dept Nat Hist, ZA-8001 Cape Town, South Africa; [Plon, Stephanie] Bayworld Ctr Res &amp; Educ BCRE, ZA-6013 Port Elizabeth, South Africa; [Plon, Stephanie] Stellenbosch Univ, Dept Pathol, Div Med Virol, ZA-7505 Cape Town, South Africa</t>
  </si>
  <si>
    <t>University of Cape Town; UK Research &amp; Innovation (UKRI); Natural Environment Research Council (NERC); NERC British Antarctic Survey; South African National Biodiversity Institute; University of Cape Town; Stellenbosch University</t>
  </si>
  <si>
    <t>Plön, S (corresponding author), Bayworld Ctr Res &amp; Educ BCRE, ZA-6013 Port Elizabeth, South Africa.;Plön, S (corresponding author), Stellenbosch Univ, Dept Pathol, Div Med Virol, ZA-7505 Cape Town, South Africa.</t>
  </si>
  <si>
    <t>ploen@sun.ac.za</t>
  </si>
  <si>
    <t>Jackson, Jennifer A/E-7997-2013; Ploen, Stephanie/HGU-2443-2022; Ingle, Robert/C-5599-2008</t>
  </si>
  <si>
    <t>Ingle, Robert/0000-0002-8362-3777; Lampert, Sarah/0000-0002-6835-4628; Jackson, Jennifer/0000-0003-4158-1924; Plon, Stephanie/0000-0002-9649-226X</t>
  </si>
  <si>
    <t>ExxonMobil; National Research Foundation (NRF); Ecosystems component of the British Antarctic Survey Polar Science for Planet Earth Programme - Natural Environment Research Council; NERC [bas0100035] Funding Source: UKRI</t>
  </si>
  <si>
    <t>ExxonMobil(Exxon Mobil Corporation); National Research Foundation (NRF); Ecosystems component of the British Antarctic Survey Polar Science for Planet Earth Programme - Natural Environment Research Council; NERC(UK Research &amp; Innovation (UKRI)Natural Environment Research Council (NERC))</t>
  </si>
  <si>
    <t>We thank ExxonMobil for financial support towards this project and the National Research Foundation (NRF) for funding S.L.'s BSc Honours degree. Many thanks to the Port Elizabeth Museum and the Iziko South African Museum for the loan of samples for this project and the International Fund for Animal Welfare for supporting the sampling trips. We appreciate the support of the Ecosystems component of the British Antarctic Survey Polar Science for Planet Earth Programme, funded by The Natural Environment Research Council.</t>
  </si>
  <si>
    <t>1863-5407</t>
  </si>
  <si>
    <t>1613-4796</t>
  </si>
  <si>
    <t>ENDANGER SPECIES RES</t>
  </si>
  <si>
    <t>Endanger. Species Res.</t>
  </si>
  <si>
    <t>10.3354/esr01147</t>
  </si>
  <si>
    <t>Biodiversity Conservation</t>
  </si>
  <si>
    <t>Biodiversity &amp; Conservation</t>
  </si>
  <si>
    <t>YU0LC</t>
  </si>
  <si>
    <t>WOS:000751741800001</t>
  </si>
  <si>
    <t>Rossetti, F</t>
  </si>
  <si>
    <t>Rossetti, Fulvio</t>
  </si>
  <si>
    <t>NO MAN'S LAND, EVERYONE'S LAND. UNITY AND NATURE IN THE CULTURAL FIGURES OF THE ANTARCTIC PENINSULA AND SURROUNDINGS</t>
  </si>
  <si>
    <t>REVISTA 180</t>
  </si>
  <si>
    <t>Antarctica; borderland; landscape; territorial imaginaries</t>
  </si>
  <si>
    <t>This paper studies the history of the Antarctic territory disputed by Argentina, Chile, and the United Kingdom in the context of the processes that culminated in the recent Edenic resignification of the white continent: the attribution of positive cultural values to its condition of pristine space, the consequent withdrawal of commercial exploitation activities, the promotion of its pre- servation and the minimization of any impact. Being a shared place links its history to various processes of incorporation into collective imaginaries and national territories with different yearnings moving each country in the framework of actions, reactions, and territorial meanings this paper try to delve into. Regarding a morphological dimension, it is suggested that the wishes of each one was strengthened by integration projects, linked to international competition scenarios, and associated with notions of territorial unity, mostly catalysed by critical historic moments. Regarding its symbolic dimension, it is suggested that territorial cultural values depend on how Antarctic nature has been conceived in different visions of his future that were basically structured in two aspects. One of these is related to the understanding of its pristine status, perceived as a source of resources to extract or Eden to preserve. Another relates to those who should benefit from it, whether national, interna- tional, or global communities. These approaches allow delving into the different stages of the incorporation processes through architecture projects, infrastructure, geopolitical strategies, and cartographies or even novels and photographs. Trying to overcome the paradigm of a conceptual separation between transformations of the land and its representations, these are understood as figures, cultural manifestations and fragments of discourses underlying the incorporation dynamics: different kind of elements that can be transversally read through the notions of unity and meanings of nature they support.</t>
  </si>
  <si>
    <t>[Rossetti, Fulvio] Pontificia Univ Catolica Chile, Santiago, Chile</t>
  </si>
  <si>
    <t>Pontificia Universidad Catolica de Chile</t>
  </si>
  <si>
    <t>Rossetti, F (corresponding author), Pontificia Univ Catolica Chile, Santiago, Chile.</t>
  </si>
  <si>
    <t>frossett@uc.cl</t>
  </si>
  <si>
    <t>UNIV DIEGO PORTALES</t>
  </si>
  <si>
    <t>SANTIAGO</t>
  </si>
  <si>
    <t>REPUBLICA 180, SANTIAGO, 00000, CHILE</t>
  </si>
  <si>
    <t>0718-2309</t>
  </si>
  <si>
    <t>REV 180</t>
  </si>
  <si>
    <t>Rev. 180</t>
  </si>
  <si>
    <t>10.32995/rev180.Num-47.(2021).art-792</t>
  </si>
  <si>
    <t>Architecture</t>
  </si>
  <si>
    <t>YI9ZM</t>
  </si>
  <si>
    <t>WOS:000744199100004</t>
  </si>
  <si>
    <t>Canadell, JG; Jackson, RB</t>
  </si>
  <si>
    <t>Jackson, RB; Canadell, JG</t>
  </si>
  <si>
    <t>Canadell, Josep G.; Jackson, Robert B.</t>
  </si>
  <si>
    <t>Ecosystem Collapse and Climate Change: An Introduction</t>
  </si>
  <si>
    <t>ECOSYSTEM COLLAPSE AND CLIMATE CHANGE</t>
  </si>
  <si>
    <t>Ecological Studies-Analysis and Synthesis</t>
  </si>
  <si>
    <t>Editorial Material; Book Chapter</t>
  </si>
  <si>
    <t>REGIME SHIFTS; BIODIVERSITY; EMISSIONS; FOREST</t>
  </si>
  <si>
    <t>Concerns about climate-related collapse of ecosystems are growing, including the irreversible loss of habitats, species, and critical ecosystem functions. Diverse terrestrial and marine ecosystems have experienced collapse-like dynamics throughout the world, particularly over the past decade. This book addresses the over-arching question: Are we seeing predicted future climate impacts now, with the rapid transformation and loss of ecosystems as we know them? In each case of ecosystem collapse documented here, the authors believe that climate change is playing a dominant or contributing role to the ecosystem's apparent demise, often interacting with other pressures. The book covers three latitudinal regions: (1) polar and boreal ecosystems, such as the impacts of water stress with a novel pathogen on alpine vegetation mosaics in Antarctic Macquarie Island, forest transitions to shrublands and grasslands due to interactions between temperature and fire in Southern Siberia and North America, and rapid changes in vegetation and ecosystem functions in the permafrost region as thawing is rapidly taking place; (2) temperate and semi-arid ecosystems, including the impacts of fire on a paleo-endemic alpine ecosystem in Tasmania, and the interactions between drought and heatwaves in forests in the Mediterranean, Western USA, and elsewhere; (3) tropical and temperate coastal ecosystems, including the impacts of marine heatwaves on coral reefs of the Great Barrier Reef and Mediterranean Sea, and kelp forests and seagrass meadows in Western Australia. One goal of this book is to raise awareness of the abrupt transitions already occurring today. We hope that the changes documented here will increase awareness and help scientists and managers restore lost or degraded ecosystems, and where possible, their species and ecosystem functioning or guide transitions towards more resilient ecosystems in the face of rapid changes.</t>
  </si>
  <si>
    <t>[Canadell, Josep G.] CSIRO Oceans &amp; Atmosphere, Climate Sci Ctr, Global Carbon Project, Canberra, ACT, Australia; [Jackson, Robert B.] Stanford Univ, Woods Inst Environm, Dept Earth Syst Sci, Stanford, CA 94305 USA; [Jackson, Robert B.] Stanford Univ, Precourt Inst Energy, Stanford, CA 94305 USA</t>
  </si>
  <si>
    <t>Commonwealth Scientific &amp; Industrial Research Organisation (CSIRO); Stanford University; Stanford University</t>
  </si>
  <si>
    <t>Canadell, JG (corresponding author), CSIRO Oceans &amp; Atmosphere, Climate Sci Ctr, Global Carbon Project, Canberra, ACT, Australia.;Jackson, RB (corresponding author), Stanford Univ, Woods Inst Environm, Dept Earth Syst Sci, Stanford, CA 94305 USA.;Jackson, RB (corresponding author), Stanford Univ, Precourt Inst Energy, Stanford, CA 94305 USA.</t>
  </si>
  <si>
    <t>pep.canadell@csiro.au; rob.jackson@stanford.edu</t>
  </si>
  <si>
    <t>Canadell, Pep/E-9419-2010</t>
  </si>
  <si>
    <t>Canadell, Pep/0000-0002-8788-3218; Jackson, Robert/0000-0001-8846-7147</t>
  </si>
  <si>
    <t>233 SPRING STREET, NEW YORK, NY 10013, UNITED STATES</t>
  </si>
  <si>
    <t>0070-8356</t>
  </si>
  <si>
    <t>978-3-030-71330-0; 978-3-030-71329-4</t>
  </si>
  <si>
    <t>ECOL STUD-ANAL SYNTH</t>
  </si>
  <si>
    <t>Ecol. Stud.</t>
  </si>
  <si>
    <t>10.1007/978-3-030-71330-0_1</t>
  </si>
  <si>
    <t>10.1007/978-3-030-71330-0</t>
  </si>
  <si>
    <t>BS5XI</t>
  </si>
  <si>
    <t>WOS:000743588800002</t>
  </si>
  <si>
    <t>Bergstrom, DM; Dickson, CR; Baker, DJ; Winham, J; Selkirk, PM; McGeoch, MA</t>
  </si>
  <si>
    <t>Bergstrom, Dana M.; Dickson, Catherine R.; Baker, David J.; Winham, Jennie; Selkirk, Patricia M.; McGeoch, Melodie A.</t>
  </si>
  <si>
    <t>Ecosystem Collapse on a Sub-Antarctic Island</t>
  </si>
  <si>
    <t>MACQUARIE ISLAND; CLIMATE-CHANGE; RANGE EXPANSION; SHIFTS</t>
  </si>
  <si>
    <t>Sub-Antarctic Macquarie Island has been the location of a rapid ecosystem collapse in its most dominant vegetation assemblage, the Macquarie Island alpine mosaic, beginning around 2008 and continuing today. An ecosystem engineer and endemic, keystone species, the cushion plant, Azorella macquariensis (Apiaceae), and associated bryophyte species have undergone sudden and widespread dieback. Additional species, particularly the megaherb daisy, Pleurophyllum hookeri (Asteraceae), are currently also showing widespread mortality. Initially, water stress linked to long-term changes in climate appeared to be the primary pressure causing dieback, with a secondary putative pathogen emerging. However, over the last 10 years there has been a shift in fundamental ecosystem processes with the pathogenic system appearing to be the current predominant cause of dieback. This change suggests that a threshold has been crossed into a new operating state. Furthermore, an ecosystem regime shift with two clear new states (grassland and bare ground) appears to be emerging with the loss of the ecosystem engineering species from many areas of fellfield. Modelling suggests that cold refugia may allow current elements to survive into the future, but as interstitial species, rather than as dominants present at the start of the twenty-first century. This ecosystem presents a potential exemplar for climate change response in patchy, resource-concentrated ecosystems elsewhere. In particular, showing how interactions change in response to climate change and how longer-term consequences may emerge following short-term effects.</t>
  </si>
  <si>
    <t>[Bergstrom, Dana M.] Australian Antarctic Div, Dept Agr Water &amp; Environm, Kingston, Tas, Australia; [Bergstrom, Dana M.] Univ Wollongong, Global Challenges Program, Wollongong, NSW, Australia; [Dickson, Catherine R.; McGeoch, Melodie A.] Monash Univ, Sch Biol Sci, Clayton, Vic, Australia; [Baker, David J.] Univ Exeter, Environm &amp; Sustainabil Inst, Penryn, Cornwall, England; [Winham, Jennie] Univ Tasmania, Geog &amp; Spatial Studies, Hobart, Tas, Australia; [Selkirk, Patricia M.] Macquarie Univ, Dept Biol Sci, Sydney, NSW, Australia</t>
  </si>
  <si>
    <t>Australian Antarctic Division; University of Wollongong; Monash University; University of Exeter; University of Tasmania; Macquarie University</t>
  </si>
  <si>
    <t>Bergstrom, DM (corresponding author), Australian Antarctic Div, Dept Agr Water &amp; Environm, Kingston, Tas, Australia.;Bergstrom, DM (corresponding author), Univ Wollongong, Global Challenges Program, Wollongong, NSW, Australia.</t>
  </si>
  <si>
    <t>Dana.Bergstrom@awe.gov.au; cath.dickson@monash.edu; D.Baker2@exeter.ac.uk; j.whinam@utas.edu.au; pselkirk@pip.com.au</t>
  </si>
  <si>
    <t>McGeoch, Melodie A/F-8353-2011; Dickson, Catherine/J-5698-2016</t>
  </si>
  <si>
    <t>Dickson, Catherine/0000-0002-9701-346X</t>
  </si>
  <si>
    <t>10.1007/978-3-030-71330-0_2</t>
  </si>
  <si>
    <t>WOS:000743588800003</t>
  </si>
  <si>
    <t>Sen Özdemir, N; Feyzioglu, AM; Caf, F</t>
  </si>
  <si>
    <t>Sen Ozdemir, Nurgul; Feyzioglu, Ali Muzaffer; Caf, Fatma</t>
  </si>
  <si>
    <t>The evaluation of seasonal fatty acid composition and food sources of Pileurobrachia pileus (Ctenophora) in terms of trophic marker fatty acids in the Southeastern Black Sea</t>
  </si>
  <si>
    <t>SU URUNLERI DERGISI</t>
  </si>
  <si>
    <t>DHA; EPA; fatty acid; Southeastern Black Sea; Pileurobrachia pileus; trophic marker</t>
  </si>
  <si>
    <t>PLEUROBRACHIA-PILEUS; ZOOPLANKTON FOOD; ANTARCTIC KRILL; AURELIA-AURITA; SOUTH GEORGIA; LIPIDS; ABUNDANCE; TROPHODYNAMICS; COPEPODS; BEHAVIOR</t>
  </si>
  <si>
    <t>Seasonal changes of the lipid and fatty acid composition of Pleurobrachia pileus investigated monthly from March 2012 to February 2013. Average total lipid content was determined as percentage (%) and per individual (mg ind-1). It was highest in February (1.48 %; 3.55 mg ind-1). However, it was proportionally the lowest in April (0.40 %), and per individual in August (0.33 mg ind-1). Major fatty acids of P. pileus were identified as 16:0, 14:0, 11:1 n-9c, 20:5 n-3, and 22:6 n-3. P. pileus had on average 27.27 % Sigma SFA, 25.04 % Sigma MUFA and 47.63 % Sigma PUFA content. EPA and DHA were the major fatty acids from PUFA. Seasonal changes of DHA were more obvious than EPA (p&lt;0.05). Herbivore calanoid zooplankton trophic markers; 20:1 n-9 and DHA/EPA and herbivory trophic markers; EPA and DHA content were high in P. pileus fatty acids. It showed that herbivory fatty acids were taken by feeding from herbivory zooplankton and phytoplankton. Diet was an important factor in seasonal fatty acid changes of P. pileus. In addition, we revealed that P. pileus has a rich lipid content and fatty acid composition and plays an important role in the Southeastern Black Sea ecosystem functionalities between herbivory and carnivory species.</t>
  </si>
  <si>
    <t>[Sen Ozdemir, Nurgul; Caf, Fatma] Bingol Univ, Vocat Sch Tech Sci, Dept Vet Med, TR-12000 Bingol, Turkey; [Feyzioglu, Ali Muzaffer] Karadeniz Tech Univ, Surmene Fac Marine Sci, Dept Marine Sci &amp; Technol Engn, TR-61530 Trabzon, Turkey; [Caf, Fatma] BingOlUniv, Vocat Sch Tech Sci, Dept Vet Med, TR-12000 Bingol, Turkey</t>
  </si>
  <si>
    <t>Bingol University; Karadeniz Technical University</t>
  </si>
  <si>
    <t>Sen Özdemir, N (corresponding author), Bingol Univ, Vocat Sch Tech Sci, Dept Vet Med, TR-12000 Bingol, Turkey.</t>
  </si>
  <si>
    <t>nsozdemir@bingol.edu.tr</t>
  </si>
  <si>
    <t>KTU BAP [2010.117.001.9]</t>
  </si>
  <si>
    <t>KTU BAP(Karadeniz Technical University)</t>
  </si>
  <si>
    <t>We thank research assistant Umit Dokuzparmak, the crew of KTU YAKAMOZ for help in collection of the samples and Prof. Dr. Okkes Yilmaz for his help with GC analyses. This work was a part of PhD study supported by KTU BAP. 2010.117.001.9.</t>
  </si>
  <si>
    <t>EGE UNIV, FAC FISHERIES</t>
  </si>
  <si>
    <t>BORNOVA-IZMIR</t>
  </si>
  <si>
    <t>EGE UNIV, FAC FISHERIES, BORNOVA-IZMIR, 35100, TURKEY</t>
  </si>
  <si>
    <t>1300-1590</t>
  </si>
  <si>
    <t>2148-3140</t>
  </si>
  <si>
    <t>Su Urunleri Dergisi</t>
  </si>
  <si>
    <t>10.12714/egejfas.38.2.10</t>
  </si>
  <si>
    <t>YK2OO</t>
  </si>
  <si>
    <t>WOS:000745059200010</t>
  </si>
  <si>
    <t>Jackson, GD; Pethybridge, HR; Virtue, P</t>
  </si>
  <si>
    <t>Jackson, George D.; Pethybridge, Heidi R.; Virtue, Patti</t>
  </si>
  <si>
    <t>Evidence for feeding on seabirds by the Southern Ocean ommastrephid squid Todarodes filippovae</t>
  </si>
  <si>
    <t>AMERICAN MALACOLOGICAL BULLETIN</t>
  </si>
  <si>
    <t>Aviphagy; Cephalopod; Predation; Petrel; Stomach contents</t>
  </si>
  <si>
    <t>A unique and rare event of consumption of a seabird (aviphagy) was recorded for a Southern Ocean squid in Australian waters. Petrel remains were identified in the stomach contents of a large (518 mm Mantle Length, 3.4 kg) female ommastrephid squid, Todarodes filippovae (Adam 1975) captured off the southern coast of Tasmania, Australia. The remains were identified as to being from either a fairy prion Pachyptila turtur or white-faced storm petrel Pelagodroma marina. This unique observation expands the evidence for aviphagy recorded in other cephalopods to now include squid.</t>
  </si>
  <si>
    <t>[Jackson, George D.] Loma Linda Univ, Sch Med, Dept Earth &amp; Biol Sci, Loma Linda, CA 92350 USA; [Pethybridge, Heidi R.; Virtue, Patti] CSIRO, Oceans &amp; Atmosphere, Hobart, Tas 7000, Australia; [Virtue, Patti] Univ Tasmania, Inst Marine &amp; Antarctic Studies, Private Bag 129, Hobart, Tas 7001, Australia</t>
  </si>
  <si>
    <t>Loma Linda University; Commonwealth Scientific &amp; Industrial Research Organisation (CSIRO); University of Tasmania</t>
  </si>
  <si>
    <t>Jackson, GD (corresponding author), Loma Linda Univ, Sch Med, Dept Earth &amp; Biol Sci, Loma Linda, CA 92350 USA.</t>
  </si>
  <si>
    <t>GDJackson@iu.edu</t>
  </si>
  <si>
    <t>Pethybridge, Heidi/AAI-9824-2021</t>
  </si>
  <si>
    <t>AMER MALACOLOGICAL SOC, INC</t>
  </si>
  <si>
    <t>WILMINGTON</t>
  </si>
  <si>
    <t>DELAWARE MUSEUM NATURAL HISTORY, BOX 3937, WILMINGTON, DE 19807-0937 USA</t>
  </si>
  <si>
    <t>0740-2783</t>
  </si>
  <si>
    <t>2162-2698</t>
  </si>
  <si>
    <t>AM MALACOL BULL</t>
  </si>
  <si>
    <t>Am. Malacol. Bull.</t>
  </si>
  <si>
    <t>10.4003/006.038.0205</t>
  </si>
  <si>
    <t>YH8KN</t>
  </si>
  <si>
    <t>WOS:000743410100005</t>
  </si>
  <si>
    <t>Muñoz-Ramírez, CP; Beltrán-Concha, M; Pérez-Araneda, K; Sands, CJ; Barnes, DKA; Román-González, A; De Lecea, AM; Retallick, K; Van Landeghem, K; Sheen, K; Gonnelli, K; Scourse, J; Bascur, M; Brante, A</t>
  </si>
  <si>
    <t>Munoz-Ramirez, Carlos P.; Beltran-Concha, Maribel; Perez-Araneda, Karla; Sands, Chester J.; Barnes, David K. A.; Roman-Gonzalez, Alejandro; de Lecea, Ander M.; Retallick, Katherine; van Landeghem, Katrien; Sheen, Katy; Gonnelli, Kelly; Scourse, James; Bascur, Miguel; Brante, Antonio</t>
  </si>
  <si>
    <t>Genetic variation in the small bivalve Nuculana inaequisculpta along a retreating glacier fjord, King George Island, Antarctica</t>
  </si>
  <si>
    <t>REVISTA DE BIOLOGIA MARINA Y OCEANOGRAFIA</t>
  </si>
  <si>
    <t>Key words; COI; climate change; dispersal capability; Western Antarctic Peninsula</t>
  </si>
  <si>
    <t>SOUTH SHETLAND ISLANDS; CLIMATE-CHANGE; R-PACKAGE; INVERTEBRATES; DIVERSITY</t>
  </si>
  <si>
    <t>Climate change is strongly influencing regions of Antarctica but the consequences on microevolutionary processes have been little studied. Patterns of population genetic diversity were analysed in the Antarctic bivalve Nuculana inaequisculpta (Protobranchia: Nuculanidae) from a fjord with 70 years of documented climate-forced glacier retreat. Thirty-nine individuals from five sites at different distances from the glacier terminus were collected, and the COI gene was sequenced from each individual. No statistically significant genetic differentiation was found between sites nor a significant correlation between the proximity of glaciers and genetic diversity, suggesting a high dispersal capability and therefore, a planktonic larval stage for this species. Nevertheless, we encourage increasing the sample size and number of loci in future studies to confirm our findings.</t>
  </si>
  <si>
    <t>[Munoz-Ramirez, Carlos P.] Univ Metropolitana Ciencias Educ, Inst Entomol, Av Jose Pedro Alessandri 774, Nunoa, Region Metropol, Chile; [Beltran-Concha, Maribel; Perez-Araneda, Karla; Gonnelli, Kelly; Bascur, Miguel; Brante, Antonio] Univ Catolica Santisima Concepcion, Fac Ciencias, Av Alonso de Ribera 2850, Concepcion, Chile; [Brante, Antonio] Univ Catolica Santisima Concepcion, Ctr Invest Biodiversidad &amp; Ambientes Sustentables, Av Alonso de Ribera 2850, Concepcion, Chile; [Sands, Chester J.; Barnes, David K. A.] British Antarctic Survey, NERC, Madingley Rd, Cambridge CB3 0ET, England; [Roman-Gonzalez, Alejandro; Sheen, Katy; Scourse, James] Univ Exeter, Coll Life &amp; Environm Sci, Penryn Campus, Penryn TR10 9FE, Cornwall, England; [de Lecea, Ander M.] South Atlantic Environm Res Inst, North Ross Rd, Stanley FIQQ 1ZZ, Falkland Island; [de Lecea, Ander M.] Univ South Africa, Coll Agr &amp; Environm Sci, Dept Environm Sci, Preller St, Pretoria, South Africa; [Retallick, Katherine; van Landeghem, Katrien] Bangor Univ, Sch Ocean Sci, Askew St, Menai Bridge LL59 5AB, Gwynedd, Wales</t>
  </si>
  <si>
    <t>Universidad Metropolitana de Ciencias de la Educacion (UMCE); Universidad Catolica de la Santisima Concepcion; Universidad Catolica de la Santisima Concepcion; UK Research &amp; Innovation (UKRI); Natural Environment Research Council (NERC); NERC British Antarctic Survey; University of Exeter; University of South Africa; Bangor University</t>
  </si>
  <si>
    <t>Muñoz-Ramírez, CP (corresponding author), Univ Metropolitana Ciencias Educ, Inst Entomol, Av Jose Pedro Alessandri 774, Nunoa, Region Metropol, Chile.</t>
  </si>
  <si>
    <t>carlos.munoz@umce.cl</t>
  </si>
  <si>
    <t>Bascur, Miguel/AAJ-4426-2021; Muñoz-Ramirez, Carlos/F-8969-2012; Gonnelli, Kelly/KGK-7794-2024; Van Landeghem, Katrien/G-7423-2011</t>
  </si>
  <si>
    <t>Muñoz-Ramirez, Carlos/0000-0003-1348-5476; M. de Lecea, Ander/0000-0002-3909-1371; Retallick, Kate/0000-0003-4687-3950; Bascur, Miguel Angel/0000-0002-4076-4262; Sands, Chester/0000-0003-1028-0328; Sheen, Katy/0000-0001-8770-7479; Barnes, David/0000-0002-9076-7867; Van Landeghem, Katrien/0000-0002-1040-9956; Brante, Antonio/0000-0002-2699-9700</t>
  </si>
  <si>
    <t>CONICYT-NERC project ICEBERGs [PII20150078]; CONICYT-FONDECYT Postdoctorado [3180331]; NERC [NE/P003060/1, NE/P003087/1, bas0100036] Funding Source: UKRI</t>
  </si>
  <si>
    <t>CONICYT-NERC project ICEBERGs; CONICYT-FONDECYT Postdoctorado(Comision Nacional de Investigacion Cientifica y Tecnologica (CONICYT)CONICYT FONDECYT); NERC(UK Research &amp; Innovation (UKRI)Natural Environment Research Council (NERC))</t>
  </si>
  <si>
    <t>We thank INACH and the research grants CONICYT-NERC project ICEBERGs (PII20150078) and CONICYT-FONDECYT Postdoctorado (3180331) and especially the crew of the RRS James Clark Ross for their great work and effort in the pursue of a successful cruise. We also appreciate the helpful feedback provided by two anonymous reviewers that greatly improved the manuscript.</t>
  </si>
  <si>
    <t>UNIV VALPARAISO</t>
  </si>
  <si>
    <t>VINA DEL MAR</t>
  </si>
  <si>
    <t>FACULTAD CIENCIAS MAR RECURSOS NATURALES, CASILLA 5080 - RENACA, VINA DEL MAR, 00000, CHILE</t>
  </si>
  <si>
    <t>0717-3326</t>
  </si>
  <si>
    <t>0718-1957</t>
  </si>
  <si>
    <t>REV BIOL MAR OCEANOG</t>
  </si>
  <si>
    <t>Rev. Biol. Mar. Oceanogr.</t>
  </si>
  <si>
    <t>10.22370/rbmo.2021.56.2.3059</t>
  </si>
  <si>
    <t>YG3NC</t>
  </si>
  <si>
    <t>Green Submitted, hybrid, Green Accepted</t>
  </si>
  <si>
    <t>WOS:000742398200007</t>
  </si>
  <si>
    <t>Duan, PZ; Mahata, S; Zong, BY; Sha, LJ; Zhang, P; Ning, YF; Cheng, H</t>
  </si>
  <si>
    <t>Duan, Pengzhen; Mahata, Sasadhar; Zong, Baoyun; Sha, Lijuan; Zhang, Pu; Ning, Youfeng; Cheng, Hai</t>
  </si>
  <si>
    <t>Comparison of mass spectrometry and spectroscopy methods applied to measurements of water triple oxygen isotopic compositions</t>
  </si>
  <si>
    <t>CHINESE SCIENCE BULLETIN-CHINESE</t>
  </si>
  <si>
    <t>Chinese</t>
  </si>
  <si>
    <t>hydrological cycle; triple oxygen isotopes; spectroscopy (Picarro); mass spectrometry; international standard waters; precipitation</t>
  </si>
  <si>
    <t>HIGH-PRECISION MEASUREMENTS; DEUTERIUM-EXCESS; STABLE-ISOTOPES; DELTA-O-17; RATIOS; CO2; O-17-EXCESS; O-17/O-16; VSMOW; O-2</t>
  </si>
  <si>
    <t>High-precision measurements of oxygen isotopic compositions in water are of great importance for understanding regional and global hydrological cycles and historical hydroclimate change. Several methods have been developed to determine the triple oxygen isotopic proxy (O-17-excess) in water. However, these methods are not applicable because of poor precision or poisonous compound utilisation. Recently. a method based on CO2-H2O equilibration followed by an isotopic exchange between CO2 and O-2 catalysed by hot platinum, was developed to measure water O-17-excess with high precision (less than 10 per meg, 1 per meg=10(-6)). It has also been demonstrated that this method has the capability to obtain sufficiently precise water O-17-excess values, by performing more injections per sample and/or giving longer integration time per injection. Here, we describe the water O-17-excess measurement method using cavity ring-down spectroscopy (Picarro L2140-i) and mass spectrometry (MAT 253) devices, the latter of which comprises CO2-H2O equilibrium and CO2-O-2 equilibration systems that produce pretreated O-2 for measurement. The excellent agreement between the oxygen isotopic compositions of international standard waters, derived from both methods, and the recommended or previously reported values, confirms the reliability and accuracy of the two methods. Each method has advantages and disadvantages in terms of efficiency, sensitivity to environmental disturbance, sample quantity demand, and so on. Repeated measurements of Greenland Ice Sheet Precipitation (GISP) were performed to check the reliability of the data normalisation method to the Vienna Standard Mean Ocean Water-Standard Light Antarctic Precipitation (VSMOW-SLAP) scale. For the Picarro method, delta(18)O(VSMOW-SLAP )and delta O-17(VSMOW-SLAP) values equalled -24.80 parts per thousand +/- 0.03 parts per thousand and -13.15 parts per thousand +/- 0.02 parts per thousand, respectively (l sigma), while for the mass spectrometry method, delta O-18(VSMOW-SLAP) and delta O-18(VSMOW-SLAP) values equalled -24.82 parts per thousand +/- 0.04 parts per thousand and -13.16 parts per thousand +/- 0.03 parts per thousand, respectively (l sigma). The International Atomic Energy Agency (IAEA) reported a GISP delta O-18(VSMOW-SLAP) value of -24.76 parts per thousand +/- 0.09 parts per thousand(1 sigma). and the average GISP delta 17O(VSMOW-SLAP) value from previous studies is -13.12 parts per thousand +/- 0.06 parts per thousand. O-17-excess values were calculated from oxygen isotope ratios, and we obtained an average value of 26 +/- 8 and 21 +/- 6 per meg (1 sigma) for the Picarro and mass spectrometry methods, respectively, both of which are close to the average of previously reported values (22 +/- 11 per meg). Collectively. these results demonstrate that both methods can be used to obtain accurate water triple oxygen isotopes with high precision. Moreover, both methods reproduce the previously reported 26 per meg difference between USGS 45 and USGS 47 O-17-excess values. This demonstrates the ability of the methods to distinguish the differences in precipitation. atmospheric vapour, cave drip water, and ice core water samples. Triple oxygen isotope measurement methods were applied to determine summer and winter precipitation O-17-excess values from Nanjing, Xi'an, and Urumqi, which exhibit distinct spatiotemporal differences. Although the precipitation delta O-18 values in Nanjing and Xi'an were significantly greater in winter and lower in summer, seasonal changes in O-17-excess appear complex, and thus more data are required. The precipitation delta O-18 values from Urumqi show the opposite pattern, with higher O-17-excess values in winter. Additional measurements are required to confirm this pattern.</t>
  </si>
  <si>
    <t>[Duan, Pengzhen; Mahata, Sasadhar; Zong, Baoyun; Sha, Lijuan; Zhang, Pu; Ning, Youfeng; Cheng, Hai] Xi An Jiao Tong Univ, Inst Global Environm Change, Xian 710049, Peoples R China</t>
  </si>
  <si>
    <t>Xi'an Jiaotong University</t>
  </si>
  <si>
    <t>Cheng, H (corresponding author), Xi An Jiao Tong Univ, Inst Global Environm Change, Xian 710049, Peoples R China.</t>
  </si>
  <si>
    <t>cheng021@xjtu.edit.cn</t>
  </si>
  <si>
    <t>CHENG, HAI/H-3413-2017</t>
  </si>
  <si>
    <t>CHENG, HAI/0000-0002-5305-9458</t>
  </si>
  <si>
    <t>EPHRATA</t>
  </si>
  <si>
    <t>300 WEST CHESNUT ST, EPHRATA, PA 17522 USA</t>
  </si>
  <si>
    <t>0023-074X</t>
  </si>
  <si>
    <t>2095-9419</t>
  </si>
  <si>
    <t>CHIN SCI B-CHIN</t>
  </si>
  <si>
    <t>Chin. Sci. Bull.-Chin.</t>
  </si>
  <si>
    <t>10.1360/TB-2021-0773</t>
  </si>
  <si>
    <t>YB9QB</t>
  </si>
  <si>
    <t>WOS:000739336100009</t>
  </si>
  <si>
    <t>Raksha, N; Kalmukova, O; Vovk, T; Halenova, T; Dzerzhynsky, M; Savchuk, O; Ostapchenko, L</t>
  </si>
  <si>
    <t>Raksha, Nataliia; Kalmukova, Olesia; Vovk, Tetiana; Halenova, Tetiana; Dzerzhynsky, Mykola; Savchuk, Olexiy; Ostapchenko, Ludmila</t>
  </si>
  <si>
    <t>EFFECTS OF PEPTIDES DERIVED FROM THE ANTARCTIC SCALLOP ADAMUSSIUM COLBECKI ON OBESE RATS' ADIPOSE TISSUE HISTOPHYSIOLOGY</t>
  </si>
  <si>
    <t>CARPATHIAN JOURNAL OF FOOD SCIENCE AND TECHNOLOGY</t>
  </si>
  <si>
    <t>High-calorie diet-induced obesity; Visceral white adipose tissue; Antarctic marine hydrobiont; Low grade inflammation; Mast cells</t>
  </si>
  <si>
    <t>BIOACTIVE COMPOUNDS; MARINE; FOOD</t>
  </si>
  <si>
    <t>The researchers have currently investigated the possibilities of organisms from extreme living conditions as sources to obtain active biomolecules for therapy of different metabolic diseases including obesity. The purpose of the present study was to evaluated the effect of functionally active peptides derived from the tissues of Antarctic scallop (PAS) Adamussium colbecki on rat's visceral white adipose tissue (WAT) state during high-calorie diet induced obesity development. It has been found that after daily oral administration of PAS at a dose of 5 mg.kg(-1) of body weight for 6 weeks, obese rat's WAT histophysiology was improved, which was manifested in the decline in chronic inflammation due to decrease in the relative visceral fat weight, the size of white adipocytes, the fibrosis level in WAT and the crown-like structure presence in comparison with the rats, which were on a high-calorie diet (HCD). In addition, the body weight gain and the mast cell number in WAT of the rats with PAS showed an intermediate value, as they did not differ from both control and HCD groups. These data allow suggesting that oral administration of PAS to obese rats affects WAT inflammatory state and, in particular, ameliorates complications after HCD intakes.</t>
  </si>
  <si>
    <t>[Raksha, Nataliia; Vovk, Tetiana; Halenova, Tetiana; Savchuk, Olexiy; Ostapchenko, Ludmila] Taras Shevchenko Natl Univ Kyiv, Dept Biochem, Educ &amp; Sci Ctr, Inst Biol &amp; Med, Kiev, Ukraine; [Kalmukova, Olesia; Dzerzhynsky, Mykola] Taras Shevchenko Natl Univ Kyiv, Dept Cytol Histol &amp; Reprod Med, Educ &amp; Sci Ctr, Inst Biol &amp; Med, Kiev, Ukraine</t>
  </si>
  <si>
    <t>Ministry of Education &amp; Science of Ukraine; Taras Shevchenko National University of Kyiv; Ministry of Education &amp; Science of Ukraine; Taras Shevchenko National University of Kyiv</t>
  </si>
  <si>
    <t>Raksha, N (corresponding author), Taras Shevchenko Natl Univ Kyiv, Dept Biochem, Educ &amp; Sci Ctr, Inst Biol &amp; Med, Kiev, Ukraine.</t>
  </si>
  <si>
    <t>nkudina2021@gmail.com</t>
  </si>
  <si>
    <t>Savchuk, Olexiy/GQH-1456-2022; Savchuk, Olexiy/M-5589-2019; Ostapchenko, Liudmyla/ISV-1878-2023; Savchuk, Olexiy/K-2863-2014; Halenova, Tetiana/H-9709-2018; Kalmukova, Olesia/HNQ-7252-2023; Raksha, Nataliia/IST-3176-2023; Raksha, Nataliia/H-9806-2018; Vovk, Tetiana/IST-7771-2023</t>
  </si>
  <si>
    <t>Savchuk, Olexiy/0000-0003-3621-6981; Savchuk, Olexiy/0000-0003-3621-6981; Ostapchenko, Liudmyla/0000-0001-7181-6048; Savchuk, Olexiy/0000-0003-3621-6981; Halenova, Tetiana/0000-0003-2973-2646; Kalmukova, Olesia/0000-0001-5025-0938; Raksha, Nataliia/0000-0001-6654-771X; Dzerzhynskyi, Mykola/0009-0006-5969-8564; Vovk, Tetiana/0000-0002-0440-8922</t>
  </si>
  <si>
    <t>Educational and Scientific Centre Institute of Biology and Medicine, Taras Shevchenko National University of Kyiv [0111U004648]</t>
  </si>
  <si>
    <t>Educational and Scientific Centre Institute of Biology and Medicine, Taras Shevchenko National University of Kyiv</t>
  </si>
  <si>
    <t>This study was conducted as part of the theme Implementation mechanisms of adaptive-compensatory reactions under the development of various pathologies (No. 0111U004648) of Educational and Scientific Centre Institute of Biology and Medicine, Taras Shevchenko National University of Kyiv.</t>
  </si>
  <si>
    <t>NORTH UNIV CENTER BAIA MARE</t>
  </si>
  <si>
    <t>BAIA MARE</t>
  </si>
  <si>
    <t>TECHNICAL UNIV CLUJ NAPOCA, CHEMISTRY-BIOLOGY DEPT, VICTORIEI STR 76, BAIA MARE, 00000, ROMANIA</t>
  </si>
  <si>
    <t>2066-6845</t>
  </si>
  <si>
    <t>2344-5459</t>
  </si>
  <si>
    <t>CARPATHIAN J FOOD SC</t>
  </si>
  <si>
    <t>Carpathian J. Food Sci. Technol.</t>
  </si>
  <si>
    <t>10.34302/crpjfst/2021.13.4.3</t>
  </si>
  <si>
    <t>Food Science &amp; Technology</t>
  </si>
  <si>
    <t>YB7SC</t>
  </si>
  <si>
    <t>WOS:000739206200003</t>
  </si>
  <si>
    <t>Wijayawardene, NN; Phillips, AJL; Tibpromma, S; Dai, DQ; Selbmann, L; Monteiro, JS; Aptroot, A; Flakus, A; Rajeshkumar, KC; Coleine, C; Pereira, DC; Fan, X; Zhang, L; Maharachchikumbura, SSN; Souza, MF; Kukwa, M; Suwannarach, N; Rodriguez-Flakus, P; Ashtekar, N; Dauner, L; Tang, LZ; Jin, XC; Karunarathna, SC</t>
  </si>
  <si>
    <t>Wijayawardene, N. N.; Phillips, A. J. L.; Tibpromma, S.; Dai, D. Q.; Selbmann, L.; Monteiro, J. S.; Aptroot, A.; Flakus, A.; Rajeshkumar, K. C.; Coleine, C.; Pereira, D. C.; Fan, X.; Zhang, L.; Maharachchikumbura, S. S. N.; Souza, M. F.; Kukwa, M.; Suwannarach, N.; Rodriguez-Flakus, P.; Ashtekar, N.; Dauner, L.; Tang, L. Z.; Jin, X. C.; Karunarathna, S. C.</t>
  </si>
  <si>
    <t>Looking for the undiscovered asexual taxa: case studies from lesser studied life modes and habitats</t>
  </si>
  <si>
    <t>MYCOSPHERE</t>
  </si>
  <si>
    <t>7 new taxa Ascomycota DNA sequences fungal diversity; habitat; life modes; phylogeny taxonomy</t>
  </si>
  <si>
    <t>ROCK-INHABITING FUNGI; LICHENICOLOUS FUNGI; SP-NOV; ENDOPHYTIC FUNGI; BLACK FUNGI; SP.-NOV.; PYRENOCARPOUS LICHENS; PHYLOGENETIC ANALYSIS; INCERTAE SEDIS; SEQUENCE DATA</t>
  </si>
  <si>
    <t>Fungi are vital functional members of the biosphere, playing a crucial role in sustaining ecosystems by maintaining the nutrient balance. Many studies have verified the abundance of fungi across all-natural ecosystems and habitats, such as in forests, fresh-water (including both lentic or lotic), marine environments and deserts. With the focus previously on temperate regions and to a lesser extent biodiversity hotspots, the fungi in other areas remain overlooked. Therefore, it is imperative for mycologists to focus on taxa from these less-studied habitats, those dwelling on a vast number of hosts, and fungi that co-exist with other life forms. Molecular tools have been vital for species identification, in phylogeny, and linking sexual and asexual morphs. Identification of taxa based on the phylogenetic species concept, which relies on multiple loci and concordance of more than one gene genealogy, reduces subjectivity when determining the limits of a phylogenetic species. Large numbers of fungi inhabit biodiversity hotspots; however, they are underexplored owing to the vast diversity present and lack of studies. As examples of illustrating the undiscovered asexual fungi, this paper reports one new genus (Uniappendiculata Tibpromma), six new species (Caprettia lichexanthotricha Aptroot &amp; M.F. Souza, Hermatomyces maharashtraense Rajeshkumar et al., Lichenoconium hawksworthii Flakus et al., Phaeobotryon spiraeae L.X. Zhang &amp; X.L. Fan, Rachicladosporium aridum L. Selbmann &amp; C. Coleine and Uniappendiculata kunmingensis Tibpromma) and one new host and country record (Apiculospora spartii Wijayaw. et al.). The paper discusses the biodiversity rich areas of South-Western China, South America and India, less studied habitats (rock inhabiting fungi, lichens with conidiomata and lichenicolous fungi), and geographically widespread, but lesser studied hosts to show substantial studies are needed to reveal the extent of fungal diversity. The impact of discovering cryptic species on cataloguing fungal species numbers is also discussed. Each section exemplifies the status of the current research in that genus and future work that is needed.</t>
  </si>
  <si>
    <t>[Wijayawardene, N. N.; Dai, D. Q.; Jin, X. C.] Qujing Normal Univ, Coll Biol Resource &amp; Food Engn, Ctr Yunnan Plateau Biol Resources Protect &amp; Utili, Qujing 655011, Yunnan, Peoples R China; [Wijayawardene, N. N.] Inst Res &amp; Dev Hlth &amp; Social Care, Sect Genet, 393-3 Lily Ave, Battaramulla 10120, Sri Lanka; [Phillips, A. J. L.; Pereira, D. C.] Univ Lisbon, Fac Ciencias, Biosyst &amp; Integrat Sci Inst BioISI, P-1749016 Lisbon, Portugal; [Tibpromma, S.; Karunarathna, S. C.] World Agroforestry Ctr, CIFOR ICRAF, Kunming 650201, Yunnan, Peoples R China; [Tibpromma, S.; Dauner, L.; Karunarathna, S. C.] Kunming Inst Bot, Ctr Mt Futures CMF, Kunming 650201, Yunnan, Peoples R China; [Selbmann, L.; Coleine, C.] Univ Tuscia, Dept Ecol &amp; Biol Sci, Viterbo, Italy; [Selbmann, L.] Italian Natl Antarctic Museum MNA, Mycol Sect, Genoa, Italy; [Monteiro, J. S.] Museu Paraense Emilio Goeldi, Coordinat Bot, BR-66077830 Belem, Para, Brazil; [Monteiro, J. S.] Inst Tecnol Vale, Rua Boaventura Silva 955, BR-66055090 Belem, Para, Brazil; [Aptroot, A.; Souza, M. F.] Univ Fed Mato Grosso do Sul, Inst Biociencias, Lab Bot Liquenol, Ave Costa &amp; Silva S-N, BR-79070900 Campo Grande, MS, Brazil; [Flakus, A.; Rodriguez-Flakus, P.] Polish Acad Sci, W Szafer Inst Bot, Lubicz 46, PL-31512 Krakow, Poland; [Rajeshkumar, K. C.; Ashtekar, N.] MACS Agharkar Res Inst, Biodivers &amp; Palaeobiol Grp, Natl Fungal Culture Collect India NFCCI, GG Agarkar Rd, Pune 411004, Maharashtra, India; [Fan, X.; Zhang, L.] Beijing Forestry Univ, Minist Educ, Key Lab Silviculture &amp; Conservat, Beijing 100083, Peoples R China; [Maharachchikumbura, S. S. N.] Univ Elect Sci &amp; Technol China, Ctr Informat Biol, Sch Life Sci &amp; Technol, Chengdu 611731, Peoples R China; [Kukwa, M.] Univ Gdansk, Fac Biol, Dept Plant Taxon &amp; Nat Conservat, Wita Stwosza 59, PL-80308 Gdansk, Poland; [Suwannarach, N.] Chiang Mai Univ, Fac Sci, Res Ctr Microbial Divers &amp; Sustainable Utilizat, Chiang Mai 50200, Thailand; [Tang, L. Z.] Jiangxi Normal Univ, Coll Life Sci, Nanchang 330022, Jiangxi, Peoples R China</t>
  </si>
  <si>
    <t>Qujing Normal University; BIOISI; Universidade de Lisboa; Chinese Academy of Sciences; Kunming Institute of Botany, CAS; Tuscia University; Museu Paraense Emilio Goeldi; Instituto Tecnologico Vale Desenvolvimento Sustentavel; Universidade Federal de Mato Grosso do Sul; Polish Academy of Sciences; W. Szafer Institute of Botany of the Polish Academy of Sciences; Department of Science &amp; Technology (India); Agharkar Research Institute (ARI); Beijing Forestry University; University of Electronic Science &amp; Technology of China; Fahrenheit Universities; University of Gdansk; Chiang Mai University; Jiangxi Normal University</t>
  </si>
  <si>
    <t>Dai, DQ (corresponding author), Qujing Normal Univ, Coll Biol Resource &amp; Food Engn, Ctr Yunnan Plateau Biol Resources Protect &amp; Utili, Qujing 655011, Yunnan, Peoples R China.;Karunarathna, SC (corresponding author), World Agroforestry Ctr, CIFOR ICRAF, Kunming 650201, Yunnan, Peoples R China.;Karunarathna, SC (corresponding author), Kunming Inst Bot, Ctr Mt Futures CMF, Kunming 650201, Yunnan, Peoples R China.;Tang, LZ (corresponding author), Jiangxi Normal Univ, Coll Life Sci, Nanchang 330022, Jiangxi, Peoples R China.</t>
  </si>
  <si>
    <t>cicidaidongqin@gmail.com; tanglizhou@163.com; samantha@mail.kib.ac.cn</t>
  </si>
  <si>
    <t>Karunarathna, Samantha Chandranath/JCE-5110-2023; Flakus, Adam/V-4849-2019; Phillips, Alan John, Lander/C-6102-2011; Tibpromma, Saowaluck/AAY-9436-2021; Maharachchikumbura, Sajeewa/C-9403-2013; Suwannarach, Nakarin/P-6078-2019; Rajeshkumar, Kunhiraman C/AEI-7459-2022; Coleine, Claudia/AAE-1889-2020</t>
  </si>
  <si>
    <t>Karunarathna, Samantha Chandranath/0000-0001-7080-0781; Flakus, Adam/0000-0002-0712-0529; Phillips, Alan John, Lander/0000-0001-6367-9784; Maharachchikumbura, Sajeewa/0000-0001-9127-0783; Suwannarach, Nakarin/0000-0002-2653-1913; Rajeshkumar, Kunhiraman C/0000-0003-0401-8294; Coleine, Claudia/0000-0002-9289-6179; Aptroot, Andre/0000-0001-7949-2594; Monteiro, Josiane/0000-0002-1717-9532</t>
  </si>
  <si>
    <t>National Natural Science Foundation of China [NSFC 31950410558, NSFC 31760013]; Department of Science and Technology of Yunnan Province [2018FB050]; State Key Laboratory of Functions and Applications of Medicinal Plants, Guizhou Medical University [FAMP201906K]; Science and Technology Department of Guizhou Province [QKHRCPT [2017] 5101]; High-Level Talent Recruitment Plan of Yunnan Province (Young Talents Program); High-Level Talent Recruitment Plan of Yunnan Province (High-End Foreign Experts Program); FCT, Portugal [UIDB/04046/2020, UIDP/04046/2020]; Italian National Program for Antarctic Research; From Extreme Environments (MNA-CCFEE; University of Tuscia, Italy) of the Mycological Section of the MNA; National Science Centre (NCN) in Poland [DEC-2013/11/D/NZ8/03274]; International Postdoctoral Exchange Fellowship Program [Y9180822S1]; CAS President's International Fellowship Initiative (PIFI) [2018PC0006, 2020PC0009]; China Postdoctoral Science Foundation; Yunnan Human Resources, and Social Security Department Foundation; National Science Foundation of China (NSFC) [31750110478]</t>
  </si>
  <si>
    <t>National Natural Science Foundation of China(National Natural Science Foundation of China (NSFC)); Department of Science and Technology of Yunnan Province; State Key Laboratory of Functions and Applications of Medicinal Plants, Guizhou Medical University; Science and Technology Department of Guizhou Province; High-Level Talent Recruitment Plan of Yunnan Province (Young Talents Program); High-Level Talent Recruitment Plan of Yunnan Province (High-End Foreign Experts Program); FCT, Portugal(Fundacao para a Ciencia e a Tecnologia (FCT)); Italian National Program for Antarctic Research; From Extreme Environments (MNA-CCFEE; University of Tuscia, Italy) of the Mycological Section of the MNA; National Science Centre (NCN) in Poland(National Science Centre, Poland); International Postdoctoral Exchange Fellowship Program; CAS President's International Fellowship Initiative (PIFI); China Postdoctoral Science Foundation(China Postdoctoral Science Foundation); Yunnan Human Resources, and Social Security Department Foundation; National Science Foundation of China (NSFC)(National Natural Science Foundation of China (NSFC))</t>
  </si>
  <si>
    <t>This work was supported by the National Natural Science Foundation of China (No. NSFC 31950410558, NSFC 31760013) , Department of Science and Technology of Yunnan Province (No. 2018FB050) , the State Key Laboratory of Functions and Applications of Medicinal Plants, Guizhou Medical University (No. FAMP201906K) ; Science and Technology Department of Guizhou Province (QKHRCPT [2017] 5101) and High-Level Talent Recruitment Plan of Yunnan Provinces (Young Talents Program and High-End Foreign Experts Program) . Nalin. N. Wijayawardene thanks Dr. Paul M. Kirk and Prof. Rafael Castaneda for their supports for nomenclatural issues and correcting descriptions. AJL Phillips and DS Pereira acknowledge the support from UIDB/04046/2020 and UIDP/04046/2020 Centre grants from FCT, Portugal (to BioISI) . Laura Selbmann and Claudia Coleine wish to thank the Italian National Program for Antarctic Research for funding sampling campaigns and research activities in Italy in the frame of PNRA projects. The Italian Antarctic National Museum (MNA) is kindly acknowledged for financial support to the Culture Collection of Fungi From Extreme Environments (MNA-CCFEE; University of Tuscia, Italy) of the Mycological Section of the MNA, where the fungus (Rachicladosporium aridum) described in this study is stored. AF is greatly indebted to Dr. Javier Etayo (Pamplona) for taxonomic discussion, and also to staff of the Herbario Nacional de Bolivia, Instituto de Ecologia, Universidad Mayor de San Andres, La Paz, for their cooperation. The research of AF was financially supported by the National Science Centre (NCN) in Poland (DEC-2013/11/D/NZ8/03274) . Saowaluck Tibpromma would like to thank the International Postdoctoral Exchange Fellowship Program (number Y9180822S1) , CAS President's International Fellowship Initiative (PIFI) (number 2020PC0009) , China Postdoctoral Science Foundation and the Yunnan Human Resources, and Social Security Department Foundation for funding her postdoctoral research. Samantha C. Karunarathna thanks CAS President's International Fellowship Initiative (PIFI) for funding his postdoctoral research (number 2018PC0006) and the National Science Foundation of China (NSFC) for funding this research work under project code 31750110478.</t>
  </si>
  <si>
    <t>MYCOSPHERE PRESS</t>
  </si>
  <si>
    <t>GUIYANG</t>
  </si>
  <si>
    <t>GUIZHOU KEY LAB AGRIC BIOTECH, GUIZHOU ACAD AGRIC SCI, GUIYANG, 00000, PEOPLES R CHINA</t>
  </si>
  <si>
    <t>2077-7000</t>
  </si>
  <si>
    <t>2077-7019</t>
  </si>
  <si>
    <t>Mycosphere</t>
  </si>
  <si>
    <t>10.5943/mycosphere/12/1/17</t>
  </si>
  <si>
    <t>Mycology</t>
  </si>
  <si>
    <t>YB7RQ</t>
  </si>
  <si>
    <t>WOS:000739205000001</t>
  </si>
  <si>
    <t>Nadeau, A; Walsh, J; Widaish, E</t>
  </si>
  <si>
    <t>Nadeau, Alice; Walsh, James; Widaish, Esther</t>
  </si>
  <si>
    <t>Synchronous Glacial Cycles in a Nonsmooth Conceptual Climate Model with Asymmetric Hemispheres</t>
  </si>
  <si>
    <t>SIAM JOURNAL ON APPLIED DYNAMICAL SYSTEMS</t>
  </si>
  <si>
    <t>nonsmooth dynamical systems; virtual equilibria; nonsmooth return map; ice-alb edo feedback; paleoclimate; glacial cycles</t>
  </si>
  <si>
    <t>SOLAR-RADIATION VARIATIONS; ICE-SHEET MODEL; ANTARCTIC CLIMATE; SEA-ICE; INSOLATION; SYSTEMS; APPROXIMATION; TEMPERATURE; GREENLAND; OBLIQUITY</t>
  </si>
  <si>
    <t>We present a new conceptual model of the Earth's glacial-interglacial cycles, one leading to governing equations for which the vector field has a hyperplane of discontinuities. This work extends the classic Budyko- and Sellers-type conceptual energy balance models of temperature-alb edo feedback by removing the standard assumption of planetary symmetry about the equator. The dynamics of distinct Northern and Southern Hemisphere ice caps are coupled through an equation representing the annual global mean surface temperature. The system has a discontinuous switching mechanism based on mass balance principles for the Northern Hemisphere ice sheet. We show that the associated Filippov system admits a unique nonsmooth and attracting limit cycle that represents the cycling between glacial and interglacial states. Due to the vastly different timescales involved, the model presents a nonsmooth geometric perturbation problem, for which we use ad hoc mathematical techniques to produce the periodic orbit. We find that climatic changes in the Northern Hemisphere drive synchronous in-phase changes in the Southern Hemisphere due to the coupling provided by the annual global mean surface temperature. This behavior is observed for the Earth on orbital timescales.</t>
  </si>
  <si>
    <t>[Nadeau, Alice] Cornell Univ, Dept Math, Ithaca, NY 14850 USA; [Walsh, James] Oberlin Coll, Dept Math, Oberlin, OH 44074 USA; [Widaish, Esther] Univ Hawaii West Oahu, Math Nat &amp; Hlth Sci MNHS Div, Kapolei, HI 96707 USA</t>
  </si>
  <si>
    <t>Cornell University; University System of Ohio; Oberlin College</t>
  </si>
  <si>
    <t>Nadeau, A (corresponding author), Cornell Univ, Dept Math, Ithaca, NY 14850 USA.</t>
  </si>
  <si>
    <t>a.nadeau@cornell.edu; jawalsh@oberlin.edu; widiasih@hawaii.edu</t>
  </si>
  <si>
    <t>NSF Mathematical Sciences Postdoctoral Research Fellowship [DMS-1902887]</t>
  </si>
  <si>
    <t>NSF Mathematical Sciences Postdoctoral Research Fellowship(National Science Foundation (NSF))</t>
  </si>
  <si>
    <t>The work of the first author was supported by an NSF Mathematical Sciences Postdoctoral Research Fellowship, award DMS-1902887.</t>
  </si>
  <si>
    <t>SIAM PUBLICATIONS</t>
  </si>
  <si>
    <t>3600 UNIV CITY SCIENCE CENTER, PHILADELPHIA, PA 19104-2688 USA</t>
  </si>
  <si>
    <t>1536-0040</t>
  </si>
  <si>
    <t>SIAM J APPL DYN SYST</t>
  </si>
  <si>
    <t>SIAM J. Appl. Dyn. Syst.</t>
  </si>
  <si>
    <t>10.1137/21M1390098</t>
  </si>
  <si>
    <t>Mathematics, Applied; Physics, Mathematical</t>
  </si>
  <si>
    <t>Mathematics; Physics</t>
  </si>
  <si>
    <t>XX3ZE</t>
  </si>
  <si>
    <t>WOS:000736237300004</t>
  </si>
  <si>
    <t>Ganyushkin, DA; Konkova, OS; Chistyakov, KV; Bantcev, DV; Terekhov, AV; Kunaeva, EP; Kurochkin, YN; Andreeva, TA; Volkova, DD</t>
  </si>
  <si>
    <t>Ganyushkin, D. A.; Konkova, O. S.; Chistyakov, K., V; Bantcev, D., V; Terekhov, A., V; Kunaeva, E. P.; Kurochkin, Yu N.; Andreeva, T. A.; Volkova, D. D.</t>
  </si>
  <si>
    <t>Shrinking of the glaciers of East Altai (Shapshal Center) after the maximum of the Little Ice Age</t>
  </si>
  <si>
    <t>LED I SNEG-ICE AND SNOW</t>
  </si>
  <si>
    <t>Russian</t>
  </si>
  <si>
    <t>small glaciers; dynamics of the glaciers; Little Ice Age; Altai-Sayan mountain region; Shapshal ridge</t>
  </si>
  <si>
    <t>GLACIERIZATION; FLUCTUATIONS; TOPOGRAPHY; CLIMATE</t>
  </si>
  <si>
    <t>Based on the analysis of remote data and field observations, we reconstructed the glaciation of the Shapshal Center (Eastern Altai) for the maximum of the Little Ice Age (LIA) and by the state of the glaciers as of 2001. At the maximum of the LIA, glaciation was represented by 358 glaciers with a total area of 84.43 km(2). It was found 87% reduction of the total area of glaciers in the interval from the LIA maximum to 2015. During the reduction, valley glaciers disintegrated and glaciers in the Kargy River basin disappeared. The moraines of the LIA have low lake coverage (0.17% of area), therefore a probability of their breakthrough is low. We obtained data on the retreat of the Mushtuk Glacier (No 78), the largest one of the Shapshal center, in five time slices from the LIA maximum. The highest retreat rates were reconstructed in the interval 1989-2001, but in the interval 2010-2016 the average rates decreased to 5 m/year. Changes in the mass balance index of the Mushtuk Glacier between from 1961 to 2018 were calculated. A sharp decrease in the mass balance in the 1990s and stabilization of values at a low level after 2001 were found. According to the calculations, the response time of the Mushtuk Glacier was about 9 years. If the current climatic conditions persist, there is reason to assume stabilization of glaciers in the coming years.</t>
  </si>
  <si>
    <t>[Ganyushkin, D. A.; Konkova, O. S.; Chistyakov, K., V; Bantcev, D., V; Kunaeva, E. P.; Kurochkin, Yu N.; Andreeva, T. A.; Volkova, D. D.] St Petersburg State Univ, St Petersburg, Russia; [Terekhov, A., V] Arctic &amp; Antarctic Res Inst, St Petersburg, Russia; [Terekhov, A., V] Russian Acad Sci, Inst Limnol, St Petersburg, Russia; [Kunaeva, E. P.] Pushkin Leningrad State Univ, St Petersburg, Russia</t>
  </si>
  <si>
    <t>Saint Petersburg State University; Arctic &amp; Antarctic Research Institute; Russian Academy of Sciences; St. Petersburg Scientific Centre of the Russian Academy of Sciences; St. Petersburg Federal Research Center of the Russian Academy of Sciences</t>
  </si>
  <si>
    <t>Ganyushkin, DA (corresponding author), St Petersburg State Univ, St Petersburg, Russia.</t>
  </si>
  <si>
    <t>d.ganyushkin@spbu.ru</t>
  </si>
  <si>
    <t>Андреева, Татьяна/HNR-1939-2023; Terekhov, Anton/S-1329-2016; Bantcev, Dmitrii/AAK-2319-2020; Chistyakov, Kirill V/M-8489-2013; Ganyushkin, Dmitry/M-8516-2013</t>
  </si>
  <si>
    <t>Андреева, Татьяна/0000-0002-5699-8389; Ganyushkin, Dmitry/0000-0001-6109-8652; Kurochkin, Yurii/0000-0002-9139-5604</t>
  </si>
  <si>
    <t>Russian Foundation for Basic Research [19-05-00535]</t>
  </si>
  <si>
    <t>Russian Foundation for Basic Research(Russian Foundation for Basic Research (RFBR)Spanish Government)</t>
  </si>
  <si>
    <t>The study was supported by the Russian Foundation for Basic Research, project No 19-05-00535. Natural disasters and landscape transformation of southeastern Altai and northwest ern Mongolia during the period from the maximum of the last glaciation.</t>
  </si>
  <si>
    <t>INST GEOGRAPHY, RUSSIAN ACAD SCIENCES</t>
  </si>
  <si>
    <t>MOSCOW</t>
  </si>
  <si>
    <t>PROFSOYUZNAYA UL 90, MOSCOW, 117864, RUSSIA</t>
  </si>
  <si>
    <t>2076-6734</t>
  </si>
  <si>
    <t>2412-3765</t>
  </si>
  <si>
    <t>LED SNEG</t>
  </si>
  <si>
    <t>Led Sneg</t>
  </si>
  <si>
    <t>10.31857/S2076673421040104</t>
  </si>
  <si>
    <t>XV3KT</t>
  </si>
  <si>
    <t>WOS:000734845700002</t>
  </si>
  <si>
    <t>Andreev, OM; Drabenko, DV</t>
  </si>
  <si>
    <t>Andreev, O. M.; Drabenko, D., V</t>
  </si>
  <si>
    <t>Calculating of extreme thicknesses and strength characteristics of the first-year ice cover oftheKara Sea using a thermodynamic model</t>
  </si>
  <si>
    <t>compressive strength; flexural strength; freezing degree-days; ice thickness; thermodynamic model</t>
  </si>
  <si>
    <t>VARIABILITY</t>
  </si>
  <si>
    <t>Using the example of the Kara Sea, the possibility to calculate values of the thickness and strength characteristics of ice of rare occurrence for areas of marine waters with seasonal ice cover, where field observations are absent, is considered. A method for obtaining climatic characteristics of meteorological elements for conditions of different occurrence (extreme values) has been developed. It is based on the selection of a statistical distribution law for the freezing degree-days (FDD). On the basis of the obtained sums of the degree-days, the restoration of daily values of the air temperature is carried out. This technique can be applied to areas of the Arctic seas with seasonal ice cover. The obtained climatic characteristics allow us to estimate the strength properties and thickness of sea ice using a thermodynamic model. The proposed method makes it possible to calculate values of the thickness and strength characteristics of ice for the entire water area of the Kara Sea. For average climatic conditions, the calculated estimates of the periods of stable ice formation, thickness and strength characteristics of ice are in good agreement with the results of field observations. It is established that the moment of maximum ice strength does not coincide with the time when the ice reaches its maximum thickness. The characteristics of the ice cover calculated for conditions of rare occurrence also do not contradict the values observed in nature. The differences in the duration of the ice season in the south-western part of the sea from the north-eastern part, obtained under climatic conditions of different occurrence, are shown.</t>
  </si>
  <si>
    <t>[Andreev, O. M.; Drabenko, D., V] Arctic &amp; Antarctic Res Inst, St Petersburg, Russia</t>
  </si>
  <si>
    <t>Arctic &amp; Antarctic Research Institute</t>
  </si>
  <si>
    <t>Andreev, OM (corresponding author), Arctic &amp; Antarctic Res Inst, St Petersburg, Russia.</t>
  </si>
  <si>
    <t>andoleg@aari.ru</t>
  </si>
  <si>
    <t>Andreev, Oleg M./ABE-6472-2022; Драбенко, Дмитрий/JKJ-1304-2023</t>
  </si>
  <si>
    <t>Andreev, Oleg M./0009-0007-8558-7945;</t>
  </si>
  <si>
    <t>10.31857/S2076673421040107</t>
  </si>
  <si>
    <t>WOS:000734845700005</t>
  </si>
  <si>
    <t>Leitchenkov, GL; Bazhenova, EA</t>
  </si>
  <si>
    <t>Leitchenkov, G. L.; Bazhenova, E. A.</t>
  </si>
  <si>
    <t>Late Pleistocene glaciation and retreat of ice sheet on the shelf of the South Orkney Plateau, West Antarctica</t>
  </si>
  <si>
    <t>Antarctic; South-Orkney Plateau; shelf; multibeam survey; seismic profiling; bathymetry; subglacial land forms; glaciation; ice retreat</t>
  </si>
  <si>
    <t>MAXIMUM; ISLANDS; SEA; PENINSULA; MARGINS; HISTORY; EXTENT</t>
  </si>
  <si>
    <t>The research aims to provide insight into reconstruction of the Late Pleistocene glaciations and ice retreat that followed the Last Glacial Maximum. The study is based on multi-channel seismic profiling and multibeam survey conducted on the shelf during the 63-rd Russian Antarctic Expedition (2018) on RV Akademik Alexander Karpinsky. The 560-channel, 7000-m-long streamer and the Atlas Hydrosweep MD-3/30 multibeam echo-sounder were used for seismic and multibeam survey, respectively. In addition, previously collected seismic data available from the Antarctic Seismic Data Library System and bathymetry data from the International Bathymetry Chart of the Southern Ocean (IBCSO) Project were involved for interpretation. The multibeam survey was carried out within the Signy Trough and its flanks with depths ranging from 180 to 400 m, and covered the area of about 1500 km(2). The data were collected along 43 profiles spaced at 750 m to ensure enough overlap between swaths. Variety of submarine glacial landforms formed by grounded ice was identified on shelf of the South Orkney Plateau with use of seismic and multibeam data. The most prominent of these features is the large terminal moraine at the middle shelf (previously described as the mid-shelf break) marking the greatest ice extent at the LGM. Oceanward of the large terminal moraine, the plateau-like feature (delineated by 350 and 425 m isobaths) with relatively steep outer slope is recognized from seismic data and interpreted as the distal terminal moraine formed during the pre-LGM Pleistocene glaciation. Within the Signy Trough, submarine glacial landforms mapped by multibeam survey, reflect ice retreat after the LGM; these landforms include: subglacial lineation at the western flank of the northern Signy Trough indicating fast flowing grounded ice, transverse recessional moraine ridges, lateral shear moraine on the western flank and lateral marginal moraine on the eastern flank of the Trough, two grounding zone wedges, streamlined features (drumlins) and an ice-proximal fan (presumably). The end moraine was also identified in the eastern flank of Signy Trough. It is thought to be formed due to ice (outlet glacier) re-advance during the Antarctic Cold Reversal. Numerous iceberg plough-marks were observed at least down to 370 m water depths.</t>
  </si>
  <si>
    <t>[Leitchenkov, G. L.] Res Inst Geol &amp; Mineral Resources World Ocean, St Petersburg, Russia; [Leitchenkov, G. L.] St Petersburg State Univ, Inst Earth Sci, St Petersburg, Russia; [Bazhenova, E. A.] Polar Marine Geosurvey Expedit, St Petersburg, Russia</t>
  </si>
  <si>
    <t>Saint Petersburg State University</t>
  </si>
  <si>
    <t>Leitchenkov, GL (corresponding author), Res Inst Geol &amp; Mineral Resources World Ocean, St Petersburg, Russia.;Leitchenkov, GL (corresponding author), St Petersburg State Univ, Inst Earth Sci, St Petersburg, Russia.</t>
  </si>
  <si>
    <t>german_1@mail.ru</t>
  </si>
  <si>
    <t>Federal Project of the Agency Federal Agency for Mineral Resources [049-00018-19-00]; Russian Foundation for Basic Research [19-05-00858]</t>
  </si>
  <si>
    <t>Federal Project of the Agency Federal Agency for Mineral Resources; Russian Foundation for Basic Research(Russian Foundation for Basic Research (RFBR)Spanish Government)</t>
  </si>
  <si>
    <t>Field survey on the South Orkney Plateau was carried out within the Federal Project of the Agency Federal Agency for Mineral Resources No 049-00018-19-00. Scientific interpretation and preparation of paper were performed with the support of the Russian Foundation for Basic Research, Project No 19-05-00858 Late Cenozoic Environmental Changes in the north-western Weddell Sea (Antarctica)</t>
  </si>
  <si>
    <t>10.31857/S2076673421040109</t>
  </si>
  <si>
    <t>WOS:000734845700007</t>
  </si>
  <si>
    <t>Gordeev, II; Polyakova, TA; Volkov, AA</t>
  </si>
  <si>
    <t>Gordeev, Ilya I.; Polyakova, Tatyana A.; Volkov, Alexander A.</t>
  </si>
  <si>
    <t>Spatial distribution, host specificity and genetic diversity of Onchobothrium antarcticum in the Southern Ocean</t>
  </si>
  <si>
    <t>POLISH POLAR RESEARCH</t>
  </si>
  <si>
    <t>Antarctic; parasite; cestodes; rDNA; polar</t>
  </si>
  <si>
    <t>TOOTHFISH DISSOSTICHUS-MAWSONI; RAJIFORMES ARHYNCHOBATIDAE; CESTODA TETRAPHYLLIDEA; SIMUSHIR ISLAND; PACIFIC; FISHES; TAPEWORMS; PARASITES; REVEALS; ECOLOGY</t>
  </si>
  <si>
    <t>In this work we summarize the current knowledge on the spatial distribution, host specificity and genetic diversity of Onchobothrium antarcticum, an endemic Antarctic cestode. We recorded it in seven fish species, elasmobranchs Amblyraja georgiana, Bathyraja eatonii, and B. maccaini and teleosts Antimora rostrata, Chionobathyscus dewitti, Dissostichus mawsoni, and Muraenolepis marmorata, caught in the Ross Sea, the D'Urville Sea, the Mawson Sea, and the Weddell Sea. The infection of A. rostrata from the part of its distribution to the south of the Falkland Islands is reported for the first time. We obtained partial 28S rDNA and cox1 sequences of plerocercoids and adults of O. antarcticum and analyzed them together with a few previously published sequences. Based on the results of the phylogenetic analysis, we cannot rule out that O. antarcticum is in fact a complex of cryptic species.</t>
  </si>
  <si>
    <t>[Gordeev, Ilya I.] Russian Fed Res Inst Fisheries &amp; Oceanog, Dept Pacific Salmons, V Krasnoselskaya Str 17, Moscow 107140, Russia; [Gordeev, Ilya I.] Lomonosov Moscow State Univ, Fac Biol, Dept Invertebrate Zool, Leninskie Gory 1-12, Moscow 119234, Russia; [Polyakova, Tatyana A.] RAS, Kovalevsky Inst Biol Southern Seas, Moscow Representat Off AO, Leninsky Pr 38-3, Moscow 119991, Russia; [Volkov, Alexander A.] Russian Fed Res Inst Fisheries &amp; Oceanog, Dept Mol Genet, V Krasnoselskaya Str 17, Moscow 107140, Russia</t>
  </si>
  <si>
    <t>Research lnstitute of Fisheries &amp; Oceanography; Lomonosov Moscow State University; Russian Academy of Sciences; Research lnstitute of Fisheries &amp; Oceanography</t>
  </si>
  <si>
    <t>Gordeev, II (corresponding author), Russian Fed Res Inst Fisheries &amp; Oceanog, Dept Pacific Salmons, V Krasnoselskaya Str 17, Moscow 107140, Russia.;Gordeev, II (corresponding author), Lomonosov Moscow State Univ, Fac Biol, Dept Invertebrate Zool, Leninskie Gory 1-12, Moscow 119234, Russia.</t>
  </si>
  <si>
    <t>gordeev_ilya@bk.ru</t>
  </si>
  <si>
    <t>Gordeev, Ilya/F-2972-2017</t>
  </si>
  <si>
    <t>Gordeev, Ilya/0000-0002-6650-9120</t>
  </si>
  <si>
    <t>POLSKA AKAD NAUK, POLISH ACAD SCIENCES</t>
  </si>
  <si>
    <t>WARSZAWA</t>
  </si>
  <si>
    <t>PL DEFILAD 1, WARSZAWA, 00-901, POLAND</t>
  </si>
  <si>
    <t>0138-0338</t>
  </si>
  <si>
    <t>2081-8262</t>
  </si>
  <si>
    <t>POL POLAR RES</t>
  </si>
  <si>
    <t>Pol. Polar. Res.</t>
  </si>
  <si>
    <t>10.24425/ppr.2021.137148</t>
  </si>
  <si>
    <t>XT2GC</t>
  </si>
  <si>
    <t>WOS:000733411500004</t>
  </si>
  <si>
    <t>Broggio, MF; Garcia, CAE; da Silva, RR</t>
  </si>
  <si>
    <t>Broggio, Micael Fernando; Garcia, Carlos Alberto Eiras; da Silva, Renato Ramos</t>
  </si>
  <si>
    <t>Evaluation of South Atlantic Thermohaline Properties from BESM-OA2.5 and Three Additional Global Climate Models</t>
  </si>
  <si>
    <t>OCEAN AND COASTAL RESEARCH</t>
  </si>
  <si>
    <t>Climate models; Models evaluation; Thermohaline properties</t>
  </si>
  <si>
    <t>TROPICAL PRECIPITATION CHANGE; OCEAN CIRCULATION; HISTORICAL BIAS; CMIP5; WATER; VARIABILITY; SIMULATION; SYSTEM; PERFORMANCE; DYNAMICS</t>
  </si>
  <si>
    <t>Important global oceanic processes, such as the meridional overturning circulation, are governed by the temperature and salinity of the ocean. As such, it is essential that these properties be correctly represented in high-quality global climate models. This study aims to evaluate thermohaline properties both historically and under two simulations of the Brazilian Earth System Model BESM-OA2.5 in the South Atlantic Ocean (Representation Concentration Pathway (RCP) 4.5 and 8.5). Since error assessment in the global climate model (GCM) is fundamental to infer climate change projections, comparisons were made for thermohaline properties among four GCMs (HadGEM2-ES, MIROC-ESM-CHEM, MIROC5, and BESM-OA2.5) against data from ocean monitoring programs and from ORAS5-ECMWF. The results show common surface spatial pattern errors in all models, commonly related to mesoscale processes. Specific to BESM-OA2.5 over the Southern Ocean, we observed an increase in the temperature bias during autumn and summer, probably due to subsurface temperature overestimation linked to North Antarctic Deep Water (NADW) formation. With respect to salinity, the underestimations in the Subtropical/Subantarctic Zones and in the north of the South Atlantic subtropical gyre were linked to simulation errors in the Malvinas current. All models presented overestimated annual historical temperature rates, with BESM-OA2.5 being the closest to ORAS5. In the subsurface, the BESM-OA2.5 did not easily simulate the South Atlantic Central Water (SACW) formation, though in deep water, the model was able to better simulate the Antarctic Intermediate Water and NADW patterns. Statistically, the multi-model means performed better, while the BESM-OA2.5 performed worst among the models in both methodologies applied. In terms of projected scenarios, the models demonstrated sensitivity to variations in greenhouse gas emissions between the RCPs, with higher magnitude warming predicted in the equatorial zone, except for BESM-OA2.5.</t>
  </si>
  <si>
    <t>[Broggio, Micael Fernando; Garcia, Carlos Alberto Eiras] Univ Fed Santa Catarina, Dept Oceanog, Ctr Ciencias Fis &amp; Matemat Sistema Monitoramento, Campus Univ Reitor Joao David Ferreira Lima S-No, BR-88040900 Florianopolis, SC, Brazil; [da Silva, Renato Ramos] Univ Fed Santa Catarina, Dept Fis, Ctr Ciencias Fis &amp; Matemat, Lab Clima &amp; Meteorol CLIMET, Campus Univ Reitor Joao David Ferreira Lima S-No, BR-88040900 Florianopolis, SC, Brazil</t>
  </si>
  <si>
    <t>Universidade Federal de Santa Catarina (UFSC); Universidade Federal de Santa Catarina (UFSC)</t>
  </si>
  <si>
    <t>Broggio, MF (corresponding author), Univ Fed Santa Catarina, Dept Oceanog, Ctr Ciencias Fis &amp; Matemat Sistema Monitoramento, Campus Univ Reitor Joao David Ferreira Lima S-No, BR-88040900 Florianopolis, SC, Brazil.</t>
  </si>
  <si>
    <t>micaoceano@gmail.com</t>
  </si>
  <si>
    <t>Ramos-da-Silva, Renato/I-4759-2012</t>
  </si>
  <si>
    <t>Ramos-da-Silva, Renato/0000-0002-3714-0870; Garcia, Carlos A E/0000-0002-7629-4741</t>
  </si>
  <si>
    <t>Coordenacao de Aperfeicoamento de Pessoal de Nivel Superior-Brasil (CAPES) [001, 2040/2017]</t>
  </si>
  <si>
    <t>Coordenacao de Aperfeicoamento de Pessoal de Nivel Superior-Brasil (CAPES)(Coordenacao de Aperfeicoamento de Pessoal de Nivel Superior (CAPES))</t>
  </si>
  <si>
    <t>This work is part of the project Ocean model development focused on the generation of future climate change scenarios over the continental shelf and coastal zone of Brazil using the BESM-OA2.5 global model (ModCosta)  (CAPES, Proc 2040/2017) .This study was funded by the CoordenacAo de Aperfeicoamento de Pessoal de Nivel Superior-Brasil (CAPES) -Finance Code 001.</t>
  </si>
  <si>
    <t>INST OCEANOGRAFICO, UNIV SAO PAULO</t>
  </si>
  <si>
    <t>SAO PAULO</t>
  </si>
  <si>
    <t>PRACA DO OCEANOGRAFICO, 191, CIDADE UNIVERSITARIA, SAO PAULO, SP 00000, BRAZIL</t>
  </si>
  <si>
    <t>2675-2824</t>
  </si>
  <si>
    <t>OCEAN COAST RES</t>
  </si>
  <si>
    <t>Ocean Coast. Res.</t>
  </si>
  <si>
    <t>e21029</t>
  </si>
  <si>
    <t>10.1590/2675-2824069.21012mfb</t>
  </si>
  <si>
    <t>XQ5HW</t>
  </si>
  <si>
    <t>WOS:000731577000001</t>
  </si>
  <si>
    <t>Smellie, JL; Rocchi, S</t>
  </si>
  <si>
    <t>Smellie, John L.; Rocchi, Sergio</t>
  </si>
  <si>
    <t>Northern Victoria Land: volcanology</t>
  </si>
  <si>
    <t>ROSS SEA REGION; MCMURDO VOLCANIC GROUP; MANTLE-PLUME ACTIVITY; MOUNT MELBOURNE; ANTARCTICA; GEOLOGY; RECORD; STRATIGRAPHY; SEQUENCES; ERUPTIONS</t>
  </si>
  <si>
    <t>Neogene volcanism is widespread in northern Victoria Land, and is part of the McMurdo Volcanic Group. It is characterized by multiple coalesced shield volcanoes but includes a few relatively small stratovolcanoes. Two volcanic provinces are defined (Hallett and Melbourne), with nine constituent volcanic fields. Multitudes of tiny monogenetic volcanic centres (mainly scoria cones) are also scattered across the region and are called the Northern Local Suite. The volcanism extends in age between middle Miocene (c. 15 Ma) and present but most is &lt;10 Ma. Two centres may still be active (Mount Melbourne and Mount Rittmann). It is alkaline, varying between basalt (basanite) and trachyte/rhyolite. There are also associated, geographically restricted, alkaline gabbro to granite plutons and dykes (Meander Intrusive Group) with mainly Eocene-Oligocene ages (52-18 Ma). The isotopic compositions of the plutons have been used to infer overall cooling of climate during the Eocene-Oligocene. The volcanic sequences are overwhelmingly glaciovolcanic and are dominated by 'a'a lava-fed deltas, the first to be described anywhere. They have been a major source of information on Mio-Pliocene glacial conditions and were used to establish that the thermal regime during glacial periods was polythermal, thus necessitating a change in the prevailing paradigm for ice-sheet evolution.</t>
  </si>
  <si>
    <t>[Smellie, John L.] Univ Leicester, Sch Geog Geol &amp; Environm, Univ Rd, Leicester LE1 7RH, Leics, England; [Rocchi, Sergio] Univ Pisa, Dipartimento Sci Terra, Via Santa Maria 53, I-56126 Pisa, Italy</t>
  </si>
  <si>
    <t>University of Leicester; University of Pisa</t>
  </si>
  <si>
    <t>Rocchi, Sergio/A-7752-2018</t>
  </si>
  <si>
    <t>Rocchi, Sergio/0000-0001-6868-1939</t>
  </si>
  <si>
    <t>Italian Antarctic Programme (Programma Nazionale di Ricerche in Antartide (PNRA)); British Antarctic Survey</t>
  </si>
  <si>
    <t>The Italian Antarctic Programme (Programma Nazionale di Ricerche in Antartide (PNRA)) supported all of the studies in northern Victoria Land through successive grants to S. Rocchi; the British Antarctic Survey supported the fieldwork of J.L. Smellie in 2005-06 and his research until 2009.</t>
  </si>
  <si>
    <t>10.1144/M55-2018-60</t>
  </si>
  <si>
    <t>WOS:000683732500022</t>
  </si>
  <si>
    <t>Smellie, JL; Martin, AP</t>
  </si>
  <si>
    <t>Smellie, John L.; Martin, Adam P.</t>
  </si>
  <si>
    <t>Erebus Volcanic Province: volcanology</t>
  </si>
  <si>
    <t>WEST ANTARCTIC RIFT; SOUTHERN VICTORIA-LAND; HUT-POINT-PENINSULA; ROSS SEA REGION; MCMURDO-SOUND; ERUPTIVE HISTORY; BROWN-PENINSULA; MOUNT EREBUS; TRANSANTARCTIC MOUNTAINS; GLACIAL HISTORY</t>
  </si>
  <si>
    <t>The Erebus Volcanic Province is the largest Neogene volcanic province in Antarctica, extending c. 450 km north-south and 170 km wide east-west. It is dominated by large central volcanoes, principally Mount Erebus, Mount Bird, Mount Terror, Mount Discovery and Mount Morning, which have sunk more than 2 km into underlying sedimentary strata. Small submarine volcanoes are also common, as islands and seamounts in the Ross Sea (Terror Rift), and there are many mafic scoria cones (Southern Local Suite) in the Royal Society Range foothills and Dry Valleys. The age of the volcanism ranges between c. 19 Ma and present but most of the volcanism is &lt;5 Ma. It includes active volcanism at Mount Erebus, with its permanent phonolite lava lake. The volcanism is basanite-phonolite/trachyte in composition and there are several alkaline petrological lineages. Many of the volcanoes are pristine, predominantly formed of subaerially erupted products. Conversely, two volcanoes have been deeply eroded. That at Minna Hook is mainly glaciovolcanic, with a record of the ambient mid-late Miocene eruptive environmental conditions. By contrast, Mason Spur is largely composed of pyroclastic density current deposits, which accumulated in a large mid-Miocene caldera that is now partly exhumed.</t>
  </si>
  <si>
    <t>[Smellie, John L.] Univ Leicester, Sch Geog Geol &amp; Environm, Univ Rd, Leicester LE1 7RH, Leics, England; [Martin, Adam P.] GNS Sci, Private Bag 1930, Dunedin, New Zealand</t>
  </si>
  <si>
    <t>University of Leicester; GNS Science - New Zealand</t>
  </si>
  <si>
    <t>Martin, A. P./0000-0002-4676-8344</t>
  </si>
  <si>
    <t>NZARI Research Project awards; Antarctica New Zealand (New Zealand Post) scholarship</t>
  </si>
  <si>
    <t>The British Antarctic Survey supported the early fieldwork and research of J.L. Smellie. Projects at Mount Morning and Mason Spur were supported by NZARI Research Project awards and an Antarctica New Zealand (New Zealand Post) scholarship to A.P. Martin.</t>
  </si>
  <si>
    <t>10.1144/M55-2018-62</t>
  </si>
  <si>
    <t>WOS:000683732500024</t>
  </si>
  <si>
    <t>Popov, SV</t>
  </si>
  <si>
    <t>Popov, S., V</t>
  </si>
  <si>
    <t>Six decades of radar and seismic research in Antarctica</t>
  </si>
  <si>
    <t>Antarctica; radio-echo sounding; seismic sounding; history of Antarctic research; six decades of Antarctic research</t>
  </si>
  <si>
    <t>GROUND-PENETRATING RADAR; DRONNING MAUD LAND; ICE-SHEET; LAKE VOSTOK; EAST ANTARCTICA; THICKNESS; GPR; STATION; TOPOGRAPHY; MOUNTAINS</t>
  </si>
  <si>
    <t>Antarctica was discovered by the First Russian Antarctic expedition in 1820. Subsequent studies were mainly descriptive in nature, and measurements were few in number. Only from the end of the 19th century systematic scientific observations were started in Antarctica. The first stage of studying the continent was completed in the middle of the 20th century, when the coastline was completely mapped and inland studies were carried on. The First International Geophysical Year (1957-1958) marked the beginning of systematic geophysical researches in Antarctica. Russia (USSR) took an active part in the work, opening Mirny and Pionerskaya stations in 1956. At the same time, seismic sounding, first conducted by the R. Byrd's expedition in 1933-1935, began to be carried out in Antarctica. In the first two decades after the International Geophysical Year, international scientific communities carried out the first comprehensive multidisciplinary research; a network of permanent year-round scientific stations was created, and a new method of radar sounding was introduced into the practice of work. The results of this stage are presented in the two-volume Atlas of Antarctica, published in the USSR. In the 1970s and 90s, most of the continent was covered by complex airborne geophysical surveys. The huge amount of accumulated data has been combined for generalization them into a single database within the framework of the International Bedmap project. Recent studies are mainly focused in unexplored areas of Antarctica, which by now are actually absent. Further accumulation of data promoted the two subsequent generations of the Bedmap project - Bedmap2 and Bedmap3. The use of GPR methods since the late 1990s has allowed us to study the structure of the snow-firn thickness at a new scientific and technical level, as well as to perform important engineering surveys aimed at ensuring the safety of transport operations in Antarctica. Currently, Russian research is focused on the study of the subglacial Lake Vostok and airborne geophysical works in the sector of 60 degrees-100 degrees E.</t>
  </si>
  <si>
    <t>[Popov, S., V] Polar Marine Geosurvey Expedit, St Petersburg, Russia; [Popov, S., V] St Petersburg State Univ, St Petersburg, Russia</t>
  </si>
  <si>
    <t>Popov, SV (corresponding author), Polar Marine Geosurvey Expedit, St Petersburg, Russia.;Popov, SV (corresponding author), St Petersburg State Univ, St Petersburg, Russia.</t>
  </si>
  <si>
    <t>spopov@yandex.ru</t>
  </si>
  <si>
    <t>Popov, Sergey V./I-2319-2013; Popov, Sergey/IYJ-2371-2023</t>
  </si>
  <si>
    <t>Popov, Sergey V./0000-0002-1830-8658; Popov, Sergey/0000-0002-1830-8658</t>
  </si>
  <si>
    <t>10.31857/S2076673421040110</t>
  </si>
  <si>
    <t>XQ2ZR</t>
  </si>
  <si>
    <t>WOS:000731419000001</t>
  </si>
  <si>
    <t>Yari, M; Ibikunle, O; Varshney, D; Chowdhury, T; Sarkar, A; Paden, J; Li, JL; Rahnemoonfar, M</t>
  </si>
  <si>
    <t>Yari, Masoud; Ibikunle, Oluwanisola; Varshney, Debvrat; Chowdhury, Tashnim; Sarkar, Argho; Paden, John; Li, Jilu; Rahnemoonfar, Maryam</t>
  </si>
  <si>
    <t>Airborne Snow Radar Data Simulation With Deep Learning and Physics-Driven Methods</t>
  </si>
  <si>
    <t>IEEE JOURNAL OF SELECTED TOPICS IN APPLIED EARTH OBSERVATIONS AND REMOTE SENSING</t>
  </si>
  <si>
    <t>Snow; Radar; Generative adversarial networks; Radar imaging; Radar tracking; Data models; Radar remote sensing; Generative adversarial networks (GANs); remote sensing; simulation; snow radar</t>
  </si>
  <si>
    <t>ICE; THICKNESS; SURFACE; BAND</t>
  </si>
  <si>
    <t>Monitoring properties of ice sheets in polar regions is one of the main challenges in glaciology. There is a large amount of heterogeneous radar data from the polar regions that have been gathered through expensive missions. However, retrieving meaningful information from this large volume of data is still a great challenge. With the advancement of machine learning techniques in recent years, many scientists are eager to take advantage of these algorithms and techniques to explore and mine Arctic and Antarctic data. These advancements, however, have happened mainly in the area of supervised learning where the models are data hungry and require large amounts of annotated data. Generating simulated data can be an effective and inexpensive approach to provide large labeled datasets for training machine learning models. In this work, we explore two approaches to simulate arctic snow radar echogram images, namely a radar scattering physics based approach combined with some statistical measures and a purely data-driven approach based on a conditional generative adversarial network. Using several image comparison metrics, we analyze the utility of both methods for the purpose of simulating echograms. Our results show that the physics simulator generates images with good structural similarities, while the purely data-driven approach achieves better textural similarities for simulated image. Finally, we also show that by augmenting our real dataset by the simulated echograms, we can improve our deep learning model for tracking internal layers of snow.</t>
  </si>
  <si>
    <t>[Yari, Masoud; Varshney, Debvrat; Chowdhury, Tashnim; Sarkar, Argho; Rahnemoonfar, Maryam] Univ Maryland, Comp Vis &amp; Remote Sensing Lab Bina Lab, College Pk, MD 21250 USA; [Ibikunle, Oluwanisola; Paden, John; Li, Jilu] Univ Kansas, Lawrence, KS 66045 USA</t>
  </si>
  <si>
    <t>University System of Maryland; University of Maryland College Park; University of Kansas</t>
  </si>
  <si>
    <t>Rahnemoonfar, M (corresponding author), Univ Maryland, Comp Vis &amp; Remote Sensing Lab Bina Lab, College Pk, MD 21250 USA.</t>
  </si>
  <si>
    <t>yari@umbc.edu; ibikunle.oluwanisola@ku.edu; debvrav1@umbc.edu; tchowdh1@umbc.edu; asarkar2@umbc.edu; paden@ku.edu; jiluli@ku.edu; Maryam@umbc.edu</t>
  </si>
  <si>
    <t>Ibikunle, Oluwanisola/HJB-4526-2022</t>
  </si>
  <si>
    <t>Li, Jilu/0000-0002-8048-8186; Varshney, Debvrat/0000-0001-8898-1736; yari, Masoud/0000-0002-9949-8683</t>
  </si>
  <si>
    <t>NSF BIGDATA Awards [IIS-1838230, IIS-1947584]; NSF HDR Institute Award [OAC-2118285]; IBM; Amazon</t>
  </si>
  <si>
    <t>NSF BIGDATA Awards; NSF HDR Institute Award; IBM(International Business Machines (IBM)); Amazon</t>
  </si>
  <si>
    <t>This work was supported by NSF BIGDATA Awards (IIS-1838230, IIS-1947584), NSF HDR Institute Award (OAC-2118285), IBM, and Amazon.</t>
  </si>
  <si>
    <t>IEEE-INST ELECTRICAL ELECTRONICS ENGINEERS INC</t>
  </si>
  <si>
    <t>PISCATAWAY</t>
  </si>
  <si>
    <t>445 HOES LANE, PISCATAWAY, NJ 08855-4141 USA</t>
  </si>
  <si>
    <t>1939-1404</t>
  </si>
  <si>
    <t>2151-1535</t>
  </si>
  <si>
    <t>IEEE J-STARS</t>
  </si>
  <si>
    <t>IEEE J. Sel. Top. Appl. Earth Observ. Remote Sens.</t>
  </si>
  <si>
    <t>10.1109/JSTARS.2021.3126547</t>
  </si>
  <si>
    <t>Engineering, Electrical &amp; Electronic; Geography, Physical; Remote Sensing; Imaging Science &amp; Photographic Technology</t>
  </si>
  <si>
    <t>Engineering; Physical Geography; Remote Sensing; Imaging Science &amp; Photographic Technology</t>
  </si>
  <si>
    <t>XL5BR</t>
  </si>
  <si>
    <t>WOS:000728159900007</t>
  </si>
  <si>
    <t>Smellie, JL</t>
  </si>
  <si>
    <t>Smellie, John L.</t>
  </si>
  <si>
    <t>Bransfield Strait and James Ross Island: volcanology</t>
  </si>
  <si>
    <t>SOUTH SHETLAND ISLANDS; NORTHERN ANTARCTIC PENINSULA; CENTRAL LIVINGSTON ISLAND; UPPER CRUSTAL STRUCTURE; PRINCE GUSTAV CHANNEL; KING-GEORGE-ISLAND; K-AR AGE; DECEPTION-ISLAND; VOLCANIC EVOLUTION; WEST ANTARCTICA</t>
  </si>
  <si>
    <t>Following more than 25 years of exploration and research since the last regional appraisal, the number of known subaerially exposed volcanoes in the northern Antarctic Peninsula region has more than trebled, from less than 15 to more than 50, and that total must be increased at least three-fold if seamounts in Bransfield Strait are included. Several volcanoes remain unvisited and there are relatively few detailed studies. The region includes Deception Island, the most prolific active volcano in Antarctica, and Mount Haddington, the largest volcano in Antarctica. The tectonic environment of the volcanism is more variable than elsewhere in Antarctica. Most of the volcanism is related to subduction. It includes very young ensialic marginal basin volcanism (Bransfield Strait), back-arc alkaline volcanism (James Ross Island Volcanic Group) and slab-window-related volcanism (seamount offshore of Anvers Island), as well as volcanism of uncertain origin (Anvers and Brabant islands; small volcanic centres on Livingston and Greenwich islands). Only 'normal' arc volcanism is not clearly represented, possibly because active subduction virtually ceased at c. 4 Ma. The eruptive environment for the volcanism varied between subglacial, marine and subaerial but a subglacial setting is prominent, particularly in the James Ross Island Volcanic Group.</t>
  </si>
  <si>
    <t>[Smellie, John L.] Univ Leicester, Sch Geog Geol &amp; Environm, Univ Rd, Leicester LE1 7RH, Leics, England</t>
  </si>
  <si>
    <t>University of Leicester</t>
  </si>
  <si>
    <t>jls55@leicester.ac.uk</t>
  </si>
  <si>
    <t>10.1144/M55-2018-58</t>
  </si>
  <si>
    <t>WOS:000683732500016</t>
  </si>
  <si>
    <t>Leat, PT; Riley, TR</t>
  </si>
  <si>
    <t>Leat, Philip T.; Riley, Teal R.</t>
  </si>
  <si>
    <t>Antarctic Peninsula and South Shetland Islands: petrology</t>
  </si>
  <si>
    <t>KING GEORGE ISLAND; MIERS BLUFF FORMATION; FORE-ARC MAGMATISM; U-PB GEOCHRONOLOGY; ALEXANDER-ISLAND; LIVINGSTON-ISLAND; MAGNESIAN ANDESITES; CONTINENTAL-CRUST; CALC-ALKALINE; PALMER LAND</t>
  </si>
  <si>
    <t>The Antarctic Peninsula contains a record of continental-margin volcanism extending from Jurassic to Recent times. Subduction of the Pacific oceanic lithosphere beneath the continental margin developed after Late Jurassic volcanism in Alexander Island that was related to extension of the continental margin. Mesozoic ocean-floor basalts emplaced within the Alexander Island accretionary complex have compositions derived from Pacific mantle. The Antarctic Peninsula volcanic arc was active from about Early Cretaceous times until the Early Miocene. It was affected by hydrothermal alteration, and by regional and contact metamorphism generally of zeolite to prehnite-pumpellyite facies. Distinct geochemical groups recognized within the volcanic rocks suggest varied magma generation processes related to changes in subduction dynamics. The four groups are: calc-alkaline, high-Mg andesitic, adakitic and high-Zr, the last two being described in this arc for the first time. The dominant calc-alkaline group ranges from primitive mafic magmas to rhyolite, and from low- to high-K in composition, and was generated from a mantle wedge with variable depletion. The high-Mg and adakitic rocks indicate periods of melting of the subducting slab and variable equilibration of the melts with mantle. The high-Zr group is interpreted as peralkaline and may have been related to extension of the arc.</t>
  </si>
  <si>
    <t>[Leat, Philip T.; Riley, Teal R.] British Antarctic Survey, Madingley Rd, Cambridge CB3 0ET, England; [Leat, Philip T.] Univ Leicester, Sch Geog Geol &amp; Environm, Univ Rd, Leicester LE1 7RH, Leics, England</t>
  </si>
  <si>
    <t>UK Research &amp; Innovation (UKRI); Natural Environment Research Council (NERC); NERC British Antarctic Survey; University of Leicester</t>
  </si>
  <si>
    <t>Leat, PT (corresponding author), British Antarctic Survey, Madingley Rd, Cambridge CB3 0ET, England.;Leat, PT (corresponding author), Univ Leicester, Sch Geog Geol &amp; Environm, Univ Rd, Leicester LE1 7RH, Leics, England.</t>
  </si>
  <si>
    <t>ptle@bas.ac.uk</t>
  </si>
  <si>
    <t>Riley, Teal/0000-0002-3333-5021</t>
  </si>
  <si>
    <t>NERC [bas0100030, bas010011] Funding Source: UKRI</t>
  </si>
  <si>
    <t>NERC(UK Research &amp; Innovation (UKRI)Natural Environment Research Council (NERC))</t>
  </si>
  <si>
    <t>10.1144/M55-2018-68</t>
  </si>
  <si>
    <t>WOS:000683732500015</t>
  </si>
  <si>
    <t>Velezmoro-León, R; Ipanaqué-Chero, R; Fernández, MV; Gomez, JJ</t>
  </si>
  <si>
    <t>Gervasi, O; Murgante, B; Misra, S; Garau, C; Blecic, I; Taniar, D; Apduhan, BO; Rocha, AMAC; Tarantino, E; Torre, CM</t>
  </si>
  <si>
    <t>Velezmoro-Leon, Ricardo; Ipanaque-Chero, Robert; Velasquez Fernandez, Marcela; Jimenez Gomez, Jorge</t>
  </si>
  <si>
    <t>Construction of Polyhedra Whose Vertices are Points on Curve Which Lying on Lemniscatic Torus with Mathematica</t>
  </si>
  <si>
    <t>COMPUTATIONAL SCIENCE AND ITS APPLICATIONS, ICCSA 2021, PT II</t>
  </si>
  <si>
    <t>Lecture Notes in Computer Science</t>
  </si>
  <si>
    <t>21st International Conference on Computational Science and Its Applications (ICCSA)</t>
  </si>
  <si>
    <t>SEP 13-16, 2021</t>
  </si>
  <si>
    <t>Cagliari, ITALY</t>
  </si>
  <si>
    <t>Lemniscatic torus; Polyhedral; Wolfram mathematica</t>
  </si>
  <si>
    <t>Polyhedra are widely used in art, science and technology. Faced with this situation, the following research question is formulated: Can new polyhedral structures be generated from another mathematical object such as a lemniscatic torus? For this question, the results we obtained are two particular cases whose vertices are points that belong to curves that lie on a lemniscatic torus: the first, a new polyhedron that has regular trapezoids in the equatorial zone, and the second, one that has triangles equal to each other. For both polyhedra, there exists an antipodal symmetry in the Arctic and Antarctic zones. Emphasis is placed on the construction of two convex polyhedra above mentioned: a one with 18-faces and other with 36-faces, using the scientific software Mathematica v.11.2. We also determine their total areas which respectively approximate 9.51 R-2 and 10.44 R-2. Likewise, the volume of each one is approximately 2.41 R-3 and 4.19 R-3, respectively. Moreover, they being inscribed in a sphere of radius R, and their opposite faces are not parallel.</t>
  </si>
  <si>
    <t>[Velezmoro-Leon, Ricardo; Ipanaque-Chero, Robert; Velasquez Fernandez, Marcela; Jimenez Gomez, Jorge] Univ Nacl Piura, Urb Miraflores S-N Castilla, Piura, Peru</t>
  </si>
  <si>
    <t>Universidad Nacional de Piura</t>
  </si>
  <si>
    <t>Velezmoro-León, R; Ipanaqué-Chero, R; Fernández, MV; Gomez, JJ (corresponding author), Univ Nacl Piura, Urb Miraflores S-N Castilla, Piura, Peru.</t>
  </si>
  <si>
    <t>rvelezmorol@unp.edu.pe; ripanaquec@unp.edu.pe; fvelasquezf@unp.edu.pe</t>
  </si>
  <si>
    <t>Villanueva, María/B-1812-2017; Ipanaque-Chero, Robert/K-6984-2016</t>
  </si>
  <si>
    <t>Jimenez Gomez, Jorge Luis Junior/0000-0002-7168-1144; Velezmoro-Leon, Ricardo/0000-0002-2582-8264; VELASQUEZ FERNANDEZ, FELICITA MARCELA/0000-0002-0345-5348; Ipanaque-Chero, Robert/0000-0002-3873-6780</t>
  </si>
  <si>
    <t>SPRINGER INTERNATIONAL PUBLISHING AG</t>
  </si>
  <si>
    <t>CHAM</t>
  </si>
  <si>
    <t>GEWERBESTRASSE 11, CHAM, CH-6330, SWITZERLAND</t>
  </si>
  <si>
    <t>0302-9743</t>
  </si>
  <si>
    <t>1611-3349</t>
  </si>
  <si>
    <t>978-3-030-86960-1; 978-3-030-86959-5</t>
  </si>
  <si>
    <t>LECT NOTES COMPUT SC</t>
  </si>
  <si>
    <t>10.1007/978-3-030-86960-1_1</t>
  </si>
  <si>
    <t>Computer Science, Interdisciplinary Applications; Computer Science, Theory &amp; Methods; Mathematics, Applied</t>
  </si>
  <si>
    <t>Computer Science; Mathematics</t>
  </si>
  <si>
    <t>BS4SM</t>
  </si>
  <si>
    <t>WOS:000722379800001</t>
  </si>
  <si>
    <t>De Souza, MRDP; Zaleski, T; Machado, C; Kandalski, PK; Forgati, M; D' Bastiani, E; Piechnik, CA; Donatti, L</t>
  </si>
  <si>
    <t>De Souza, Maria Rosa D. P.; Zaleski, Tania; Machado, Cintia; Kandalski, Priscila K.; Forgati, Mariana; D' Bastiani, Elvira; Piechnik, Claudio A.; Donatti, Lucelia</t>
  </si>
  <si>
    <t>Effect of heat stress on the antioxidant defense system and erythrocyte morphology of Antarctic fishes</t>
  </si>
  <si>
    <t>Admiralty bay; nototheniidae; oxidative stress; red blood cells; temperature</t>
  </si>
  <si>
    <t>OXIDATIVE-STRESS; NOTOTHENIA-CORIICEPS; TEMPERATURE-ACCLIMATION; NUCLEAR ABNORMALITIES; THERMAL TOLERANCE; PARAMETERS; RESPONSES; TISSUES; MITOCHONDRIAL; APOPTOSIS</t>
  </si>
  <si>
    <t>This study analyzed the effect of thermal stress on erythrocytes of Notothenia rossii and Notothenia coriiceps, abundant notothenioids in Admiralty Bay, Antarctic Peninsula. In both species, the antioxidant defense system enzymes, superoxide dismutase, catalase, glutathione peroxidase, glutathione-S transferase, glutathione reductase were punctually altered (8 degrees C for 1, 3 and 6 days) in erythrocytes, indicating that these markers are not ideal for termal stress. However, under the influence of thermal stress, morphological changes in Notothenia coriiceps erythrocytes were observed at all exposure times (1, 3 and 6 days at 8 degrees C), and in Notothenia rossii occurred in 6 days. These results suggest that Notothenia corriceps presents a lower tolerance to thermal stress at 8 degrees C for up to 6 days, since the cellular and nuclear alterations recorded are pathological and may be deleterious to the cells. Among the morphological markers analyzed in this work, we believe that the shape change and nuclear bubble formation may be good stress biomarkers in erythrocytes of Notothenia rossii and Notothenia coriiceps.</t>
  </si>
  <si>
    <t>[De Souza, Maria Rosa D. P.; Zaleski, Tania; Machado, Cintia; Kandalski, Priscila K.; Forgati, Mariana; Piechnik, Claudio A.; Donatti, Lucelia] Univ Fed Parana, Dept Biol Celular, Av Cel Francisco H dos Santos S-N, BR-81531970 Curitiba, Parana, Brazil; [D' Bastiani, Elvira] Univ Fed Parana, Dept Zool, Av Cel Francisco H dos Santos S-N, BR-81531970 Curitiba, Parana, Brazil</t>
  </si>
  <si>
    <t>Universidade Federal do Parana; Universidade Federal do Parana</t>
  </si>
  <si>
    <t>Donatti, L (corresponding author), Univ Fed Parana, Dept Biol Celular, Av Cel Francisco H dos Santos S-N, BR-81531970 Curitiba, Parana, Brazil.</t>
  </si>
  <si>
    <t>donatti@ufpr.br</t>
  </si>
  <si>
    <t>Donatti, Lucelia/E-1930-2013</t>
  </si>
  <si>
    <t>Donatti, Lucelia/0000-0002-9023-2483; ZALESKI, TANIA/0000-0001-7426-7312</t>
  </si>
  <si>
    <t>Ministerio do Meio Ambiente do Brazil (MMA); Ministerio da Ciencia, Tecnologia e Inovacoes (MCTI); Conselho Nacional de Desenvolvimento Cientifico e Tecnologico (CNPq); Coordenacao de Aperfeicoamento de Pessoal de Nivel Superior (CAPES); Secretaria da Comissao Interministerial para os Recursos do Mar (SeCIRM); Coordenacao de Aperfeicoamento de Pessoal de Nivel Superior - Brazil (CAPES) [001]; CAPES; CNPq [CAPES/ PNPD 2443/2011, CNPq 52.0125/2008- 8, 30.5562/20096, 30.5969/2012-9]; INCT-APA [CNPq 574.018/2008-5]; INCT-APA (Fundacao de Amparo a Pesquisa do Estado do Rio de Janeiro - FAPERJ) [E-26/170.023/2008]</t>
  </si>
  <si>
    <t>Ministerio do Meio Ambiente do Brazil (MMA); Ministerio da Ciencia, Tecnologia e Inovacoes (MCTI); Conselho Nacional de Desenvolvimento Cientifico e Tecnologico (CNPq)(Conselho Nacional de Desenvolvimento Cientifico e Tecnologico (CNPQ)); Coordenacao de Aperfeicoamento de Pessoal de Nivel Superior (CAPES)(Coordenacao de Aperfeicoamento de Pessoal de Nivel Superior (CAPES)); Secretaria da Comissao Interministerial para os Recursos do Mar (SeCIRM); Coordenacao de Aperfeicoamento de Pessoal de Nivel Superior - Brazil (CAPES)(Coordenacao de Aperfeicoamento de Pessoal de Nivel Superior (CAPES)); CAPES(Coordenacao de Aperfeicoamento de Pessoal de Nivel Superior (CAPES)); CNPq(Conselho Nacional de Desenvolvimento Cientifico e Tecnologico (CNPQ)); INCT-APA; INCT-APA (Fundacao de Amparo a Pesquisa do Estado do Rio de Janeiro - FAPERJ)(Fundacao Carlos Chagas Filho de Amparo a Pesquisa do Estado do Rio De Janeiro (FAPERJ))</t>
  </si>
  <si>
    <t>We thank Professor Tatiana Herrerias for her helpful suggestions to improve the manuscript, and we thank following groups for their support: the Ministerio do Meio Ambiente do Brazil (MMA), the Ministerio da Ciencia, Tecnologia e Inovacoes (MCTI), the Conselho Nacional de Desenvolvimento Cientifico e Tecnologico (CNPq), the Coordenacao de Aperfeicoamento de Pessoal de Nivel Superior (CAPES) and the Secretaria da Comissao Interministerial para os Recursos do Mar (SeCIRM). The authors would like to thank Dr. Edith Susana Elisabeth Fanta (in memoriam) and Dr. Yocie Yoneshigue Valentin, coordinator of the Instituto Nacional de Ciencia e Tecnologia Antartico de Pesquisas Ambientais (INCTAPA), for all the help and incentive given during the execution of the present work. This study was financed in part by the Coordenacao de Aperfeicoamento de Pessoal de Nivel Superior - Brazil (CAPES) - Finance Code 001, CAPES, CNPq, through the projects CAPES/ PNPD 2443/2011, CNPq 52.0125/2008- 8, 30.5562/20096, 30.5969/2012-9, and INCT-APA (CNPq 574.018/2008-5, Fundacao de Amparo a Pesquisa do Estado do Rio de Janeiro - FAPERJ E-26/170.023/2008).</t>
  </si>
  <si>
    <t>e20190657</t>
  </si>
  <si>
    <t>10.1590/0001-376520220190657</t>
  </si>
  <si>
    <t>WS9QI</t>
  </si>
  <si>
    <t>WOS:000715510000001</t>
  </si>
  <si>
    <t>Panter, KS</t>
  </si>
  <si>
    <t>Panter, Kurt Samuel</t>
  </si>
  <si>
    <t>Antarctic volcanism: petrology and tectonomagmatic overview</t>
  </si>
  <si>
    <t>MARIE-BYRD-LAND; LARGE IGNEOUS PROVINCE; NORTHERN VICTORIA-LAND; WEST ANTARCTICA; MANTLE-PLUME; RIFT SYSTEM; ROSS ISLAND; NEW-ZEALAND; POSTSUBDUCTION MAGMATISM; GEOCHEMICAL EVOLUTION</t>
  </si>
  <si>
    <t>Petrological investigations over the past 30 years have significantly advanced our knowledge of the origin and evolution of magmas emplaced within and erupted on top of the Antarctic Plate. Over the last 200 myr Antarctica has experienced: (1) several episodes of rifting, leading to the fragmentation of Gondwana and the formation by c. 83 Ma of the current Antarctica Plate; (2) long-lived subduction that shut down progressively eastwards along the Gondwana margin in the Late Cretaceous and is still active at the northernmost tip of the Antarctic Peninsula; and (3) broad extension across West Antarctica that produced one of the Earth's major continental rift systems. The dynamic tectonic history of Antarctica since the Triassic has led to a diversity of volcano types and igneous rock compositions with correspondingly diverse origins. Many intriguing questions remain about the petrology of mantle sources and the mechanisms for melting during each tectonomagmatic phase. For intraplate magmatism, the upwelling of deep mantle plumes is often evoked. Alternatively, subduction-related metasomatized mantle sources and melting by more passive means (e.g. edge-driven flow, translithospheric faulting, slab windows) are proposed. A brief review of these often competing models is provided in this chapter along with recommendations for ongoing petrological research in Antarctica.</t>
  </si>
  <si>
    <t>[Panter, Kurt Samuel] Bowling Green State Univ, Sch Earth Environm &amp; Soc, Bowling Green, OH 43403 USA</t>
  </si>
  <si>
    <t>University System of Ohio; Bowling Green State University</t>
  </si>
  <si>
    <t>Panter, KS (corresponding author), Bowling Green State Univ, Sch Earth Environm &amp; Soc, Bowling Green, OH 43403 USA.</t>
  </si>
  <si>
    <t>kpanter@bgsu.edu</t>
  </si>
  <si>
    <t>Panter, Kurt S./0000-0002-0990-5880</t>
  </si>
  <si>
    <t>10.1144/M55-2020-10</t>
  </si>
  <si>
    <t>WOS:000683732500005</t>
  </si>
  <si>
    <t>Riley, TR; Leat, PT</t>
  </si>
  <si>
    <t>Riley, Teal R.; Leat, Philip T.</t>
  </si>
  <si>
    <t>Palmer Land and Graham Land volcanic groups (Antarctic Peninsula): volcanology</t>
  </si>
  <si>
    <t>PROTO-PACIFIC MARGIN; LARGE IGNEOUS PROVINCES; COAST INTRUSIVE SUITE; GONDWANA BREAK-UP; WEST ANTARCTICA; ELLSWORTH LAND; SILICIC VOLCANISM; JASON PENINSULA; LATADY BASIN; FLARE-UP</t>
  </si>
  <si>
    <t>The break-up of Gondwana during the Early-Middle Jurassic was associated with flood basalt volcanism in southern Africa and Antarctica (Karoo-Ferrar provinces), and formed one of the most extensive episodes of continental magmatism of the Phanerozoic. Contemporaneous felsic magmatism along the proto-Pacific margin of Gondwana has been referred to as a silicic large igneous province, and is exposed extensively in Patagonian South America, the Antarctic Peninsula and elsewhere in West Antarctica. Jurassic-age silicic volcanism in Patagonia is defined as the Chon Aike province and forms one of the most voluminous silicic provinces globally. The Chon Aike province is predominantly pyroclastic in origin, and is characterized by crystal tuffs and ignimbrite units of rhyolite composition. Silicic volcanic rocks of the once contiguous Antarctic Peninsula form a southward extension of the Chon Aike province and are also dominated by silicic ignimbrite units, with a total thickness exceeding 1 km. The ignimbrites include high-grade rheomorphic ignimbrites, as well as unwelded, lithic-rich ignimbrites. Rhyolite lava flows, air-fall horizons, debris-flow deposits and epiclastic deposits are volumetrically minor, occurring as interbedded units within the ignimbrite succession.</t>
  </si>
  <si>
    <t>[Riley, Teal R.; Leat, Philip T.] British Antarctic Survey, Madingley Rd, Cambridge CB3 0ET, England</t>
  </si>
  <si>
    <t>UK Research &amp; Innovation (UKRI); Natural Environment Research Council (NERC); NERC British Antarctic Survey</t>
  </si>
  <si>
    <t>Riley, TR (corresponding author), British Antarctic Survey, Madingley Rd, Cambridge CB3 0ET, England.</t>
  </si>
  <si>
    <t>trr@bas.ac.uk</t>
  </si>
  <si>
    <t>Riley, Teal/0000-0002-3333-5021; Leat, Philip/0000-0003-3824-8557</t>
  </si>
  <si>
    <t>Natural Environmental Research Council</t>
  </si>
  <si>
    <t>Natural Environmental Research Council(UK Research &amp; Innovation (UKRI)Natural Environment Research Council (NERC))</t>
  </si>
  <si>
    <t>This study is part of the British Antarctic Survey Polar Science for Planet Earth programme, funded by the Natural Environmental Research Council.</t>
  </si>
  <si>
    <t>10.1144/M55-2018-36</t>
  </si>
  <si>
    <t>WOS:000683732500010</t>
  </si>
  <si>
    <t>Palmer Land and Graham Land volcanic groups (Antarctic Peninsula): petrology</t>
  </si>
  <si>
    <t>LARGE IGNEOUS PROVINCES; COAST INTRUSIVE SUITE; DRONNING MAUD LAND; JURASSIC RHYOLITE; SILICIC VOLCANISM; WEST ANTARCTICA; ELLSWORTH LAND; FLOOD BASALTS; LATADY BASIN; FLARE-UP</t>
  </si>
  <si>
    <t>Large-volume rhyolitic volcanism along the proto-Pacific margin of Gondwana consists of three major episodes of magmatism or 'flare-ups'. The initial episode (V1) overlaps with the Karoo-Ferrar large igneous provinces at c. 183 Ma. A second (V2) episode was erupted in the interval 171-167 Ma, and a third episode (V3) was emplaced in the interval 157-153 Ma. The magmatic events of the V1 and V2 episodes of the Antarctic Peninsula are reviewed here describing major and trace elements, and isotopic (Sr, Nd, O) data from rhyolitic volcanic rocks and more minor basaltic magmatism. An isotopically uniform intermediate magma developed as a result of anatexis of hydrous mafic lower crust, which can be linked to earlier, arc-related underplating. The subsequent lower-crust partial melts mixed with fractionated mafic underplate, followed by mid-crust storage and homogenization. Early Jurassic (V1) volcanic rocks of the southern Antarctic Peninsula are derived from the isotopically uniform magma, but they have mixed with melts of upper-crustal paragneiss in high-level magma chambers. The V2 rhyolites from the northern Antarctic Peninsula are the result of assimilation and fractional crystallization of the isotopically uniform magma. This process took place in upper-crust magma reservoirs involving crustal assimilants with an isotopic composition akin to that of the magma. A continental margin-arc setting was critical in allowing the development of an hydrous, fusible lower crust. Lower-crustal anatexis was in response to mafic underplating associated with the mantle plume thought to be responsible for the contemporaneous Karoo magmatic province and rifting associated with the initial break-up of Gondwana.</t>
  </si>
  <si>
    <t>[Riley, Teal R.; Leat, Philip T.] British Antarctic Survey, adingley Rd, Cambridge CB3 0ET, England</t>
  </si>
  <si>
    <t>Riley, TR (corresponding author), British Antarctic Survey, adingley Rd, Cambridge CB3 0ET, England.</t>
  </si>
  <si>
    <t>10.1144/M55-2018-51</t>
  </si>
  <si>
    <t>WOS:000683732500011</t>
  </si>
  <si>
    <t>Antarctic Peninsula and South Shetland Islands: volcanology</t>
  </si>
  <si>
    <t>KING-GEORGE-ISLAND; U-PB GEOCHRONOLOGY; CENTRAL LIVINGSTON ISLAND; CENOZOIC IGNEOUS ROCKS; CRETACEOUS BYERS GROUP; COAST INTRUSIVE SUITE; MIERS BLUFF FORMATION; FORE-ARC MAGMATISM; ALEXANDER-ISLAND; PALMER-LAND</t>
  </si>
  <si>
    <t>The voluminous continental margin volcanic arc of the Antarctic Peninsula is one of the major tectonic features of West Antarctica. It extends from the Trinity Peninsula and the South Shetland Islands in the north to Alexander Island and Palmer Land in the south, a distance of c. 1300 km, and was related to east-directed subduction beneath the continental margin. Thicknesses of exposed volcanic rocks are up to c. 1.5 km, and the terrain is highly dissected by erosion and heavily glacierized. The arc was active from Late Jurassic or Early Cretaceous times until the Early Miocene, a period of climate cooling from subtropical to glacial. The migration of the volcanic axis was towards the trench over time along most of the length of the arc. Early volcanism was commonly submarine but most of the volcanism was subaerial. Basaltic-andesitic stratocones and large silicic composite volcanoes with calderas can be identified. Other rock associations include volcaniclastic fans, distal tuff accumulations, coastal wetlands and glacio-marine eruptions. Other groups of volcanic rocks of Jurassic age in Alexander Island comprise accreted oceanic basalts within an accretionary complex and volcanic rocks erupted within a rift basin along the continental margin that apparently predate subduction.</t>
  </si>
  <si>
    <t>10.1144/M55-2018-52</t>
  </si>
  <si>
    <t>WOS:000683732500014</t>
  </si>
  <si>
    <t>Haase, KM; Beier, C</t>
  </si>
  <si>
    <t>Haase, Karsten M.; Beier, Christoph</t>
  </si>
  <si>
    <t>Bransfield Strait and James Ross Island: petrology</t>
  </si>
  <si>
    <t>NORTHERN ANTARCTIC PENINSULA; BACK-ARC BASIN; SOUTH SHETLAND ISLANDS; TRACE-ELEMENT; GEOCHEMICAL CONSTRAINTS; MANTLE HETEROGENEITY; MAGMATIC EVOLUTION; ALKALINE VOLCANISM; SUBDUCTION HISTORY; CONTINENTAL-CRUST</t>
  </si>
  <si>
    <t>Young volcanic centres of the Bransfield Strait and James Ross Island occur along back-arc extensional structures parallel to the South Shetland island arc. Back-arc extension was caused by slab rollback at the South Shetland Trench during the past 4 myr. The variability of lava compositions along the Bransfield Strait results from varying degrees of mantle depletion and input of a slab component. The mantle underneath the Bransfield Strait is heterogeneous on a scale of approximately tens of kilometres with portions in the mantle wedge not affected by slab fluids. Lavas from James Ross Island east of the Antarctic Peninsula differ in composition from those of the Bransfield Strait in that they are alkaline without evidence for a component from a subducted slab. Alkaline lavas from the volcanic centres east of the Antarctic Peninsula imply variably low degrees of partial melting in the presence of residual garnet, suggesting variable thinning of the lithosphere by extension. Magmas in the Bransfield Strait form by relatively high degrees of melting in the shallow mantle, whereas the magmas some 150 km further east form by low degrees of melting deeper in the mantle, reflecting the diversity of mantle geodynamic processes related to subduction along the South Shetland Trench.</t>
  </si>
  <si>
    <t>[Haase, Karsten M.; Beier, Christoph] Friedrich Alexander Univ Erlangen Nurnberg FAU, GeoZentrum Nordbayern, Schlossgarten 5, D-91054 Erlangen, Germany; [Beier, Christoph] Univ Helsinki, Dept Geosci &amp; Geog, Res Programme Geol &amp; Geophys GeoHel, FIN-00014 Helsinki, Finland</t>
  </si>
  <si>
    <t>University of Erlangen Nuremberg; University of Helsinki</t>
  </si>
  <si>
    <t>Haase, KM (corresponding author), Friedrich Alexander Univ Erlangen Nurnberg FAU, GeoZentrum Nordbayern, Schlossgarten 5, D-91054 Erlangen, Germany.</t>
  </si>
  <si>
    <t>karsten.haase@fau.de</t>
  </si>
  <si>
    <t>, Christoph/A-3522-2014</t>
  </si>
  <si>
    <t>, Christoph/0000-0001-7014-7049</t>
  </si>
  <si>
    <t>10.1144/M55-2018-37</t>
  </si>
  <si>
    <t>WOS:000683732500017</t>
  </si>
  <si>
    <t>Smellie, JL; Hole, MJ</t>
  </si>
  <si>
    <t>Smellie, John L.; Hole, Malcolm J.</t>
  </si>
  <si>
    <t>Antarctic Peninsula: volcanology</t>
  </si>
  <si>
    <t>JAMES-ROSS-ISLAND; FORE-ARC MAGMATISM; ALEXANDER ISLAND; ALKALINE VOLCANISM; GRAHAM LAND; PLIOCENE; AGE; MIOCENE; LITHOSTRATIGRAPHY; GEOCHEMISTRY</t>
  </si>
  <si>
    <t>The Antarctic Peninsula is distinguished by late Neogene volcanic activity related to a series of northerly younging ridge cresttrench collisions and the progressive opening of 'slab windows' in the subjacent mantle. The outcrops were amongst the last to be discovered in the region, with many occurrences not visited until the 1970s and 1980s. The volcanism consists of several monogenetic volcanic fields and small isolated centres. It is sodic alkaline to tholeiitic in composition, and ranges in age between 7.7 Ma and present. No eruptions have been observed (with the possible, but dubious, exception of Seal Nunataks in 1893) but very young isotopic ages for some outcrops suggest that future eruptions are a possibility. The eruptions were overwhelmingly glaciovolcanic and the outcrops have been a major source of information on glaciovolcano construction. They have also been highly influential in advancing our understanding of the configuration of the Plio-Pleistocene Antarctic Peninsula Ice Sheet. However, our knowledge is hindered by a paucity of modern, precise isotopic ages. In particular, there is no obvious relationship between the age of ridge crest-trench collisions and the timing of slab-window volcanism, a puzzle that may only be resolved by new dating.</t>
  </si>
  <si>
    <t>[Smellie, John L.] Univ Leicester, Sch Geog Geol &amp; Environm, Univ Rd, Leicester LE1 7RH, Leics, England; [Hole, Malcolm J.] Univ Aberdeen, Dept Geol &amp; Petr Geol, Kings Coll, Meston Bldg, Aberdeen AB24 3UE, Scotland</t>
  </si>
  <si>
    <t>University of Leicester; University of Aberdeen</t>
  </si>
  <si>
    <t>smellie, john/0000-0001-5537-1763</t>
  </si>
  <si>
    <t>10.1144/M55-2018-59</t>
  </si>
  <si>
    <t>WOS:000683732500019</t>
  </si>
  <si>
    <t>Hole, MJ</t>
  </si>
  <si>
    <t>Hole, Malcolm J.</t>
  </si>
  <si>
    <t>Antarctic Peninsula: petrology</t>
  </si>
  <si>
    <t>CONTINENTAL FLOOD BASALTS; ALKALINE VOLCANIC-ROCKS; MELTING EXPERIMENTS; TRACE-ELEMENT; PHOENIX RIDGE; SLAB WINDOWS; PYROXENITE; SUBDUCTION; GENESIS; MAGMATISM</t>
  </si>
  <si>
    <t>Scattered occurrences of Miocene-Recent volcanic rocks of the alkaline intraplate association represent one of the last expressions of magmatism along the Antarctic Peninsula. The volcanic rocks were erupted after the cessation of subduction which stopped following a series of northward-younging ridge crest-trench collisions. Volcanism has been linked to the development of a growing slab window beneath the extinct convergent margin. Geochemically, lavas range from olivine tholeiite through to basanite and tephrite. Previous studies have emphasized the slab-window tectonic setting as key to allowing melting of peridotite in the asthenospheric void caused by the passage of the slab beneath the locus of volcanism. This hypothesis is revisited in the light of more recent petrological research, and an origin from melting of subducted slab-hosted pyroxenite is considered here to be a more viable alternative for their petrogenesis. Because of the simple geometry of ridge subduction, and the well-established chronology of ridge crest-trench collisions, the Antarctic Peninsula remains a key region for understanding the transition from active to passive margin resulting from cessation of subduction. However, there are still some key issues relating to their tectonomagmatic association, and, principally, the poor geochronological control on the volcanic rocks requires urgent attention.</t>
  </si>
  <si>
    <t>[Hole, Malcolm J.] Univ Aberdeen, Dept Geol &amp; Petr Geol, Kings Coll, Meston Bldg, Aberdeen AB24 3UE, Scotland</t>
  </si>
  <si>
    <t>University of Aberdeen</t>
  </si>
  <si>
    <t>Hole, MJ (corresponding author), Univ Aberdeen, Dept Geol &amp; Petr Geol, Kings Coll, Meston Bldg, Aberdeen AB24 3UE, Scotland.</t>
  </si>
  <si>
    <t>m.j.hole@abdn.ac.uk</t>
  </si>
  <si>
    <t>10.1144/M55-2018-40</t>
  </si>
  <si>
    <t>WOS:000683732500020</t>
  </si>
  <si>
    <t>Rocchi, S; Smellie, JL</t>
  </si>
  <si>
    <t>Rocchi, S.; Smellie, J. L.</t>
  </si>
  <si>
    <t>Northern Victoria Land: petrology</t>
  </si>
  <si>
    <t>WEST ANTARCTIC RIFT; MARIE-BYRD-LAND; ROSS-SEA-RIFT; LARGE IGNEOUS PROVINCE; HIGH HE-3/HE-4 RATIOS; MANTLE-PLUME ACTIVITY; LITHOSPHERIC MANTLE; TRANSANTARCTIC MOUNTAINS; CENOZOIC VOLCANISM; PACIFIC MARGIN</t>
  </si>
  <si>
    <t>Cenozoic magmatic rocks related to the West Antarctic Rift System crop out right across Antarctica, in Victoria Land, Marie Byrd Land and into Ellsworth Land. Northern Victoria Land, located at the northwestern tip of the western rift shoulder, is unique in hosting the longest record of the rift-related igneous activity: plutonic rocks and cogenetic dyke swarms cover the time span from c. 50 to 20 Ma, and volcanic rocks are recorded from 15 Ma to the present. The origin of the entire igneous suite is debated; nevertheless, the combination of geochemical and isotopic data with the regional tectonic history supports a model with no role for a mantle plume. Amagmatic extension during the Cretaceous generated an autometasomatized mantle source that, during Eocene-present activity, produced magma by small degrees of melting induced by the transtensional activity of translithospheric fault systems. The emplacement of Eocene-Oligocene plutons and dyke swarms was focused along these fault systems. Conversely, the location of the mid-Miocene-present volcanoes is governed by lithospheric necking along the Ross Sea coast for the largest volcanic edifices; while inland, smaller central volcanoes and scoria cones are related to the establishment of magma chambers in thicker crust.</t>
  </si>
  <si>
    <t>[Rocchi, S.] Univ Pisa, Dipartimento Sci Terra, Via Santa Maria 53, I-56126 Pisa, Italy; [Smellie, J. L.] Univ Leicester, Sch Geog Geol &amp; Environm, Univ Rd, Leicester LE1 7RH, Leics, England</t>
  </si>
  <si>
    <t>University of Pisa; University of Leicester</t>
  </si>
  <si>
    <t>Rocchi, S (corresponding author), Univ Pisa, Dipartimento Sci Terra, Via Santa Maria 53, I-56126 Pisa, Italy.</t>
  </si>
  <si>
    <t>sergio.rocchi@unipi.it</t>
  </si>
  <si>
    <t>; Rocchi, Sergio/A-7752-2018</t>
  </si>
  <si>
    <t>smellie, john/0000-0001-5537-1763; Rocchi, Sergio/0000-0001-6868-1939</t>
  </si>
  <si>
    <t>National Research Antarctic Programme of Italy [PNRA18_00037]; British Antarctic Survey</t>
  </si>
  <si>
    <t>National Research Antarctic Programme of Italy; British Antarctic Survey</t>
  </si>
  <si>
    <t>This work has been supported by the National Research Antarctic Programme of Italy (PNRA18_00037). J.L. Smellie is grateful to the British Antarctic Survey for supporting his participation in fieldwork in northern Victoria Land during 2005-06.</t>
  </si>
  <si>
    <t>10.1144/M55-2019-19</t>
  </si>
  <si>
    <t>WOS:000683732500023</t>
  </si>
  <si>
    <t>Smellie, JL; Panter, KS; Reindel, J</t>
  </si>
  <si>
    <t>Smellie, John L.; Panter, Kurt S.; Reindel, Jenna</t>
  </si>
  <si>
    <t>Mount Early and Sheridan Bluff: volcanology</t>
  </si>
  <si>
    <t>ANTARCTIC ICE-SHEET; UPLIFT</t>
  </si>
  <si>
    <t>Two small monogenetic volcanoes are exposed at Mount Early and Sheridan Bluff, in the upper reaches of Scott Glacier. In addition, the presence of abundant fresh volcanic detritus in moraines at two other localities suggests further associated volcanism, now obscured by the modern Antarctic ice sheet. One of those occurrences has been attributed to a small subglacial volcano only c. 200 km from South Pole, making it the southernmost volcano in the world. All of the volcanic outcrops in the Scott Glacier region are grouped in a newly defined Upper Scott Glacier Volcanic Field, which is part of the McMurdo Volcanic Group (Western Ross Supergroup). The volcanism is early Miocene in age (c. 25-16 Ma), and the combination of tholeiitic and alkaline mafic compositions differs from the more voluminous alkaline volcanism in the West Antarctic Rift System. The Mount Early volcano was erupted subglacially, when the contemporary ice was considerably thicker than present. By contrast, lithologies associated with the southernmost volcano, currently covered by 1.5 km of modern ice, indicate that it was erupted when any associated ice was either much thinner or absent. The eruptive setting for Sheridan Bluff is uncertain and is still being investigated.</t>
  </si>
  <si>
    <t>[Smellie, John L.] Univ Leicester, Sch Geog Geol &amp; Environm, Univ Rd, Leicester LE1 7RH, Leics, England; [Panter, Kurt S.; Reindel, Jenna] Bowling Green State Univ, Dept Geol, Overman Hall, Bowling Green, OH 43403 USA</t>
  </si>
  <si>
    <t>University of Leicester; University System of Ohio; Bowling Green State University</t>
  </si>
  <si>
    <t>smellie, john/0000-0001-5537-1763; Panter, Kurt S./0000-0002-0990-5880</t>
  </si>
  <si>
    <t>National Science Foundation [NSF PLR 1443576]</t>
  </si>
  <si>
    <t>The National Science Foundation provided support (with grant NSF PLR 1443576) for this work.</t>
  </si>
  <si>
    <t>10.1144/M55-2018-61</t>
  </si>
  <si>
    <t>WOS:000683732500026</t>
  </si>
  <si>
    <t>Panter, KS; Wilch, TI; Smellie, JL; Kyle, PR; McIntosh, WC</t>
  </si>
  <si>
    <t>Panter, K. S.; Wilch, T. I.; Smellie, J. L.; Kyle, P. R.; McIntosh, W. C.</t>
  </si>
  <si>
    <t>Marie Byrd Land and Ellsworth Land: petrology</t>
  </si>
  <si>
    <t>WEST ANTARCTIC RIFT; NEW-ZEALAND; TRACE-ELEMENT; INTRAPLATE VOLCANISM; ICE-SHEET; MOUNT SIDLEY; MANTLE-PLUME; FRACTIONAL CRYSTALLIZATION; TRANSANTARCTIC MOUNTAINS; CHEMICAL CLASSIFICATION</t>
  </si>
  <si>
    <t>In Marie Byrd Land and Ellsworth Land 19 large polygenetic volcanoes and numerous smaller centres are exposed above the West Antarctic Ice Sheet along the northern flank of the West Antarctic Rift System. The Cenozoic (36.7 Ma to active) volcanism of the Marie Byrd Land Volcanic Group (MBLVG) encompasses the full spectrum of alkaline series compositions ranging from basalt to intermediate (e.g. mugearite, benmoreite) to phonolite, peralkaline trachyte, rhyolite and rare pantellerite. Differentiation from basalt is described by progressive fractional crystallization; however, to produce silica-oversaturated compositions two mechanisms are proposed: (1) polybaric fractionation with early-stage removal of amphibole at high pressures; and (2) assimilation-fractional crystallization to explain elevated Sr-87/Sr-86(i) ratios. Most basalts are silica-undersaturated and enriched in incompatible trace elements (e.g. La/Yb-N &gt;10), indicating small degrees of partial melting of a garnet-bearing mantle. Mildly silica-undersaturated and rare silica-saturated basalts, including tholeiites, are less enriched (La/Yb-N &lt;10), a result of higher degrees of melting. Trace elements and isotopes (Sr, Nd, Pb) reveal a regional gradient explained by mixing between two mantle components, subduction-modified lithosphere and HIMU-like plume (Pb-206/Pb-204 &gt;20) materials. Geophysical studies indicate a deep thermal anomaly beneath central Marie Byrd Land, suggesting a plume influence on volcanism and tectonism.</t>
  </si>
  <si>
    <t>[Panter, K. S.] Bowling Green State Univ, Sch Earth Environm &amp; Soc, Bowling Green, OH 43403 USA; [Wilch, T. I.] Albion Coll, Dept Geol Sci, Albion, MI 49224 USA; [Smellie, J. L.] Univ Leicester, Sch Geog Geol &amp; Environm, Leicester LE1 7RH, Leics, England; [Kyle, P. R.] New Mexico Inst Min &amp; Technol, Dept Earth &amp; Environm Sci, Socorro, NM 87801 USA; [McIntosh, W. C.] New Mexico Inst Min &amp; Technol, New Mexico Bur Geol &amp; Mineral Resources, Socorro, NM 87801 USA</t>
  </si>
  <si>
    <t>University System of Ohio; Bowling Green State University; Albion College; University of Leicester; New Mexico Institute of Mining Technology; New Mexico Institute of Mining Technology</t>
  </si>
  <si>
    <t>Panter, Kurt S./0000-0002-0990-5880; Kyle, Philip/0000-0001-6598-8062</t>
  </si>
  <si>
    <t>NSF [DPP-8816342, DPP-9198806, OPP-9419686]</t>
  </si>
  <si>
    <t>NSF(National Science Foundation (NSF))</t>
  </si>
  <si>
    <t>The authors' contributions to this study was supported, in part, by NSF grants DPP-8816342 (WAVE) to P.R. Kyle, DPP-9198806 (WAVE II) to W.I McIntosh (PI) and P.R. Kyle (Co-PI), and NSF OPP-9419686 to P.R. Kyle (PI) and K.S. Panter (Co-PI).</t>
  </si>
  <si>
    <t>10.1144/M55-2019-50</t>
  </si>
  <si>
    <t>WOS:000683732500029</t>
  </si>
  <si>
    <t>Di Roberto, A; Del Carlo, P; Pompilio, M</t>
  </si>
  <si>
    <t>Di Roberto, Alessio; Del Carlo, Paola; Pompilio, Massimo</t>
  </si>
  <si>
    <t>Marine record of Antarctic volcanism from drill cores</t>
  </si>
  <si>
    <t>SOUTH SHETLAND ISLANDS; DEEP-SEA SEDIMENTS; WESTERN ROSS-SEA; LIVINGSTON ISLAND; LAKE-SEDIMENTS; TEPHRA LAYERS; LIMNOPOLAR LAKE; BYERS PENINSULA; MCMURDO SOUND; SCOTIA SEA</t>
  </si>
  <si>
    <t>We review here data and information on Antarctic volcanism resulting from recent tephrostratigraphic investigations on marine cores. Records include deep drill cores recovered during oceanographic expeditions: DSDP, ODP and IODP drill cores recovered during ice-based and land-based international cooperative drilling programmes DVDP 15, MSSTS-1, CIROS-1 and CIROS-2, DVDP 15, CRP-1, CRP-2/2A and CRP-3, ANDRILL-MIS and ANDRILL-SMS, and shallow gravity and piston cores recovered in the Antarctic and sub-Antarctic oceans. We report on the identification of visible volcaniclastic horizons and, in particular, of primary tephra within the marine sequences. Where available, the results of analyses carried out on these products are presented. The volcanic material identified differs in its nature, composition and emplacement mechanisms. It was derived from different sources on the Antarctic continent and was emplaced over a wide time span. Marine sediments contain a more complete record of the explosive activity from Antarctic volcanoes and are complementary to those obtained by land-based studies. This record provides important information for volcanological reconstructions including approximate intensities and magnitudes of eruptions, and their duration, age and recurrence, as well as their eruptive dynamics. In addition, characterized tephra layers represent an invaluable chronological tool essential in establishing correlations between different archives and in synchronizing climate records.</t>
  </si>
  <si>
    <t>[Di Roberto, Alessio; Del Carlo, Paola; Pompilio, Massimo] Ist Nazl Geofis &amp; Vulcanol, Sez Pisa, Via Faggiola 32, I-56126 Pisa, Italy</t>
  </si>
  <si>
    <t>Istituto Nazionale Geofisica e Vulcanologia (INGV)</t>
  </si>
  <si>
    <t>Pompilio, M (corresponding author), Ist Nazl Geofis &amp; Vulcanol, Sez Pisa, Via Faggiola 32, I-56126 Pisa, Italy.</t>
  </si>
  <si>
    <t>massimo.pompilio@ingv.it</t>
  </si>
  <si>
    <t>Di Roberto, Alessio/AAH-1595-2019; Pompilio, Massimo/M-5380-2019</t>
  </si>
  <si>
    <t>Di Roberto, Alessio/0000-0003-1167-8290; Pompilio, Massimo/0000-0002-0742-0679</t>
  </si>
  <si>
    <t>TRACERS National Antarctic Research Programme project [PEA 2016/A3 -00055]; ROSSTEPHRA National Antarctic Research Programme project [PEA 2010/A2.12]</t>
  </si>
  <si>
    <t>TRACERS National Antarctic Research Programme project; ROSSTEPHRA National Antarctic Research Programme project</t>
  </si>
  <si>
    <t>This work was partially funded by the TRACERS (PEA 2016/A3 -00055: awarded to A. Di Roberto) and ROSSTEPHRA (PEA 2010/A2.12: awarded to M. Pompilio and P. del Carlo) National Antarctic Research Programme projects.</t>
  </si>
  <si>
    <t>10.1144/M55-2018-49</t>
  </si>
  <si>
    <t>WOS:000683732500032</t>
  </si>
  <si>
    <t>Narcisi, B; Petit, JR</t>
  </si>
  <si>
    <t>Narcisi, Biancamaria; Petit, Jean Robert</t>
  </si>
  <si>
    <t>Englacial tephras of East Antarctica</t>
  </si>
  <si>
    <t>NORTHERN VICTORIA LAND; DOME ICE CORE; DRONNING MAUD LAND; BLUE-ICE; VOLCANIC ACTIVITY; TALOS DOME; CHEMICAL-COMPOSITION; CHRONOLOGY AICC2012; CLIMATE VARIABILITY; EREBUS VOLCANO</t>
  </si>
  <si>
    <t>Driven by successful achievements in recovering high-resolution ice records of climate and atmospheric composition through the Late Quaternary, new ice-tephra sequences from various sites of the East Antarctic Ice Sheet (EAIS) have been studied in the last two decades spanning an age range of a few centuries to 800 kyr. The tephrostratigraphic framework for the inner EAIS, based on ash occurrence in three multi-kilometre-deep ice cores, shows that the South Sandwich Islands represent a major source for tephra, highlighting the major role in the ash dispersal played by clockwise circum-Antarctic atmospheric circulation penetrating the Antarctic continent. Tephra records from the eastern periphery of the EAIS, however, are obviously influenced by explosive activity sourced in nearby Antarctic rift provinces. These tephra inventories have provided a fundamental complement to the near-vent volcanic record, in terms of both frequency/chronology of explosive volcanism and of magma chemical evolution through time. Despite recent progress, current data are still sparse. There is a need for further tephra studies to collect data from unexplored EAIS sectors, along with extending the tephra inventory back in time. Ongoing international palaeoclimatic initiatives of ice-core drilling could represent a significant motivation for the tephra community and for Quaternary Antarctic volcanologists.</t>
  </si>
  <si>
    <t>[Narcisi, Biancamaria] ENEA Ctr Ric Casaccia, Via Anguillarese 301, I-00123 Rome, Italy; [Petit, Jean Robert] Univ Grenoble Alpes, Geosci Environm IGE, CNRS, IRD, F-38000 Grenoble, France</t>
  </si>
  <si>
    <t>Italian National Agency New Technical Energy &amp; Sustainable Economics Development; Communaute Universite Grenoble Alpes; Universite Grenoble Alpes (UGA); Centre National de la Recherche Scientifique (CNRS); Institut de Recherche pour le Developpement (IRD)</t>
  </si>
  <si>
    <t>Narcisi, B (corresponding author), ENEA Ctr Ric Casaccia, Via Anguillarese 301, I-00123 Rome, Italy.</t>
  </si>
  <si>
    <t>biancamaria.narcisi@enea.it</t>
  </si>
  <si>
    <t>MIUR (Italian Ministry of University and Research)-PNRA (Italian Antarctic Research Programme) programme through the IPICS-2kyr-It project</t>
  </si>
  <si>
    <t>MIUR (Italian Ministry of University and Research)-PNRA (Italian Antarctic Research Programme) programme through the IPICS-2kyr-It project(Ministry of Education, Universities and Research (MIUR))</t>
  </si>
  <si>
    <t>The GV7 study carried out within this work was financially supported by the MIUR (Italian Ministry of University and Research)-PNRA (Italian Antarctic Research Programme) programme through the IPICS-2kyr-It project. This paper contributes to TALos Dome Ice CorE (TALDICE), a joint European programme led by Italy and funded by national contributions from Italy, France, Germany, Switzerland and the UK.</t>
  </si>
  <si>
    <t>10.1144/M55-2018-86</t>
  </si>
  <si>
    <t>WOS:000683732500033</t>
  </si>
  <si>
    <t>Geyer, A; Pedrazzi, D; Almendros, J; Berrocoso, M; López-Martínez, J; Maestro, A; Carmona, E; Alvarez-Valero, AM; de Gil, A</t>
  </si>
  <si>
    <t>Geyer, A.; Pedrazzi, D.; Almendros, J.; Berrocoso, M.; Lopez-Martinez, J.; Maestro, A.; Carmona, E.; Alvarez-Valero, A. M.; de Gil, A.</t>
  </si>
  <si>
    <t>Deception Island</t>
  </si>
  <si>
    <t>SOUTH-SHETLAND-ISLANDS; BRANSFIELD STRAIT; VOLCANIC TREMOR; ANTARCTIC PENINSULA; WAVE-FIELD; CHEMICAL CLASSIFICATION; VOLUMETRIC VARIATIONS; LIVINGSTON ISLANDS; GROUND DEFORMATION; WEST ANTARCTICA</t>
  </si>
  <si>
    <t>Deception Island (South Shetland Islands) is one of the most active volcanoes in Antarctica, with more than 15 explosive eruptive events registered over the past two centuries. Recent eruptions (1967, 1969 and 1970) and volcanic unrest episodes in 1992, 1999 and 2014-15 demonstrate that the occurrence of future volcanic activity is a valid and pressing concern for scientists, logistic personnel and tourists that are visiting or are working on or near the island. Over the last few decades, intense research activity has been carried out on Deception Island to decipher the origin and evolution of this very complex volcano. To that end, a solid integration of related scientific disciplines, such as tectonics, petrology, geochemistry, geophysics, geomorphology, remote sensing, glaciology, is required. A proper understanding of the island's evolution in the past, and its present state, is essential for improving the efficiency in interpreting monitoring data recorded during volcanic unrest periods and, hence, for future eruption forecasting. In this chapter, we briefly present Deception Island's most relevant tectonic, geomorphological, volcanological and magmatic features, as well as the results obtained from decades of monitoring the island's seismic activity and ground deformation.</t>
  </si>
  <si>
    <t>[Geyer, A.; Pedrazzi, D.] GEO3BCN CSIC, Geosci Barcelona, Lluis Sole i Sabaris S-N, Barcelona 08028, Spain; [Almendros, J.; Carmona, E.] Univ Granada, Andalusian Inst Geophys, Granada, Spain; [Berrocoso, M.; de Gil, A.] Univ Cadiz, Lab Astron Geodesy &amp; Cartog, Dept Math, Fac Sci, Puerto Real 11510, Cadiz, Spain; [Berrocoso, M.; de Gil, A.] Univ Cadiz, Inst Univ Invest Marina INMAR, Campus Excelencia Int del Mar CEIMAR, Puerto Real 11510, Cadiz, Spain; [Lopez-Martinez, J.] Univ Autonoma Madrid, Dept Geol &amp; Geochem, Fac Sci, Madrid 28049, Spain; [Maestro, A.] Geol &amp; Min Inst Spain, C Calera 1, Madrid 28760, Spain; [Alvarez-Valero, A. M.] Univ Salamanca, Dept Geol, Salamanca 37008, Spain</t>
  </si>
  <si>
    <t>University of Granada; Universidad de Cadiz; Universidad de Cadiz; Autonomous University of Madrid; University of Salamanca</t>
  </si>
  <si>
    <t>Geyer, Adelina/C-9490-2011; Almendros, Javier/M-2468-2014; Lopez-Martinez, Jeronimo/C-5744-2011; Maestro, Adolfo/ABG-7268-2021; Geyer, Adelina/A-6624-2012; Alvarez-Valero, Antonio M./B-2732-2015</t>
  </si>
  <si>
    <t>Almendros, Javier/0000-0001-5936-6160; Lopez-Martinez, Jeronimo/0000-0002-1750-8287; Geyer, Adelina/0000-0002-8803-6504; Alvarez-Valero, Antonio M./0000-0001-9707-0168</t>
  </si>
  <si>
    <t>Spanish R&amp;D National Plan research projects [CGL2007-28855-E, CTM2008-03062-E, CTM2009-07705-E, CTM2009-08085-E, CTM2010-11740-E, CTM2011-16049-E, CTM2014-57119-R, CTM2014-60451C2-2-P]; Ramon y Cajal contract [RYC-2012-11024]; Beatriu de Pinos contract [2016 BP 00086]; Juan de la Cierva contract [IJCI-2016-30482]; Spanish R&amp;D National Plan research project: BRAVOSEIS [CTM2016-77315-R]; Spanish R&amp;D National Plan research project: CORSHET [POL2006-08663]; Spanish R&amp;D National Plan research project: RECALDEC [CTM2009-05919-E/ANT]; Spanish R&amp;D National Plan research project: PEVOLDEC [CTM2011-13578-E/ANT]; Spanish R&amp;D National Plan research project: POSVOLDEC [CTM2016-79617-P]; Spanish R&amp;D National Plan research project: VOLGASDEC [PGC2018-095693-B-I00]</t>
  </si>
  <si>
    <t>Spanish R&amp;D National Plan research projects; Ramon y Cajal contract(Spanish Government); Beatriu de Pinos contract; Juan de la Cierva contract; Spanish R&amp;D National Plan research project: BRAVOSEIS; Spanish R&amp;D National Plan research project: CORSHET; Spanish R&amp;D National Plan research project: RECALDEC; Spanish R&amp;D National Plan research project: PEVOLDEC; Spanish R&amp;D National Plan research project: POSVOLDEC; Spanish R&amp;D National Plan research project: VOLGASDEC</t>
  </si>
  <si>
    <t>This chapter is a contribution to the Spanish R&amp;D National Plan research projects: CGL2007-28855-E, CTM2008-03062-E, CTM2009-07705-E, CTM2009-08085-E, CTM2010-11740-E, CTM2011-16049-E,CTM2014-57119-R, CTM2014-60451C2-2-P, BRAVOSEIS (CTM2016-77315-R), CORSHET (POL2006-08663), RECALDEC (CTM2009-05919-E/ANT), PEVOLDEC (CTM2011-13578-E/ANT), POSVOLDEC (CTM2016-79617-P) (AEI/FEDER, UE) and VOLGASDEC (PGC2018-095693-B-I00) (AEI/FEDER, UE). A. Geyer is grateful for her Ramon y Cajal contract (RYC-2012-11024). D. Pedrazzi is grateful for his Beatriu de Pinos (2016 BP 00086) and Juan de la Cierva (IJCI-2016-30482) contracts.</t>
  </si>
  <si>
    <t>10.1144/M55-2018-56</t>
  </si>
  <si>
    <t>WOS:000683732500035</t>
  </si>
  <si>
    <t>Gambino, S; Armienti, P; Cannata, A; Del Carlo, P; Giudice, G; Giuffrida, G; Liuzzo, M; Pompilio, M</t>
  </si>
  <si>
    <t>Gambino, Salvatore; Armienti, Pietro; Cannata, Andrea; Del Carlo, Paola; Giudice, Gaetano; Giuffrida, Giovanni; Liuzzo, Marco; Pompilio, Massimo</t>
  </si>
  <si>
    <t>Mount Melbourne and Mount Rittmann</t>
  </si>
  <si>
    <t>NORTHERN VICTORIA LAND; ROSS SEA REGION; ANTARCTICA EVIDENCE; LITHOSPHERIC MANTLE; STABLE-ISOTOPE; MT. MELBOURNE; O-ISOTOPE; STRATIGRAPHY; CONSTRAINTS; EVOLUTION</t>
  </si>
  <si>
    <t>Mount Melbourne and Mount Rittmann are quiescent, although potentially explosive, alkaline volcanoes located 100 km apart in Northern Victoria Land quite close to three stations (Mario Zucchelli Station, Gondwana and Jang Bogo). The earliest investigations on Mount Melbourne started at the end of the 1960s; Mount Rittmann was discovered during the 1988-89 Italian campaign and knowledge of it is more limited due to the extensive ice cover. The first geophysical observations at Mount Melbourne were set up in 1988 by the Italian National Antarctic Research Programme (PNRA), which has recently funded new volcanological, geochemical and geophysical investigations on both volcanoes. Mount Melbourne and Mount Rittmann are active, and are characterized by fumaroles that are fed by volcanic fluid; their seismicity shows typical volcano signals, such as long-period events and tremor. Slow deformative phases have been recognized in the Mount Melbourne summit area. Future implementation of monitoring systems would help to improve our knowledge and enable near-real-time data to be acquired in order to track the evolution of these volcanoes. This would prove extremely useful in volcanic risk mitigation, considering that both Mount Melbourne and Mount Rittmann are potentially capable of producing major explosive activity with a possible risk to large and distant communities.</t>
  </si>
  <si>
    <t>[Gambino, Salvatore; Cannata, Andrea; Giudice, Gaetano] Ist Nazl Geofis &amp; Vulcanol, Osservatorio Etneo, Piazza Roma 2, I-95123 Catania, Italy; [Armienti, Pietro] Univ Pisa, Dipartimento Sci Terra, Via S Maria 53, I-56126 Pisa, Italy; [Cannata, Andrea] Univ Catania, Dipartimento Sci Biol Geol &amp; Ambientali, Sez Sci Terra, Catania, Italy; [Del Carlo, Paola; Pompilio, Massimo] Ist Nazl Geofis &amp; Vulcanol, Sez Pisa, C Battisti 53, I-56125 Pisa, Italy; [Giuffrida, Giovanni; Liuzzo, Marco] Ist Nazl Geofis &amp; Vulcanol, Sez Palermo, Via Ugo La Malfa 153, I-90146 Palermo, Italy</t>
  </si>
  <si>
    <t>Istituto Nazionale Geofisica e Vulcanologia (INGV); University of Pisa; University of Catania; Istituto Nazionale Geofisica e Vulcanologia (INGV); Istituto Nazionale Geofisica e Vulcanologia (INGV)</t>
  </si>
  <si>
    <t>Gambino, S (corresponding author), Ist Nazl Geofis &amp; Vulcanol, Osservatorio Etneo, Piazza Roma 2, I-95123 Catania, Italy.</t>
  </si>
  <si>
    <t>salvatore.gambino@ingv.it</t>
  </si>
  <si>
    <t>Gambino, Salvo/C-6690-2014; Pompilio, Massimo/M-5380-2019</t>
  </si>
  <si>
    <t>Pompilio, Massimo/0000-0002-0742-0679; Gambino, Salvatore/0000-0001-8055-3059; Liuzzo, Marco/0000-0002-3099-7505; Giudice, Gaetano/0000-0002-9410-4139</t>
  </si>
  <si>
    <t>PNRA (Programma Nazionale di Ricerche in Antartide) ICE-VOLC project grant [PNRA14_00011]</t>
  </si>
  <si>
    <t>PNRA (Programma Nazionale di Ricerche in Antartide) ICE-VOLC project grant</t>
  </si>
  <si>
    <t>This work was supported by a PNRA (Programma Nazionale di Ricerche in Antartide) ICE-VOLC project grant (No. PNRA14_00011) to A. Cannata.</t>
  </si>
  <si>
    <t>10.1144/M55-2018-43</t>
  </si>
  <si>
    <t>WOS:000683732500037</t>
  </si>
  <si>
    <t>Dunbar, NW; Iverson, NA; Smellie, JL; McIntosh, WC; Zimmerer, MJ; Kyle, PR</t>
  </si>
  <si>
    <t>Dunbar, N. W.; Iverson, N. A.; Smellie, J. L.; McIntosh, W. C.; Zimmerer, M. J.; Kyle, P. R.</t>
  </si>
  <si>
    <t>Active volcanoes in Marie Byrd Land</t>
  </si>
  <si>
    <t>ANTARCTIC ICE-SHEET; ABRUPT CLIMATE-CHANGE; TEPHRA LAYERS; WEST ANTARCTICA; SIPLE DOME; SOUTHERN-OCEAN; TALOS DOME; CORE; RECORD; KA</t>
  </si>
  <si>
    <t>Two volcanoes in Marie Byrd Land, Mount Berlin and Mount Takahe, can be considered active, and a third, Mount Waesche, may be as well; although the chronology of activity is less well constrained. The records of explosive activity of these three volcanoes is well represented through deposits on the volcano flanks and tephra layers found in blue ice areas, as well as by the presence of cryptotephra layers found in West and East Antarctic ice cores. Records of effusive volcanism are found on the volcano flanks but some deposits may be obscured by pervasive glacerization of the edifices. Based on a compilation of tephra depths-ages in ice cores, the activity patterns of Mount Takahe and Mount Berlin are dramatically different. Mount Takahe has erupted infrequently over the past 100 kyr. Mount Berlin, by contrast, has erupted episodically during this time interval, with the number of eruptions being dramatically higher in the time interval between c. 32 and 18 ka. Integration of the Mount Berlin tephra record from ice cores and blue ice areas over a 500 kyr time span reveals a pattern of geochemical evolution related to small batches of partial melt being progressively removed from a single source underlying Mount Berlin.</t>
  </si>
  <si>
    <t>[Dunbar, N. W.; Iverson, N. A.; McIntosh, W. C.; Zimmerer, M. J.] New Mexico Inst Min &amp; Technol, New Mexico Bur Geol &amp; Mineral Resources, Socorro, NM 87801 USA; [Smellie, J. L.] Univ Leicester, Sch Geog Geol &amp; Environm, Univ Rd, Leicester LE1 7RH, Leics, England; [Kyle, P. R.] New Mexico Inst Min &amp; Technol, Earth &amp; Environm Sci Dept, 801 Leroy Pl, Socorro, NM 87801 USA</t>
  </si>
  <si>
    <t>New Mexico Institute of Mining Technology; University of Leicester; New Mexico Institute of Mining Technology</t>
  </si>
  <si>
    <t>Dunbar, NW (corresponding author), New Mexico Inst Min &amp; Technol, New Mexico Bur Geol &amp; Mineral Resources, Socorro, NM 87801 USA.</t>
  </si>
  <si>
    <t>nelia.dunbar@nmt.edu</t>
  </si>
  <si>
    <t>Dunbar, Nelia W./HZL-8693-2023</t>
  </si>
  <si>
    <t>Dunbar, Nelia W./0000-0002-5181-937X; Iverson, Nels/0000-0002-7110-5040</t>
  </si>
  <si>
    <t>National Science Foundation [NSF-OPP-9725910, NSF-OPP-9814428, NSF-OPP-9615167, NSF-OPP-0230348, NSF-ANT-1142115, NSF-ANT-1745015]; National Science Foundation Division of Polar Programs</t>
  </si>
  <si>
    <t>National Science Foundation(National Science Foundation (NSF)); National Science Foundation Division of Polar Programs(National Science Foundation (NSF))</t>
  </si>
  <si>
    <t>This work was funded by National Science Foundation, with grants to W.C. McIntosh (NSF-OPP-9725910), N.W. Dunbar (NSF-OPP-9814428, NSF-OPP-9615167, NSF-OPP-0230348 and NSF-ANT-1142115) and M.J. Zimmerer (NSF-ANT-1745015). The National Science Foundation Division of Polar Programs also funded the Ice Drilling Program Office (IDPO) and Ice Drilling Design and Operations (IDDO) group for coring activities.</t>
  </si>
  <si>
    <t>10.1144/M55-2019-29</t>
  </si>
  <si>
    <t>WOS:000683732500038</t>
  </si>
  <si>
    <t>Quartini, E; Blankenship, DD; Young, DA</t>
  </si>
  <si>
    <t>Quartini, Enrica; Blankenship, Donald D.; Young, Duncan A.</t>
  </si>
  <si>
    <t>Active subglacial volcanism in West Antarctica</t>
  </si>
  <si>
    <t>MARIE BYRD LAND; AMUNDSEN SEA EMBAYMENT; BENEATH THWAITES GLACIER; ICE STREAM-C; RIFT SYSTEM; MAGNETIC-ANOMALIES; CRUSTAL STRUCTURE; GEOTHERMAL FLUX; CONTINENT-WIDE; SIPLE DOME</t>
  </si>
  <si>
    <t>A combination of aerogeophysics, seismic observations and direct observation from ice cores, and subglacial sampling, has revealed at least 21 sites under the West Antarctic Ice Sheet consistent with active volcanism (where active is defined as volcanism that has interacted with the current manifestation of the West Antarctic Ice Sheet). Coverage of these datasets is heterogeneous, potentially biasing the apparent distribution of these features. Also, the products of volcanic activity under thinner ice characterized by relatively fast flow are more prone to erosion and removal by the ice sheet, and therefore potentially under-represented. Unsurprisingly, the sites of active subglacial volcanism that we have identified often overlap with areas of relatively thick ice and slow ice surface flow, both of which are critical conditions for the preservation of volcanic records. Overall, we find the majority of active subglacial volcanic sites in West Antarctica concentrate strongly along the crustal-thickness gradients bounding the central West Antarctic Rift System, complemented by intra-rift sites associated with the Amundsen Sea-Siple Coast lithospheric transition.</t>
  </si>
  <si>
    <t>[Quartini, Enrica; Blankenship, Donald D.; Young, Duncan A.] Univ Texas Austin, Jackson Sch Geosci, Univ Texas Inst Geophys, Austin, TX 78712 USA; [Quartini, Enrica] Univ Texas Austin, Dept Geol Sci, Jackson Sch Geosci, Austin, TX 78712 USA; [Quartini, Enrica] Georgia Inst Technol, Sch Earth &amp; Atmospher Sci, Atlanta, GA 30318 USA</t>
  </si>
  <si>
    <t>University of Texas System; University of Texas Austin; University of Texas System; University of Texas Austin; University System of Georgia; Georgia Institute of Technology</t>
  </si>
  <si>
    <t>Young, DA (corresponding author), Univ Texas Austin, Jackson Sch Geosci, Univ Texas Inst Geophys, Austin, TX 78712 USA.</t>
  </si>
  <si>
    <t>duncan@ig.utexas.edu</t>
  </si>
  <si>
    <t>Young, Duncan A./G-6256-2010; Blankenship, Donald D./G-5935-2010</t>
  </si>
  <si>
    <t>G. Unger Veltesen Foundation; University of Texas Institute for Geophysics; NSF Directorate for Geosciences grant [PLR-1043761]</t>
  </si>
  <si>
    <t>G. Unger Veltesen Foundation; University of Texas Institute for Geophysics; NSF Directorate for Geosciences grant</t>
  </si>
  <si>
    <t>This work was supported by the G. Unger Veltesen Foundation (D.D. Blankenship), a graduate fellowship from the University of Texas Institute for Geophysics (E. Quartini), and NSF Directorate for Geosciences grant PLR-1043761 (D.A. Young).</t>
  </si>
  <si>
    <t>10.1144/M55-2019-3</t>
  </si>
  <si>
    <t>WOS:000683732500039</t>
  </si>
  <si>
    <t>Kotlyakov, VM</t>
  </si>
  <si>
    <t>Kotlyakov, V. M.</t>
  </si>
  <si>
    <t>Nineteenth anniversary of Vladimir Mikhailovich Kotlyakov</t>
  </si>
  <si>
    <t>Academician V.M. Kotlyakov, the leader of Russian glaciology and the editor-in-chief of the journal Ice and Snow, turned 90 this year. The article mentions the main milestones of Vladimir Mikhailovich's life path, his field studies in the polar regions, in the Caucasus and the Pamirs. The words of several glaciologists about their meetings with V.M. Kotlyakov, their joint work with him and his contribution to glaciology of the second half of the twentieth century are given. These statements characterize him as a talented scientist and organizer of science. V.M. Kotlyakov's long career in science includes particularly striking studies of the Antarctic Ice Sheet during the International Geophysical Year (1957-1958), the world-famous drilling of a deep borehole at the Vostok station and the most important results of research of the ice core. Despite his advanced age, V.M. Kotlyakov actively interacts with the glaciological community and conducts important work as the Honorary President of the Russian Geographical Society.</t>
  </si>
  <si>
    <t>10.31857/S2076673421030092</t>
  </si>
  <si>
    <t>WQ7YS</t>
  </si>
  <si>
    <t>WOS:000714028700001</t>
  </si>
  <si>
    <t>Dziuba, O; Liubinska, A; Khoyetskyy, P; Bedernichek, T</t>
  </si>
  <si>
    <t>Dziuba, O.; Liubinska, A.; Khoyetskyy, P.; Bedernichek, T.</t>
  </si>
  <si>
    <t>Allelopathic potential and cytostatic activity of Antarctic moss Sanionia georgicouncinata (Amblystegiaceae)</t>
  </si>
  <si>
    <t>BIOSYSTEMS DIVERSITY</t>
  </si>
  <si>
    <t>bioassay; allelopathy; maritime Antarctic; Argentine Islands; test plant; root growth</t>
  </si>
  <si>
    <t>ARGENTINE ISLANDS; ROOT ELONGATION; GERMINATION; GROWTH; CHLOROPHYLL; CAROTENOIDS; PLANTS</t>
  </si>
  <si>
    <t>From the first half of the XX century, the maritime Antarctic was a region with high regional warming rates. At the beginning of the XXI century, regional warming strongly slowed down, but during the next twenty years the near-surface temperatures and mean annual precipitation at the Antarctic Peninsula will most probably increase. Higher temperatures and precipitation make the conditions in the maritime Antarctic more favourable for plants, including invasive species. Moreover, the increasing number of Antarctic tourists unintentionally transport thousands of seeds to the Antarctic on their clothes and equipment. In such circumstances, it is important to evaluate possible defensive mechanisms of native plant species, including their allelopathic potential. The objective of this study was to evaluate the allelopathic potential and cytostatic activity of Sanionia georgicouncinata. This species is widespread in the maritime Antarctic and is one of the most abundant moss species on the Argentine Islands (Wilhelm Archipelago). Seeds of cucumber Cucumis sativus, radish Raphanus raphanistrum subsp. sativus, wheat Triticum vulgare, and amaranth Amaranthus paniculatus were used as bioassay species. Fresh green biomass of S. georgicouncinata was used to prepare aqueous extracts with 1 : 10, 1 : 50, and 1 : 100 plant to water ratios. The average root length of wheat sprouts and cucumber sprouts in distilled water did not differ significantly from those in plant extracts. The root length of radish sprouts in 1 : 50 plant extract was significantly shorter than in distilled water. Meanwhile, in 1 : 50 and 1 : 100 water extracts, roots of amaranth plants were significantly longer than in water. The number of lateral roots of cucumber sprouts in water and studied aqueous extracts varied from 1 to 6 with medians from 3 to 4. The medians of control (distilled water) and sample groups (aqueous extracts) did not differ significantly, but only 38.1 +/- 6.1% of cucumber sprouts developed lateral roots in the 1 : 10 aqueous extract of S. georgicouncinata, and even less - 28.3 +/- 7.5% in the 1 : 50 aqueous extract. The results of this study show that the allelopathic potential of S. georgicouncinata is low. However, a significant cytostatic activity of the studied extracts shows that this species may still affect other plants and animals. Further research is needed to evaluate the impact of the studied extracts on root growth and germination of the invasive plants, particularly Poa annua.</t>
  </si>
  <si>
    <t>[Dziuba, O.; Liubinska, A.; Bedernichek, T.] NAS Ukraine, MM Gryshko Natl Bot Garden, Tymiriazevska St 1, UA-01014 Kiev, Ukraine; [Khoyetskyy, P.] Ukrainian Natl Forestry Univ, Kobylianska St 1, UA-79005 Lvov, Ukraine</t>
  </si>
  <si>
    <t>National Academy of Sciences Ukraine; MM Gryshko National Botanical Garden, NAS of Ukraine; Ministry of Education &amp; Science of Ukraine; Ukrainian National Forestry University</t>
  </si>
  <si>
    <t>Bedernichek, T (corresponding author), NAS Ukraine, MM Gryshko Natl Bot Garden, Tymiriazevska St 1, UA-01014 Kiev, Ukraine.;Khoyetskyy, P (corresponding author), Ukrainian Natl Forestry Univ, Kobylianska St 1, UA-79005 Lvov, Ukraine.</t>
  </si>
  <si>
    <t>khoyetskyy@gmail.com; bedemichek@gmail.com</t>
  </si>
  <si>
    <t>Bedernichek, Tymur/A-1255-2010</t>
  </si>
  <si>
    <t>Bedernichek, Tymur/0000-0003-2954-0118; Dziuba, Oksana/0000-0002-8298-9822</t>
  </si>
  <si>
    <t>State Institution National Antarctic Scientific Center [0117U003733]</t>
  </si>
  <si>
    <t>State Institution National Antarctic Scientific Center</t>
  </si>
  <si>
    <t>This study was supported by the State Institution National Antarctic Scientific Center, the project No. 0117U003733. We also are grateful to Dr. Tetyana Partyka and Alona Krotiuk for their helpful comments on the previous version of this article.</t>
  </si>
  <si>
    <t>OLES HONCHAR DNIPROPETROVSK NATL UNIV</t>
  </si>
  <si>
    <t>DNIPROPETROVSK</t>
  </si>
  <si>
    <t>PR-KT GAGARINA, 42, DNIPROPETROVSK, 49010, UKRAINE</t>
  </si>
  <si>
    <t>2519-8513</t>
  </si>
  <si>
    <t>2520-2529</t>
  </si>
  <si>
    <t>BIOSYST DIVERSITY</t>
  </si>
  <si>
    <t>Biosyst. Diversity</t>
  </si>
  <si>
    <t>10.15421/012133</t>
  </si>
  <si>
    <t>WM9CU</t>
  </si>
  <si>
    <t>WOS:000711376100010</t>
  </si>
  <si>
    <t>El-Laham, Y; Yang, L; Lynch, HJ; Djuric, PM; Bugallo, MF</t>
  </si>
  <si>
    <t>El-Laham, Yousef; Yang, Liu; Lynch, Heather J.; Djuric, Petar M.; Bugallo, Monica F.</t>
  </si>
  <si>
    <t>PARTICLE GIBBS SAMPLING FOR REGIME-SWITCHING STATE-SPACE MODELS</t>
  </si>
  <si>
    <t>2021 IEEE INTERNATIONAL CONFERENCE ON ACOUSTICS, SPEECH AND SIGNAL PROCESSING (ICASSP 2021)</t>
  </si>
  <si>
    <t>IEEE International Conference on Acoustics, Speech and Signal Processing (ICASSP)</t>
  </si>
  <si>
    <t>JUN 06-11, 2021</t>
  </si>
  <si>
    <t>particle filtering; regime-switching; state-space models; Gibbs sampling; ecological modelsd</t>
  </si>
  <si>
    <t>SYSTEMS; FILTERS</t>
  </si>
  <si>
    <t>Regime-switching state-space models (RS-SSMs) are an important class of statistical models that can be used to represent real-world phenomena. Unlike regular state-space models, RS-SSMs allow for dynamic uncertainty in the state transition and observations distributions, making them much more expressive. Unfortunately, there are no existing Bayesian inference techniques for joint estimation of regimes, states, and model parameters in generic RS-SSMs. In this work, we develop a particle Gibbs sampling algorithm for Bayesian learning in RS-SSMs. We demonstrate the proposed inference approach on a synthetic data experiment related to an ecological application, where the goal is in estimating the abundance and demographic rates of penguins in the Antarctic.</t>
  </si>
  <si>
    <t>[El-Laham, Yousef; Yang, Liu; Djuric, Petar M.; Bugallo, Monica F.] SUNY Stony Brook, Dept Elect &amp; Comp Engn, Stony Brook, NY 11794 USA; [Lynch, Heather J.] SUNY Stony Brook, Dept Ecol &amp; Evolut, Stony Brook, NY 11794 USA; [El-Laham, Yousef; Lynch, Heather J.; Bugallo, Monica F.] SUNY Stony Brook, Inst Adv Computat Sci, Stony Brook, NY 11794 USA</t>
  </si>
  <si>
    <t>State University of New York (SUNY) System; State University of New York (SUNY) Stony Brook; State University of New York (SUNY) System; State University of New York (SUNY) Stony Brook; State University of New York (SUNY) System; State University of New York (SUNY) Stony Brook</t>
  </si>
  <si>
    <t>El-Laham, Y (corresponding author), SUNY Stony Brook, Dept Elect &amp; Comp Engn, Stony Brook, NY 11794 USA.;El-Laham, Y (corresponding author), SUNY Stony Brook, Inst Adv Computat Sci, Stony Brook, NY 11794 USA.</t>
  </si>
  <si>
    <t>yousef.ellaham@stonybrook.edu; liu.yang.2@stonybrook.edu; heather.lynch@stonybrook.edu; petar.djuric@stonybrook.edu; monica.bugallo@stonybrook.edu</t>
  </si>
  <si>
    <t>Yang, Liu Kohrman/0000-0002-3205-3663</t>
  </si>
  <si>
    <t>NSF [OAC-1531492, GCR-2021002, CCF-1617986]; Stony Brook Office for the Vice President of Research Seed Award</t>
  </si>
  <si>
    <t>NSF(National Science Foundation (NSF)); Stony Brook Office for the Vice President of Research Seed Award</t>
  </si>
  <si>
    <t>The authors would like to thank the support of NSF (CCF-1617986, GCR-2021002) and the Stony Brook Office for the Vice President of Research Seed Award. The Stony Brook Research Computing and Cyberinfrastructure and the Institute for Advanced Computational Science at Stony Brook University allowed for access to the high-performance SeaWulf computing system, supported by NSF (OAC-1531492).</t>
  </si>
  <si>
    <t>978-1-7281-7605-5</t>
  </si>
  <si>
    <t>10.1109/ICASSP39728.2021.9414875</t>
  </si>
  <si>
    <t>Acoustics; Computer Science, Artificial Intelligence; Computer Science, Software Engineering; Engineering, Electrical &amp; Electronic; Imaging Science &amp; Photographic Technology</t>
  </si>
  <si>
    <t>Acoustics; Computer Science; Engineering; Imaging Science &amp; Photographic Technology</t>
  </si>
  <si>
    <t>BS2OF</t>
  </si>
  <si>
    <t>WOS:000704288405169</t>
  </si>
  <si>
    <t>Di Prisco, G; Ademollo, N; Ancora, S; Christiansen, JS; Coppola, D; Corsolini, S; Ferrando, S; Ghigliotti, L; Giordano, D; Lynghammar, A; Nielsen, J; Pisano, E; Russo, R; Steffensen, JF; Verde, C</t>
  </si>
  <si>
    <t>DiPrisco, G; Edwards, HGM; Elster, J; Huiskes, ADHL</t>
  </si>
  <si>
    <t>Di Prisco, Guido; Ademollo, Nicoletta; Ancora, Stefania; Christiansen, Jorgen S.; Coppola, Daniela; Corsolini, Simonetta; Ferrando, Sara; Ghigliotti, Laura; Giordano, Daniela; Lynghammar, Arve; Nielsen, Julius; Pisano, Eva; Russo, Roberta; Steffensen, John F.; Verde, Cinzia</t>
  </si>
  <si>
    <t>Physiological traits of the Greenland shark Somniosus microcephalus obtained during the TUNU-Expeditions to Northeast Greenland</t>
  </si>
  <si>
    <t>LIFE IN EXTREME ENVIRONMENTS: Insights in Biological Capability</t>
  </si>
  <si>
    <t>Ecological Reviews</t>
  </si>
  <si>
    <t>POLYBROMINATED DIPHENYL ETHERS; PERSISTENT ORGANIC POLLUTANTS; AMINO-ACID-SEQUENCE; FEEDING ECOLOGY; HETERODONTUS-PORTUSJACKSONI; MOLECULAR ADAPTATIONS; OXYGEN EQUILIBRIA; HYPOXIA TOLERANCE; FLAME RETARDANTS; OLFACTORY-BULB</t>
  </si>
  <si>
    <t>[Di Prisco, Guido; Coppola, Daniela; Giordano, Daniela; Russo, Roberta; Verde, Cinzia] Natl Res Council CNR, Inst Biosci &amp; BioResources IBBR, Naples, Italy; [Ademollo, Nicoletta] CNR, Inst Polar Sci, Venice, Italy; [Ancora, Stefania; Corsolini, Simonetta] Univ Siena, Dept Phys Earth &amp; Environm, Siena, Italy; [Christiansen, Jorgen S.] UiT Arctic Univ Norway, Dept Arctic &amp; Marine Biol, Tromso, Norway; [Christiansen, Jorgen S.] Abo Akad Univ, Environm &amp; Marine Biol, Turku, Finland; [Ferrando, Sara] Univ Genoa, DISTAV, Genoa, Italy; [Ghigliotti, Laura; Pisano, Eva] Natl Res Council CNR, IAS, Genoa, Italy; [Lynghammar, Arve] UiT Arctic Univ Norway, Norwegian Coll Fishery Sci, Tromso, Norway; [Nielsen, Julius; Steffensen, John F.] Univ Copenhagen, Marine Biol Sect, Dept Biol, Copenhagen, Denmark; [Nielsen, Julius] Greenland Inst Nat Resources, Nuuk, Greenland</t>
  </si>
  <si>
    <t>Consiglio Nazionale delle Ricerche (CNR); Istituto di Bioscienze e Biorisorse (IBBR-CNR); Consiglio Nazionale delle Ricerche (CNR); Istituto di Scienze Polari (ISP-CNR); University of Siena; UiT The Arctic University of Tromso; Abo Akademi University; University of Genoa; UiT The Arctic University of Tromso; University of Copenhagen; Greenland Institute of Natural Resources</t>
  </si>
  <si>
    <t>Di Prisco, G (corresponding author), Natl Res Council CNR, Inst Biosci &amp; BioResources IBBR, Naples, Italy.</t>
  </si>
  <si>
    <t>guido.diprisco@ibbr.cnr.it; ademollo@irsa.cnr.it; stefania.ancora@unisi.it; jorgen.s.christiansen@uit.no; daniela.coppola@ibbr.cnr.it; corsolini@unisi.it; sara.ferrando@unige.it; laura.ghigliotti@ge.ismar.cnr.it; daniela.giordano@ibbr.cnr.it; arve.lynghammar@uit.no; juliusnielsen88@gmail.com; pisano@ge.ismar.cnr.it; roberta.russo@ibbr.cnr.it; jfsteffensen@bio.ku.dk; cinzia.verde@ibbr.cnr.it</t>
  </si>
  <si>
    <t>Giordano, Daniela/AFK-7772-2022; Coppola, Daniela/ABG-4430-2020; Ferrando, Sara/AAC-9934-2022; Corsolini, Simonetta/B-9460-2012; Steffensen, John Fleng/F-6778-2010</t>
  </si>
  <si>
    <t>Giordano, Daniela/0000-0002-8891-6245; Ferrando, Sara/0000-0002-5781-9709; Corsolini, Simonetta/0000-0002-9772-2362;</t>
  </si>
  <si>
    <t>Italian National Programme for Antarctic Research (PNRA) [2013/AZ1.20]</t>
  </si>
  <si>
    <t>Italian National Programme for Antarctic Research (PNRA)</t>
  </si>
  <si>
    <t>Greenland sharks were collected during the TUNU Expeditions as part of the TUNU Programme at the UiT - The Arctic University of Norway. Permissions for samples were given by the Government of Greenland (Licences C-17-129, C-15-17, and C-13-16). This study is in the framework of the project `TUNU EuroArctic Marine Fishes' (TEAM-Fish): Impact of climate change on biodiversity, adaptation, contaminant bioaccumulation. Comparison with the Antarctic, and of the SCAR programme `Antarctic Thresholds +/- Ecosystem Resilience and Adaptation' (AnT-ERA). The authors are grateful to colleagues and crew onboard the RV Helmer Hanssen for their kind collaboration. The authors acknowledge grant support from the Italian National Programme for Antarctic Research (PNRA) (Project 2013/AZ1.20).</t>
  </si>
  <si>
    <t>THE PITT BUILDING, TRUMPINGTON ST, CAMBRIDGE CB2 1RP, CAMBS, ENGLAND</t>
  </si>
  <si>
    <t>1992-3295</t>
  </si>
  <si>
    <t>978-1-108-72420-3; 978-1-108-68331-9; 978-1-108-49856-2</t>
  </si>
  <si>
    <t>ECOL REV</t>
  </si>
  <si>
    <t>Ecol. Rev.</t>
  </si>
  <si>
    <t>10.1017/9781108683319</t>
  </si>
  <si>
    <t>Ecology; Evolutionary Biology; Environmental Sciences</t>
  </si>
  <si>
    <t>Environmental Sciences &amp; Ecology; Evolutionary Biology</t>
  </si>
  <si>
    <t>BS3WV</t>
  </si>
  <si>
    <t>WOS:000716519800003</t>
  </si>
  <si>
    <t>Clark, MS; Verde, C; Fineschi, S; Loreto, F; Peck, LS; Di Prisco, G</t>
  </si>
  <si>
    <t>Clark, Melody S. .; Verde, Cinzia; Fineschi, Silvia; Loreto, Francesco; Peck, Lloyd S.; Di Prisco, Guido</t>
  </si>
  <si>
    <t>Life in the extreme environments of our planet under pressure Climate-induced threats and exploitation opportunities</t>
  </si>
  <si>
    <t>RANGE SHIFTS; GENE FLOW; RESPONSES; BIODIVERSITY; ADAPTATION; TEMPERATURE; PATTERNS; IMPACTS; EXTREMOPHILES; DISTRIBUTIONS</t>
  </si>
  <si>
    <t>[Clark, Melody S. .; Peck, Lloyd S.] British Antarctic Survey, Nat Environm Res Council, Cambridge, England; [Verde, Cinzia; Di Prisco, Guido] Inst Biosci &amp; BioResources IBBR, Natl Res Council CNR, Naples, Italy; [Fineschi, Silvia; Loreto, Francesco] Inst Heritage Sci, Sesto Fiorentino, Italy; [Fineschi, Silvia] Inst Plant Protect, Natl Res Council CNR, Florence, Italy; [Loreto, Francesco] Agr &amp; Food Sci, Dept Biol, Rome, Italy</t>
  </si>
  <si>
    <t>UK Research &amp; Innovation (UKRI); Natural Environment Research Council (NERC); NERC British Antarctic Survey; Consiglio Nazionale delle Ricerche (CNR); Istituto di Bioscienze e Biorisorse (IBBR-CNR)</t>
  </si>
  <si>
    <t>Clark, MS (corresponding author), British Antarctic Survey, Nat Environm Res Council, Cambridge, England.</t>
  </si>
  <si>
    <t>mscl@bas.ac.uk; cinzia.verde@ibbr.cnr.it; s.fineschi@ipp.cnr.it; francesco.loreto@cnr.it; lspe@bas.ac.uk; guido.diprisco@ibbr.cnr.it</t>
  </si>
  <si>
    <t>Loreto, Francesco/B-7477-2015; Clark, Melody S/D-7371-2014</t>
  </si>
  <si>
    <t>European Science Foundation; Polar and Life Science Scientific Committees; European Commission FP7 Environment project: 'Coordination activities on research about life in extreme environments' (CAREX); EC-FP7 Environment project: 'Effects of Climate Change on Air Pollution and Response Strategies for European Ecosystems' (ECLAIRE); Natural Environment Research Council, under the British Antarctic Survey National core funding; Italian National Programme for Antarctic Research (PNRA)</t>
  </si>
  <si>
    <t>European Science Foundation(European Science Foundation (ESF)); Polar and Life Science Scientific Committees; European Commission FP7 Environment project: 'Coordination activities on research about life in extreme environments' (CAREX); EC-FP7 Environment project: 'Effects of Climate Change on Air Pollution and Response Strategies for European Ecosystems' (ECLAIRE); Natural Environment Research Council, under the British Antarctic Survey National core funding; Italian National Programme for Antarctic Research (PNRA)</t>
  </si>
  <si>
    <t>This work was supported by the European Science Foundation, Polar and Life Science Scientific Committees, and by the European Commission FP7 Environment project: `Coordination activities on research about life in extreme environments' (CAREX). FL was further supported by the EC-FP7 Environment project: `Effects of Climate Change on Air Pollution and Response Strategies for European Ecosystems' (ECLAIRE). The research was carried out in the framework of the SCAR programme `Evolution and Biodiversity in the Antarctic' (EBA), and of the `Integrated Land-EcosystemAtmosphere Process Study' (iLEAPS). MSC and LSP were funded by the Natural Environment Research Council, under the British Antarctic Survey National core funding. CV and GdP were financially supported by the Italian National Programme for Antarctic Research (PNRA). We thank A. Phillips and J. Turner (British Antarctic Survey) for producing Table 7.1 and Figure 7.1.</t>
  </si>
  <si>
    <t>WOS:000716519800011</t>
  </si>
  <si>
    <t>Peck, LS</t>
  </si>
  <si>
    <t>Peck, Lloyd S.</t>
  </si>
  <si>
    <t>The ecophysiology of responding to change in polar marine benthos</t>
  </si>
  <si>
    <t>HEAT-SHOCK RESPONSE; ANTARCTIC NOTOTHENIOID FISH; OCEAN ACIDIFICATION; CLIMATE-CHANGE; SOUTHERN-OCEAN; EVOLUTIONARY CHANGE; THERMAL TOLERANCE; HIGH-LATITUDES; METABOLIC-RATE; SIGNY ISLAND</t>
  </si>
  <si>
    <t>[Peck, Lloyd S.] British Antarctic Survey, Nat Environm Res Council, Cambridge, England</t>
  </si>
  <si>
    <t>Peck, LS (corresponding author), British Antarctic Survey, Nat Environm Res Council, Cambridge, England.</t>
  </si>
  <si>
    <t>lspe@bas.ac.uk</t>
  </si>
  <si>
    <t>WOS:000716519800012</t>
  </si>
  <si>
    <t>Angulo-Preckler, C; De Castro-Fernandez, P; Martín-Martín, R; Figuerola, B; Avila, C</t>
  </si>
  <si>
    <t>Angulo-Preckler, Carlos; De Castro-Fernandez, Paula; Martin-Martin, Rafael; Figuerola, Blanca; Avila, Conxita</t>
  </si>
  <si>
    <t>Chemical ecology in the Southern Ocean</t>
  </si>
  <si>
    <t>NUDIBRANCH AUSTRODORIS-KERGUELENENSIS; CUCUMBER STAUROCUCUMIS LIOUVILLEI; BRACHIOPOD LIOTHYRELLA-UVA; ANTARCTIC SPONGE; TRITERPENE GLYCOSIDES; NATURAL-PRODUCTS; CLIMATE-CHANGE; ENERGY CONTENT; ILLUDALANE SESQUITERPENOIDS; BIOCHEMICAL-COMPOSITION</t>
  </si>
  <si>
    <t>[Angulo-Preckler, Carlos; De Castro-Fernandez, Paula; Martin-Martin, Rafael; Avila, Conxita] Univ Barcelona, Dept Evolutionary Biol, Ecol &amp; Environm Sci &amp; Biodivers Res Inst, Barcelona, Catalonia, Spain; [Figuerola, Blanca] Smithsonian Trop Res Inst, Balboa, Panama</t>
  </si>
  <si>
    <t>University of Barcelona; Smithsonian Institution; Smithsonian Tropical Research Institute</t>
  </si>
  <si>
    <t>Angulo-Preckler, C (corresponding author), Univ Barcelona, Dept Evolutionary Biol, Ecol &amp; Environm Sci &amp; Biodivers Res Inst, Barcelona, Catalonia, Spain.</t>
  </si>
  <si>
    <t>carlospreckler@hotmail.com; pauladecastrofer@gmail.com; bfiguerola@gmail.com</t>
  </si>
  <si>
    <t>Angulo_Preckler, Carlos/A-6456-2011; Figuerola, Blanca/C-6252-2015</t>
  </si>
  <si>
    <t>Angulo_Preckler, Carlos/0000-0001-9028-274X; Figuerola, Blanca/0000-0003-4731-9337</t>
  </si>
  <si>
    <t>WOS:000716519800015</t>
  </si>
  <si>
    <t>Vick-Majors, TJ; Achberger, AM; Michaud, AB; Priscu, JC</t>
  </si>
  <si>
    <t>Vick-Majors, Trista J.; Achberger, Amanda M.; Michaud, Alexander B.; Priscu, John C.</t>
  </si>
  <si>
    <t>Metabolic and taxonomic diversity in antarctic subglacial environments</t>
  </si>
  <si>
    <t>LAKE VOSTOK; ICE-SHELF; TAYLOR GLACIER; MICROBIAL COMMUNITIES; LIFE BENEATH; BLOOD FALLS; WHILLANS; GEOMICROBIOLOGY; INVENTORY; OXIDATION</t>
  </si>
  <si>
    <t>[Vick-Majors, Trista J.] Michigan Technol Univ, Houghton, MI 49931 USA; [Vick-Majors, Trista J.] Univ Montana, Flathead Lake Biol Stn, Polson, MT 59860 USA; [Achberger, Amanda M.] Texas A&amp;M Univ, Dept Oceanog, College Stn, TX 77843 USA; [Michaud, Alexander B.] Aarhus Univ, Dept Biosci, Ctr Geomicrobiol, Aarhus, Denmark; [Priscu, John C.] Montana State Univ, Dept Land Resources &amp; Environm Sci, Bozeman, MT 59717 USA</t>
  </si>
  <si>
    <t>Michigan Technological University; University of Montana System; University of Montana; Texas A&amp;M University System; Texas A&amp;M University College Station; Aarhus University; Montana State University System; Montana State University Bozeman</t>
  </si>
  <si>
    <t>Vick-Majors, TJ (corresponding author), Michigan Technol Univ, Houghton, MI 49931 USA.;Vick-Majors, TJ (corresponding author), Univ Montana, Flathead Lake Biol Stn, Polson, MT 59860 USA.</t>
  </si>
  <si>
    <t>tristyv@gmail.com; aachberger@tamu.edu; jpriscu@montana.edu</t>
  </si>
  <si>
    <t>Michaud, Alex/AAC-4890-2020</t>
  </si>
  <si>
    <t>Michaud, Alex/0000-0001-5714-8741</t>
  </si>
  <si>
    <t>WOS:000716519800016</t>
  </si>
  <si>
    <t>Edwards, HGM; Jehlicka, J</t>
  </si>
  <si>
    <t>Edwards, Howell G. M.; Jehlicka, Jan</t>
  </si>
  <si>
    <t>Analytical astrobiology: the search for life signatures and the remote detection of biomarkers through their Raman spectral interrogation</t>
  </si>
  <si>
    <t>ANTARCTIC HABITATS; KEY BIOMARKERS; GALE CRATER; IN-SITU; SPECTROSCOPY; MARS; IDENTIFICATION; SPECTROMETER; MOLECULES; RELEVANCE</t>
  </si>
  <si>
    <t>[Edwards, Howell G. M.] Univ Bradford, Sch Chem &amp; Biosci, Bradford, W Yorkshire, England; [Jehlicka, Jan] Charles Univ Prague, Fac Sci, Inst Geochem Mineral &amp; Mineral Resources, Prague, Czech Republic</t>
  </si>
  <si>
    <t>University of Bradford; Charles University Prague</t>
  </si>
  <si>
    <t>Edwards, HGM (corresponding author), Univ Bradford, Sch Chem &amp; Biosci, Bradford, W Yorkshire, England.</t>
  </si>
  <si>
    <t>H.G.M.Edwards@bradford.ac.uk; jehlicka@natur.cuni.cz</t>
  </si>
  <si>
    <t>Jehlicka, Jan/H-9357-2016</t>
  </si>
  <si>
    <t>Green Submitted, Green Published</t>
  </si>
  <si>
    <t>WOS:000716519800018</t>
  </si>
  <si>
    <t>Klok, SV; Kornus, AO</t>
  </si>
  <si>
    <t>Klok, Serhii, V; Kornus, Anatolii O.</t>
  </si>
  <si>
    <t>Intra-annual and long-periodic components in the changes of precipitation over the Antarctic Peninsula and their possible causes</t>
  </si>
  <si>
    <t>JOURNAL OF GEOLOGY GEOGRAPHY AND GEOECOLOGY</t>
  </si>
  <si>
    <t>atmospheric precipitation; intra-annual distribution; long-period precipitation variability; solar forcing; El Nino</t>
  </si>
  <si>
    <t>In order to identify and study the main mechanisms of the formation of atmospheric precipitation, in the article the monthly and annual amounts of precipitation were analyzed from the observations results at Vernadsky, Bellingshausen and Grytviken stations. For the last station, a small linear trend of precipitation increase was detected, while at Vernadsky and Bellingshausen station it is practically absent. At the next stage of the study, the characteristics of intra-annual component of the precipitation variability for these stations were obtained. In the annual course, the component of precipitation variability is represented by 3 peaks - March, July and October (at Bellingshausen station March and July only), with a well-pronounced 4-year periodicity. However, data from Vernadsky station indicates a decrease of the seasonal component in time, at Grytviken station the seasonal component is stable, while at Bellingshausen station is increasing of the seasonal component in time. The analysis of long-period components of the precipitation variability of was carried out on the remains of the data obtained after the analysis of the intra-annual component. For the long-period component of precipitation variability at Vernadsky station, five statistically significant harmonics were obtained, which are reflected in periods of 6.8, 2.4, 4.0, 5.1, and 5.3 years. For Grytviken and Bellingshausen stations, 4 statistically significant harmonics were obtained, the periods of which are 4.2, 0.8, 1.7, 8.9 years and 1.5, 2.0, 2.8, 0.2 years, respectively. Today, the main phases of solar activity are well known, which are about 11 years old. The long-period components of precipitation variability obtained in the work for the stations under consideration (to 10.3, 12 and 34.1 years) are identical (close) to the mentioned phase of solar activity. This allowed the authors to draw preliminary conclusions about the influence of solar activity on the conditions for the formation of precipitation in the region under study. However, direct correlation analysis did not confirm this, as in the case of the El Nino influence.</t>
  </si>
  <si>
    <t>[Klok, Serhii, V] Ukrainian Hydrometeorol Inst, Kiev, Ukraine; [Kornus, Anatolii O.] Sumy State Pedag Univ, Sumy, Ukraine</t>
  </si>
  <si>
    <t>National Academy of Sciences Ukraine; Ukrainian Hydrometeorological Institute of the State Emergency Service of Ukraine &amp; National Academy of Sciences of Ukraine; Ministry of Education &amp; Science of Ukraine; Sumy State Pedagogical University named after A. S. Makarenko</t>
  </si>
  <si>
    <t>Klok, SV (corresponding author), Ukrainian Hydrometeorol Inst, Kiev, Ukraine.</t>
  </si>
  <si>
    <t>sklok_8@ukr.net; a_kornus@ukr.net</t>
  </si>
  <si>
    <t>Kornus, Anatolii/AAT-4918-2021; Kornus, Anatolii/O-6053-2015</t>
  </si>
  <si>
    <t>Kornus, Anatolii/0000-0002-5924-7812; Kornus, Anatolii/0000-0002-5924-7812</t>
  </si>
  <si>
    <t>OLES GONCHAR DNIPRO NATL UNIV</t>
  </si>
  <si>
    <t>DNIPRO</t>
  </si>
  <si>
    <t>GEOLOGY &amp; GEOGRAPHY DEPT, DMYTRO YAVOMITSKYI, 36, DNIPRO, 49066, UKRAINE</t>
  </si>
  <si>
    <t>2617-2909</t>
  </si>
  <si>
    <t>2617-2119</t>
  </si>
  <si>
    <t>J GEOL GEOGR GEOECOL</t>
  </si>
  <si>
    <t>J. Geol. Geogr. Geoecol.</t>
  </si>
  <si>
    <t>10.15421/112144</t>
  </si>
  <si>
    <t>WK0VR</t>
  </si>
  <si>
    <t>WOS:000709453300008</t>
  </si>
  <si>
    <t>Brim, J; Adams, B</t>
  </si>
  <si>
    <t>Brim, Jinna; Adams, Byron</t>
  </si>
  <si>
    <t>RATES OF MOLECULAR EVOLUTION IN ANTARCTIC AND TEMPERATE NEMATODES</t>
  </si>
  <si>
    <t>JOURNAL OF NEMATOLOGY</t>
  </si>
  <si>
    <t>[Brim, Jinna; Adams, Byron] Brigham Young Univ, Dept Biol, Salt Lake City, UT USA</t>
  </si>
  <si>
    <t>Brigham Young University</t>
  </si>
  <si>
    <t>SOC NEMATOLOGISTS</t>
  </si>
  <si>
    <t>MARCELINE</t>
  </si>
  <si>
    <t>PO BOX 311, MARCELINE, MO 64658 USA</t>
  </si>
  <si>
    <t>0022-300X</t>
  </si>
  <si>
    <t>J NEMATOL</t>
  </si>
  <si>
    <t>J. Nematol.</t>
  </si>
  <si>
    <t>WP3GX</t>
  </si>
  <si>
    <t>WOS:000713025600014</t>
  </si>
  <si>
    <t>Robinson, C</t>
  </si>
  <si>
    <t>Robinson, Colin</t>
  </si>
  <si>
    <t>ANTARCTIC NEMATODE MICROBIOME'S RESPONSE TO TEMPERATURE</t>
  </si>
  <si>
    <t>[Robinson, Colin] Brigham Young Univ, Dept Microbiol &amp; Mol Biol, Provo, UT 84602 USA</t>
  </si>
  <si>
    <t>WOS:000713025600087</t>
  </si>
  <si>
    <t>Blazewicz, M; Jakiel, A; Bamber, RN; Bird, GJ</t>
  </si>
  <si>
    <t>Blazewicz, M.; Jakiel, A.; Bamber, R. N.; Bird, G. J.</t>
  </si>
  <si>
    <t>Pseudotanaidae Sieg, 1976 (Crustacea: Peracarida) from the Southern Ocean: diversity and bathymetric pattern</t>
  </si>
  <si>
    <t>EUROPEAN ZOOLOGICAL JOURNAL</t>
  </si>
  <si>
    <t>The Antarctic; Amundsen Sea; Scotia Sea; continental slope; BIOPEARL</t>
  </si>
  <si>
    <t>SHALLOW-WATER TANAIDOMORPHA; TANAIDACEA CRUSTACEA; ROSS SEA; 1ST INSIGHTS; SHELF BREAK; BENTHOS; SLOPE; BAY; BIODIVERSITY; MALACOSTRACA</t>
  </si>
  <si>
    <t>From the BIOPEARL 1 and 2 Programs to the Amundsen and Scotia Seas a large series of Tanaidacea was collected using an epibenthic sled. We carried out a thorough morphological analysis of 169 individuals and provide a description of 14 pseudotanaid species distributed in three genera. Twelve species of the genus Pseudotanais are represented by three morphogroups: affinis+longisetosus, denticulatus+abathagastor, and forcipatus. We provide a redescription of Akanthinotanais gaussi, supplement the definitions of the genera Akanthinotanais and Beksitanais, and transfer Pseudotanais abyssi to the genus Beksitanais. Based on the literature and new data, we summarize knowledge of the Antarctic Pseudotanaidae and discuss this family's spatial and bathymetric distribution.</t>
  </si>
  <si>
    <t>[Blazewicz, M.] Univ Lodz, Dept Invertebrate Zool &amp; Hydrobiol, Banacha 12-16, PL-90237 Lodz, Poland; [Jakiel, A.] IO PAN, Dept Genet &amp; Marine Biotechnol, Sopot, Poland</t>
  </si>
  <si>
    <t>University of Lodz</t>
  </si>
  <si>
    <t>Blazewicz, M (corresponding author), Univ Lodz, Dept Invertebrate Zool &amp; Hydrobiol, Banacha 12-16, PL-90237 Lodz, Poland.</t>
  </si>
  <si>
    <t>magdalena.blazewicz@biol.uni.lodz.pl</t>
  </si>
  <si>
    <t>Błażewicz, Magdalena/J-5175-2017</t>
  </si>
  <si>
    <t>Jakiel, Aleksandra/0000-0002-9597-8364; Blazewicz, Magdalena/0000-0002-4753-3424</t>
  </si>
  <si>
    <t>NCN Sonatina [2020/36/C/NZ8/00576]; NCN OPUS [2018/31/B/NZ8/03198]</t>
  </si>
  <si>
    <t>NCN Sonatina; NCN OPUS</t>
  </si>
  <si>
    <t>This work was supported by NCN Sonatina [2020/36/C/NZ8/00576] and NCN OPUS [2018/31/B/NZ8/03198].</t>
  </si>
  <si>
    <t>2475-0263</t>
  </si>
  <si>
    <t>EUR ZOOL J</t>
  </si>
  <si>
    <t>Eur. Zool. J.</t>
  </si>
  <si>
    <t>JAN 1</t>
  </si>
  <si>
    <t>10.1080/24750263.2021.1960444</t>
  </si>
  <si>
    <t>WC3NP</t>
  </si>
  <si>
    <t>WOS:000704167000001</t>
  </si>
  <si>
    <t>Zhang, HF; Jiang, JJ; Xie, F</t>
  </si>
  <si>
    <t>Zhang, Haifeng; Jiang, Jingjian; Xie, Fang</t>
  </si>
  <si>
    <t>Deep-Sea Sediment Sampling Development of Combined Sampling/Coring System</t>
  </si>
  <si>
    <t>SEA TECHNOLOGY</t>
  </si>
  <si>
    <t>[Zhang, Haifeng] Minist Nat Resources, Inst Oceanog 2, Key Lab Marine Ecosyst Dynam, Beijing, Peoples R China; [Jiang, Jingjian; Xie, Fang] Marine Acad Zhejiang Prov, Div Sci &amp; Technol, Zhoushan, Peoples R China</t>
  </si>
  <si>
    <t>Ministry of Natural Resources of the People's Republic of China</t>
  </si>
  <si>
    <t>Zhang, HF (corresponding author), Minist Nat Resources, Inst Oceanog 2, Key Lab Marine Ecosyst Dynam, Beijing, Peoples R China.</t>
  </si>
  <si>
    <t>Chinese National Natural Science Foundation [41506223]; Joint Advanced Marine and Ecological Studies in the Bay of Bengal and the eastern equatorial Indian Ocean (JAMES); Impact and Responses of Antarctic Seas to Climate Change Program [IRASCC 2020-2022, 01-01-02, 02-02]</t>
  </si>
  <si>
    <t>Chinese National Natural Science Foundation(National Natural Science Foundation of China (NSFC)); Joint Advanced Marine and Ecological Studies in the Bay of Bengal and the eastern equatorial Indian Ocean (JAMES); Impact and Responses of Antarctic Seas to Climate Change Program</t>
  </si>
  <si>
    <t>The authors are grateful for the financial support of the Chinese National Natural Science Foundation (grant 41506223), Joint Advanced Marine and Ecological Studies in the Bay of Bengal and the eastern equatorial Indian Ocean (JAMES), and Impact and Responses of Antarctic Seas to Climate Change Program (IRASCC 2020-2022, 01-01-02, 02-02). We would also like to thank: Yibo Liao, Hongliang Li, Shuai Pan, Zhangyi Yang, Peisong Yu and Minhui Zheng.</t>
  </si>
  <si>
    <t>COMPASS PUBLICATIONS, INC</t>
  </si>
  <si>
    <t>ARLINGTON</t>
  </si>
  <si>
    <t>1501 WILSON BLVD., STE 1001, ARLINGTON, VA 22209-2403 USA</t>
  </si>
  <si>
    <t>0093-3651</t>
  </si>
  <si>
    <t>SEA TECHNOL</t>
  </si>
  <si>
    <t>Sea Technol.</t>
  </si>
  <si>
    <t>Engineering, Ocean</t>
  </si>
  <si>
    <t>UY0UY</t>
  </si>
  <si>
    <t>WOS:000701249700003</t>
  </si>
  <si>
    <t>Hagos, DH; Kakantousis, T; Vlassov, V; Sheikholeslami, S; Wang, TZ; Dowling, J; Paris, C; Marinelli, D; Weikmann, G; Bruzzone, L; Khaleghian, S; Kræmer, T; Eltoft, T; Marinoni, A; Pantazi, DA; Stamoulis, G; Bilidas, D; Papadakis, G; Mandilaras, G; Koubarakis, M; Troumpoukis, A; Konstantopoulos, S; Muerth, M; Appel, F; Fleming, A; Cziferszky, A</t>
  </si>
  <si>
    <t>Hagos, Desta Haileselassie; Kakantousis, Theofilos; Vlassov, Vladimir; Sheikholeslami, Sina; Wang, Tianze; Dowling, Jim; Paris, Claudia; Marinelli, Daniele; Weikmann, Giulio; Bruzzone, Lorenzo; Khaleghian, Salman; Kraemer, Thomas; Eltoft, Torbjorn; Marinoni, Andrea; Pantazi, Despina-Athanasia; Stamoulis, George; Bilidas, Dimitris; Papadakis, George; Mandilaras, George; Koubarakis, Manolis; Troumpoukis, Antonis; Konstantopoulos, Stasinos; Muerth, Markus; Appel, Florian; Fleming, Andrew; Cziferszky, Andreas</t>
  </si>
  <si>
    <t>ExtremeEarth Meets Satellite Data From Space</t>
  </si>
  <si>
    <t>Deep learning; Satellites; Monitoring; Sea ice; Geospatial analysis; Computer architecture; Data models; Artificial intelligence (AI); copernicus; deep learning; earth observation (EO); extremeearth; food security; hopsworks; linked geospatial data; polar regions; remote sensing</t>
  </si>
  <si>
    <t>SEGMENTATION; IMAGES</t>
  </si>
  <si>
    <t>Bringing together a number of cutting-edge technologies that range from storing extremely large volumes of data all the way to developing scalable machine learning and deep learning algorithms in a distributed manner and having them operate over the same infrastructure poses unprecedented challenges. One of these challenges is the integration of European Space Agency (ESA)'s Thematic Exploitation Platforms (TEPs) and data information access service platforms with a data platform, namely Hopsworks, which enables scalable data processing, machine learning, and deep learning on Copernicus data, and development of very large training datasets for deep learning architectures targeting the classification of Sentinel images. In this article, we present the software architecture of ExtremeEarth that aims at the development of scalable deep learning and geospatial analytics techniques for processing and analyzing petabytes of Copernicus data. The ExtremeEarth software infrastructure seamlessly integrates existing and novel software platforms and tools for storing, accessing, processing, analyzing, and visualizing large amounts of Copernicus data. New techniques in the areas of remote sensing and artificial intelligence with an emphasis on deep learning are developed. These techniques and corresponding software presented in this article are to be integrated with and used in two ESA TEPs, namely Polar and Food Security TEPs. Furthermore, we present the integration of Hopsworks with the Polar and Food Security use cases and the flow of events for the products offered through the TEPs.</t>
  </si>
  <si>
    <t>[Hagos, Desta Haileselassie; Vlassov, Vladimir; Sheikholeslami, Sina; Wang, Tianze] KTH Royal Inst Technol, S-11428 Stockholm, Sweden; [Kakantousis, Theofilos; Dowling, Jim] Log Clocks, S-16440 Stockholm, Sweden; [Paris, Claudia; Marinelli, Daniele; Weikmann, Giulio; Bruzzone, Lorenzo] Univ Trento, I-38122 Trento, Italy; [Khaleghian, Salman; Kraemer, Thomas; Eltoft, Torbjorn; Marinoni, Andrea] UiT Arctic Univ Norway, N-9019 Tromso, Norway; [Pantazi, Despina-Athanasia; Stamoulis, George; Bilidas, Dimitris; Papadakis, George; Mandilaras, George; Koubarakis, Manolis] Natl &amp; Kapodistrian Univ Athens, Athens 15772, Greece; [Troumpoukis, Antonis; Konstantopoulos, Stasinos] Natl Ctr Sci Res Demokritos, Paraskevi 15341, Greece; [Muerth, Markus; Appel, Florian] VISTA Remote Sensing Geosci GmbH, D-80333 Munich, Germany; [Fleming, Andrew; Cziferszky, Andreas] British Antarctic Survey, Cambridge CB3 0ET, England</t>
  </si>
  <si>
    <t>Royal Institute of Technology; University of Trento; UiT The Arctic University of Tromso; National &amp; Kapodistrian University of Athens; National Centre of Scientific Research Demokritos; UK Research &amp; Innovation (UKRI); Natural Environment Research Council (NERC); NERC British Antarctic Survey</t>
  </si>
  <si>
    <t>Hagos, DH (corresponding author), KTH Royal Inst Technol, S-11428 Stockholm, Sweden.</t>
  </si>
  <si>
    <t>desta161921@gmail.com; theo@logicalclocks.com; vladv@kth.se; sinash@kth.se; tianzew@kth.se; jdowling@kth.se; claudia.paris@unitn.it; daniele.marinelli@unitn.it; giulio.weikmann@unitn.it; lorenzo.bruzzone@unitn.it; salman.khaleghian@uit.no; thomakra@gmail.com; torbjorn.eltoft@uit.no; andrea.marinoni@uit.no; dpantazi@di.uoa.gr; gstam@di.uoa.gr; d.bilidas@di.uoa.gr; gpapadis@di.uoa.gr; gmandi@di.uoa.gr; koubarak@di.uoa.gr; antru@iit.demokritos.gr; konstant@iit.demokritos.gr; muerth@vista-geo.de; appel@vista-geo.de; ahf@bas.ac.uk; ancz@bas.ac.uk</t>
  </si>
  <si>
    <t>Papadakis, George/T-6599-2019; Paris, Claudia/AAL-2619-2021; Konstantopoulos, Stasinos/ABA-9046-2021; Weikmann, Giulio/KCZ-2402-2024; Marinoni, Andrea/F-4610-2017; Bruzzone, Lorenzo/A-2076-2012; Bruzzone, Lorenzo/JPL-7703-2023; Sheikholeslami, Sina/GQH-3793-2022</t>
  </si>
  <si>
    <t>Papadakis, George/0000-0002-7298-9431; Paris, Claudia/0000-0002-7189-6268; Weikmann, Giulio/0000-0003-3762-8929; Bruzzone, Lorenzo/0000-0002-6036-459X; Sheikholeslami, Sina/0000-0001-7236-4637; Marinelli, Daniele/0000-0002-5038-6373; Vlassov, Vladimir/0000-0002-6779-7435; Konstantopoulos, Stasinos/0000-0002-2586-1726</t>
  </si>
  <si>
    <t>European Union [825258]</t>
  </si>
  <si>
    <t>European Union(European Union (EU))</t>
  </si>
  <si>
    <t>This work was supported by the ExtremeEarth project funded by European Union's Horizon 2020 Research and Innovation Programme under Grant agreement no. 825258.</t>
  </si>
  <si>
    <t>10.1109/JSTARS.2021.3107982</t>
  </si>
  <si>
    <t>UT0NW</t>
  </si>
  <si>
    <t>Green Published, gold, Green Accepted</t>
  </si>
  <si>
    <t>WOS:000697823200006</t>
  </si>
  <si>
    <t>Dai, YF; Li, Z; Fu, M; Li, YQ; Xue, CH; Wang, JF</t>
  </si>
  <si>
    <t>Dai, Yufeng; Li, Zhuo; Fu, Meng; Li, Yanqi; Xue, Changhu; Wang, Jingfeng</t>
  </si>
  <si>
    <t>Peptides from Euphausia superba Promote Longitudinal Bone Growth by Accelerating Growth Plate Chondrocyte Proliferation and Hypertrophy</t>
  </si>
  <si>
    <t>CURRENT PHARMACEUTICAL BIOTECHNOLOGY</t>
  </si>
  <si>
    <t>Peptides from antarctic krill; endochondral ossification; longitudinal bone growth; bone morphogenetic protein 2; runt-related transcription factor 2; osterix</t>
  </si>
  <si>
    <t>OSTEOBLAST DIFFERENTIATION; MORPHOGENETIC PROTEIN-2; AMINO-ACID; EXPRESSION; HORMONE; WNT; MECHANISMS; MODEL; RUNX2; IGF-1</t>
  </si>
  <si>
    <t>Background: With the improvements in living standards, height is getting more attention. Malnutrition is one of the main causes of children's short stature; therefore, nutritional intervention in adolescence is the key to prevent short stature. The peptides from Antarctic Krill (AKPs), the ideal protein model, act in bone formation and anti-osteoporosis. However, the studies on promoting longitudinal bone growth by AKPs have not been reported. Methods: Three-week-old male ICR mice, to construct the adolescent mice model, randomly divided into three groups: normal group, casein group (casein, 300 mg/kgmiddotBW), and AKPs group (AKPs, 300 mg/kgmiddotBW). After 21 days of drug administration, the effects of AKPs on serum biochemical indexes and femur histomorphology of mice, and the mechanism of AKPs promoting longitudinal bone growth was discussed. Results: AKPs significantly increased longitudinal bone growth and improved bone strength. In addition, AKPs remarkably promoted proliferation and hypertrophy of chondrocytes in the growth plate. The further mechanism revealed that AKPs increased serum Growth Hormone (GH) and Insulin-Like Growth Factors-1(IGF-1) contents, which activated the downstream GH/IGF-1 axis signaling pathways. Moreover, AKPs induced the secretion and expression of bone morphogenetic protein 2 (BMP2) and triggered the activation of BMP2-dependent Smads signaling. AKPs also activated Wnt/beta-catenin signaling, and synergistically activated the expression of Runt-related transcription factor 2 (Runx 2) and Osterix (OSX). Conclusion: AKPs promoted longitudinal bone growth by activating GH/IGF-1 axis, BMP-2/Smads and Wnt/beta-catenin pathways, suggesting AKPs to be a potential nutrient fortifier for longitudinal bone growth.</t>
  </si>
  <si>
    <t>[Dai, Yufeng; Li, Zhuo; Fu, Meng; Li, Yanqi; Xue, Changhu; Wang, Jingfeng] Ocean Univ China, Coll Food Sci &amp; Engn, Qingdao 266003, Peoples R China</t>
  </si>
  <si>
    <t>Ocean University of China</t>
  </si>
  <si>
    <t>Xue, CH; Wang, JF (corresponding author), Ocean Univ China, Coll Food Sci &amp; Engn, Qingdao 266003, Peoples R China.</t>
  </si>
  <si>
    <t>xuech@ouc.edu.cn; jfwang@ouc.edu.cn</t>
  </si>
  <si>
    <t>wang, jian/HRB-9588-2023; wang, jing/GRS-7509-2022; Wang, Jin/GYA-2019-2022; wang, jie/HTQ-4920-2023; wang, jing/HJA-5384-2022; li, yanqi/HZM-5831-2023; wang, dan/JEF-0836-2023; Dai, Yufeng/KBX-4156-2024; wang, jing/GVT-8700-2022; wang, juan/IUO-6218-2023; wang, jiahui/IXD-1197-2023</t>
  </si>
  <si>
    <t>Dai, Yufeng/0000-0002-6598-8203</t>
  </si>
  <si>
    <t>National Key R&amp;D Program of China [2018YFC0311203]</t>
  </si>
  <si>
    <t>National Key R&amp;D Program of China</t>
  </si>
  <si>
    <t>This study was supported by National Key R&amp;D Program of China (2018YFC0311203) .</t>
  </si>
  <si>
    <t>BENTHAM SCIENCE PUBL LTD</t>
  </si>
  <si>
    <t>SHARJAH</t>
  </si>
  <si>
    <t>EXECUTIVE STE Y-2, PO BOX 7917, SAIF ZONE, 1200 BR SHARJAH, U ARAB EMIRATES</t>
  </si>
  <si>
    <t>1389-2010</t>
  </si>
  <si>
    <t>1873-4316</t>
  </si>
  <si>
    <t>CURR PHARM BIOTECHNO</t>
  </si>
  <si>
    <t>Curr. Pharm. Biotechnol.</t>
  </si>
  <si>
    <t>10.2174/1381612826666200612170316</t>
  </si>
  <si>
    <t>UT3SB</t>
  </si>
  <si>
    <t>WOS:000698038400004</t>
  </si>
  <si>
    <t>Viazigina, NA; Timokhov, LA; Egorova, ES; Yulin, AV</t>
  </si>
  <si>
    <t>Viazigina, N. A.; Timokhov, L. A.; Egorova, E. S.; Yulin, A., V</t>
  </si>
  <si>
    <t>Informativeness (information-bearing) of hydrometeorological and astrogeophysical factors in the problem of describing interannual fluctuations of the Greenland Sea ice coverage</t>
  </si>
  <si>
    <t>Greenland Sea; hydrometeorological and astrogeophysical impact; ice coverage; interannual variability; multiple regression; sea ice; statistical equations for diagnosis</t>
  </si>
  <si>
    <t>The interannual changes in ice coverage in the Greenland Sea for the winter (December-April), spring (May-June), summer (July-September), and autumn (October-November) seasons for the period 1950-2018 are considered. The presence of negative linear trends and the polycyclic oscillations of the ice coverage variability for all seasons has been confirmed. Using spectral analysis, the dominant fluctuations from 5 to 22 years were identified. The cross-correlation method allowed us to determine the significant relationship of the Greenland Sea ice coverage with hydrometeorological and astrogeophysical factors. The statistically significant relationship of the ice coverage for a concrete year with similar characteristics for a previous period persisting up to three years had been noted. The highest cross-correlation coefficients were noted in the winter and spring seasons. The ice coverage of the autumn season demonstrates the persistence of the inertia of ice conditions for up to two years. The analysis of correlations with astrogeophysical parameters revealed the closest relationship between the ice coverage and the longitude coordinate of the Earth's pole position, the nutation parameters of the Earth's axis, and the distance between the Earth and the Sun. When constructing the multi-regression equations, we investigated the informativeness of various hydrometeorological and astrogeophysical factors in the models of the ice coverage variability for each season. The following estimates of quality of the models were obtained: correlation coefficients (up to 0.89), determination coefficients (to up 0.80), and a model reliability which depends on the admissible forecast error and includes the mean square deviation of the investigated value) - up to 99%). The informativeness of various factors was estimated and the contribution to the total variance was revealed: hydrometeorological factors - up to 70%; astrogeophysical factors - up to 50%. The obtained statistical equations can be used for the diagnosis and for development of methods for the very-long-term forecast of the Greenland Sea ice coverage.</t>
  </si>
  <si>
    <t>[Viazigina, N. A.; Timokhov, L. A.; Egorova, E. S.; Yulin, A., V] Arctic &amp; Antarctic Res Inst, St Petersburg, Russia</t>
  </si>
  <si>
    <t>Viazigina, NA (corresponding author), Arctic &amp; Antarctic Res Inst, St Petersburg, Russia.</t>
  </si>
  <si>
    <t>navyazigina@aari.ru</t>
  </si>
  <si>
    <t>Lis, Natalia/HZL-1570-2023</t>
  </si>
  <si>
    <t>Lis, Natalia/0000-0003-0762-5188</t>
  </si>
  <si>
    <t>SRTW Roshydromet 5.1.</t>
  </si>
  <si>
    <t>This work was carried out with the support of SRTW Roshydromet 5.1. Development of models, methods and technologies for monitoring and predicting the state of the atmosphere, ocean, marine ice cover, glaciers and permafrost (cryo. sphere), ice interaction processes with natural objects and engineering structures for the Arctic and Technology of Hydrometeorological Consumer Support.</t>
  </si>
  <si>
    <t>10.31857/S2076673421030099</t>
  </si>
  <si>
    <t>US5UU</t>
  </si>
  <si>
    <t>WOS:000697494800001</t>
  </si>
  <si>
    <t>Salton, M; Carr, M; Tarjan, LM; Clarke, J; Kirkwood, R; Slip, D; Harcourt, R</t>
  </si>
  <si>
    <t>Salton, Marcus; Carr, Matt; Tarjan, L. Max; Clarke, Justin; Kirkwood, Roger; Slip, David; Harcourt, Robert</t>
  </si>
  <si>
    <t>Protected area use by two sympatric marine predators repopulating their historical range</t>
  </si>
  <si>
    <t>Fur seal; Arctocephalus; Habitat use; Distribution; Population recovery; Recolonisation; Human-wildlife interaction</t>
  </si>
  <si>
    <t>ZEALAND FUR SEALS; ARCTOCEPHALUS-PUSILLUS-DORIFERUS; ADULT MALE; LARGE CARNIVORES; HABITAT USE; BEHAVIORAL-RESPONSES; POPULATION-DYNAMICS; HUMAN DISTURBANCE; MANAGEMENT; FORSTERI</t>
  </si>
  <si>
    <t>As large carnivores recover from over-exploitation, managers often lack evidence-based information on species habitat requirements and the efficacy of management practices, particularly where species repopulate areas from which they have long been extirpated. We investigated the movement and habitat use by 2 semi-aquatic carnivores (Australian fur seals Arctocephalus pusillus doriferus and New Zealand fur seals A. forsteri) at the northern end of their distributions in Australia, where after a long absence both are recolonising their historic range. We also assessed male fur seal habitat use overlap with terrestrial and marine protected areas (PAs). While at the margin of the range during winter and early spring, the males remained inshore close to terrestrial sites and where interactions with humans often occur. From early spring, the males from the range margin showed uniform movement toward colonies in the core of the species' range prior to their breeding seasons. This contrasts with males tracked from the core of the species' range that returned periodically to colonies during the year, and highlights the importance of range-wide monitoring of a species to inform conservation planning. Habitat use by some males included over 90% of a marine PA at the margin of the species' range. Most terrestrial haul-outs used were within terrestrial PAs, while sites not protected were on the margin of the range. Despite wide-ranging habits, their dependence on coastal sites, where human access and activities can be regulated and more readily enforced, suggests that terrestrial and marine PAs will continue to play an important role in managing the recovery of these fur seals.</t>
  </si>
  <si>
    <t>[Salton, Marcus; Clarke, Justin; Slip, David; Harcourt, Robert] Macquarie Univ, Dept Biol Sci, N Ryde, NSW 2109, Australia; [Carr, Matt] Jervis Bay Marine Pk, Dept Primary Ind, Huskisson, NSW 2540, Australia; [Tarjan, L. Max] Univ Calif Santa Cruz, Dept Ecol &amp; Evolutionary Biol, Santa Cruz, CA 95064 USA; [Kirkwood, Roger] Phillip Isl Nat Pk, Res Dept, Cowes, Vic 3922, Australia; [Slip, David] Taronga Conservat Soc Australia, Mosman, NSW 2088, Australia; [Salton, Marcus] Australian Antarctic Div, Dept Agr Water &amp; Environm, Kingston, Tas 7050, Australia; [Carr, Matt] Biodivers Conservat Trust, Coffs Harbour, NSW 2450, Australia; [Tarjan, L. Max] San Francisco Bay Bird Observ, 524 Valley Way, Milpitas, CA 95035 USA; [Kirkwood, Roger] SARDI Aquat Sci, West Beach, SA 5024, Australia</t>
  </si>
  <si>
    <t>Macquarie University; University of California System; University of California Santa Cruz; Taronga Conservation Society Australia; Australian Antarctic Division</t>
  </si>
  <si>
    <t>Salton, M (corresponding author), Macquarie Univ, Dept Biol Sci, N Ryde, NSW 2109, Australia.;Salton, M (corresponding author), Australian Antarctic Div, Dept Agr Water &amp; Environm, Kingston, Tas 7050, Australia.</t>
  </si>
  <si>
    <t>marcussalton@gmail.com</t>
  </si>
  <si>
    <t>Salton, Marcus/AAC-1616-2022</t>
  </si>
  <si>
    <t>Salton, Marcus/0000-0001-5647-406X; Slip, David/0000-0002-9010-7236; Harcourt, Robert/0000-0003-4666-2934; Kirkwood, Roger/0000-0003-4221-4050</t>
  </si>
  <si>
    <t>Australian Marine Mammal Centre</t>
  </si>
  <si>
    <t>We are grateful to the Australian Navy for logistical support with accessing the deployment site. We thank the New South Wales National Parks and Wildlife Service, Jervis Bay Marine Park and the Beecroft Ranger Station staff for their assistance with fieldwork. The research was financially supported by the Australian Marine Mammal Centre. The funders had no role in study design, data collection and analysis, decision to publish, or preparation of the manuscript. All procedures were conducted under Office of Environment and Heritage Animal Ethics Committee Approval (100322/03) and Macquarie University Ethics Committee Approval 2011/054. Research Permits (SL 100111 and SL 100746) and all relevant institutional and national guidelines for the care and use of animals were followed. We appreciate the efforts of 3 anonymous reviewers who commented on the manuscript.</t>
  </si>
  <si>
    <t>10.3354/esr01129</t>
  </si>
  <si>
    <t>UQ7EX</t>
  </si>
  <si>
    <t>WOS:000696225000014</t>
  </si>
  <si>
    <t>Mank, ZD; Zacny, KA; Sabahi, D; Buchbinder, MJ; Bradley, BC; Stolov, LA; Sparta, J; Sanasarian, LD; Costa, JT; van Susante, PJ; Putzig, N; Wilcox, BH; Kleinhenz, J</t>
  </si>
  <si>
    <t>Vansusante, PJ; Roberts, AD</t>
  </si>
  <si>
    <t>Mank, Z. D.; Zacny, K. A.; Sabahi, D.; Buchbinder, M. J.; Bradley, B. C.; Stolov, L. A.; Sparta, J.; Sanasarian, L. D.; Costa, J. T.; van Susante, P. J.; Putzig, N.; Wilcox, B. H.; Kleinhenz, J.</t>
  </si>
  <si>
    <t>RedWater: A Rodwell System to Extract Water from Martian Ice Deposits</t>
  </si>
  <si>
    <t>EARTH AND SPACE 2021: SPACE EXPLORATION, UTILIZATION, ENGINEERING, AND CONSTRUCTION IN EXTREME ENVIRONMENTS</t>
  </si>
  <si>
    <t>17th Biennial International Conference on Engineering, Science, Construction, and Operations in Challenging Environments (Earth and Space)</t>
  </si>
  <si>
    <t>APR 19-23, 2021</t>
  </si>
  <si>
    <t>The ability to mine ice water in situ is of vital importance to enable future manned exploration of the solar system. In the past decade, orbital measurements have revealed that a third of the Martian surface contains shallow ground ice. Mars reconnaissance orbiter (MRO) shallow subsurface radar (SHARAD) data indicates the presence of debris-covered glaciers as well as buried ice sheets in the Arcadia Planitia (30 degrees N-45 degrees N) that are up to 170 m thick, consist of nearly pure ice, and are covered by at most 20 m of overburden. This data supports the implementation of two proven terrestrial technologies-coiled tube (CT) drilling and a Rodriguez well (RodWell)-for drilling and water extraction on Mars. Honeybee's RedWater system combines these two technologies into one by first using a CT drilling approach to create a hole, and then, once the hole is made to depth, using the coiled tubing left in the hole as a conduit for water extraction. Models for system performance in this mode have been refined from a combination of U.S. Army Cold Regions Research and Engineering Laboratory (CRREL) research, data collected from Antarctic RodWells, and Honeybee testing. Honeybee plans to validate RedWater's mechanism designs and extraction models through thermal-vacuum testing to TRL5 in 2020.</t>
  </si>
  <si>
    <t>[Mank, Z. D.; Zacny, K. A.; Sabahi, D.; Buchbinder, M. J.; Bradley, B. C.; Stolov, L. A.; Sparta, J.; Sanasarian, L. D.; Costa, J. T.] Honeybee Robot, Altadena, CA 91001 USA; [van Susante, P. J.] Michigan Technol Univ, Houghton, MI 49931 USA; [Putzig, N.] Planetary Sci Inst, Tucson, AZ USA; [Wilcox, B. H.] CALTECH, Jet Prop Lab, Pasadena, CA USA; [Kleinhenz, J.] NASA, Glenn Res Ctr, Cleveland, OH USA</t>
  </si>
  <si>
    <t>Michigan Technological University; California Institute of Technology; National Aeronautics &amp; Space Administration (NASA); NASA Jet Propulsion Laboratory (JPL); National Aeronautics &amp; Space Administration (NASA); NASA Glenn Research Center</t>
  </si>
  <si>
    <t>Mank, ZD (corresponding author), Honeybee Robot, Altadena, CA 91001 USA.</t>
  </si>
  <si>
    <t>zdmank@honeybeerobotics.com</t>
  </si>
  <si>
    <t>AMER SOC CIVIL ENGINEERS</t>
  </si>
  <si>
    <t>UNITED ENGINEERING CENTER, 345 E 47TH ST, NEW YORK, NY 10017-2398 USA</t>
  </si>
  <si>
    <t>978-0-7844-8337-4</t>
  </si>
  <si>
    <t>Engineering, Aerospace; Engineering, Civil; Engineering, Geological; Robotics</t>
  </si>
  <si>
    <t>Engineering; Robotics</t>
  </si>
  <si>
    <t>BS1KW</t>
  </si>
  <si>
    <t>WOS:000692156300045</t>
  </si>
  <si>
    <t>Timoney, R; Souza, C; Worrall, K; Harkness, P; Rix, J; Dixon, A</t>
  </si>
  <si>
    <t>Timoney, Ryan; Souza, Colin; Worrall, Kevin; Harkness, Patrick; Rix, Julius; Dixon, Andrew</t>
  </si>
  <si>
    <t>DEEPER: The Drill for Extensive Exploration of Planetary Environments Using Robots</t>
  </si>
  <si>
    <t>Landed missions which seek to explore ever-greater depths beneath planetary subsurfaces must manage the risks associated with this challenging task. When developing the most appropriate mission architecture, the designer must consider two options in the trade-off study: the use of heritage technologies such as the mass and volume-intensive hardware of 'classical' drill string assembly, or the adoption of novel technologies such as the wireline or coiled tube drilling approach. In order to address future European exploration goals, the European Space Agency (ESA) have proposed the development of a drill which shall enable exploration to 20 m through the use of a coiled tube system. The 'Drill for Extensive Exploration of Planetary Environments using Robots' (DEEPER) project is being delivered by a U.K. consortium including the University of Glasgow, the British Antarctic Survey, and Apogee Engineering Ltd. The team seeks to mature the baseline concept by developing a breadboard, which shall be tested both in the laboratory and in the field. This paper details the progress made to date, noting the challenges which have been identified and overcome ahead of manufacture.</t>
  </si>
  <si>
    <t>[Timoney, Ryan; Souza, Colin; Worrall, Kevin; Harkness, Patrick] Univ Glasgow, James Watt Sch Engn, Glasgow, Lanark, Scotland; [Rix, Julius] British Antarctic Survey, Cambridge, England; [Dixon, Andrew] Apogee Engn Ltd, Loughborough, Leics, England</t>
  </si>
  <si>
    <t>University of Glasgow; UK Research &amp; Innovation (UKRI); Natural Environment Research Council (NERC); NERC British Antarctic Survey</t>
  </si>
  <si>
    <t>Timoney, R (corresponding author), Univ Glasgow, James Watt Sch Engn, Glasgow, Lanark, Scotland.</t>
  </si>
  <si>
    <t>ryan.timoney@glasgow.ac.uk; jrix@bass.ac.uk; andrew.dixon@apogee-engineering.co.uk</t>
  </si>
  <si>
    <t>Harkness, Patrick G/E-7916-2011</t>
  </si>
  <si>
    <t>European Space Agency [AO/1-9904/19]</t>
  </si>
  <si>
    <t>European Space Agency(European Space Agency)</t>
  </si>
  <si>
    <t>The work herein has been made possible by funding delivered by the European Space Agency under the AO/1-9904/19.</t>
  </si>
  <si>
    <t>WOS:000692156300058</t>
  </si>
  <si>
    <t>Okuneva, O</t>
  </si>
  <si>
    <t>Okuneva, Olga</t>
  </si>
  <si>
    <t>Little Island, Great Desolation: Antarctic France in Brazil as a Space of Sensory Deprivation</t>
  </si>
  <si>
    <t>DIALOG SO VREMENEM-DIALOGUE WITH TIME</t>
  </si>
  <si>
    <t>Antarctic France; Brazil; early modern history; sensory deprivation; literary techniques</t>
  </si>
  <si>
    <t>The article examines the instrumental use of sensory deprivation to establish and maintain domination within a limited area, such as the first French colony in Brazil, the so-called Antarctic France. Testimonies of this colonial enterprise show the colonists' hard life: limited space, insufficient food supplies and the lack of familiar alimentation, as well as authoritarian (and sometimes brutal) governance. The article identifies unique and cross-confirmed information from such testimonies, and examines the ways 16th century authors used rhetoric and literary techniques to produce desired effect.</t>
  </si>
  <si>
    <t>[Okuneva, Olga] Russian Acad Sci, Inst World Hist, Moscow, Russia</t>
  </si>
  <si>
    <t>Institute of World History of the Russian Academy of Sciences; Russian Academy of Sciences</t>
  </si>
  <si>
    <t>Okuneva, O (corresponding author), Russian Acad Sci, Inst World Hist, Moscow, Russia.</t>
  </si>
  <si>
    <t>olga.okouneva@gmail.com</t>
  </si>
  <si>
    <t>RUSSIAN SOC INTELLECTUAL HIST</t>
  </si>
  <si>
    <t>RUSSIAN SOC INTELLECTUAL HIST, MOSCOW, 00000, RUSSIA</t>
  </si>
  <si>
    <t>2073-7564</t>
  </si>
  <si>
    <t>DIALOG VREM</t>
  </si>
  <si>
    <t>Dialog Vrem.</t>
  </si>
  <si>
    <t>UC0DX</t>
  </si>
  <si>
    <t>WOS:000686207200024</t>
  </si>
  <si>
    <t>Cremonesi, L</t>
  </si>
  <si>
    <t>Cremonesi, Llorenc</t>
  </si>
  <si>
    <t>Probing the morphology of dust particles in deep ice cores with light scattering</t>
  </si>
  <si>
    <t>NUOVO CIMENTO C-COLLOQUIA AND COMMUNICATIONS IN PHYSICS</t>
  </si>
  <si>
    <t>Article; Proceedings Paper</t>
  </si>
  <si>
    <t>106th National Congress of the Italian-Physical-Society (SIF)</t>
  </si>
  <si>
    <t>SEP 14-18, 2020</t>
  </si>
  <si>
    <t>The size distribution and light extinction cross-section of airborne particles are among the climate proxies investigated in palaeoclimate research and required by radiative transfer models. The optical properties of the particles are acquired by a non-invasive, single-particle light scattering technique to characterise aeolian dust stored in deep polar ice core samples. The same method is applied to study alpine ice cores and firn cores. The particle-by-particle approach provides a comprehensive statistical analysis while overcoming the limitations imposed by low concentrations (similar to 10(1)-10(3) ng/g). From a geometrical standpoint, dust particles deviate significantly from homogeneous spheres, as expected by many studies on mineral dust sources and ice core analysis. Features such as shape and structure prove to have greater importance than the particle refractive index in determining their radiative properties. By comparing experimental data to computationally inexpensive simulations, the main morphological properties of the particles can be inferred, such as the ratio between the axes in prolate particles and the porosity in isometric aggregate particles.</t>
  </si>
  <si>
    <t>[Cremonesi, Llorenc] Univ Milano Bicocca, DISAT, Milan, Italy</t>
  </si>
  <si>
    <t>University of Milano-Bicocca</t>
  </si>
  <si>
    <t>Cremonesi, L (corresponding author), Univ Milano Bicocca, DISAT, Milan, Italy.</t>
  </si>
  <si>
    <t>llorenc.cremonesi@unimib.it</t>
  </si>
  <si>
    <t>Cremonesi, Llorenc/IUP-4805-2023</t>
  </si>
  <si>
    <t>Cremonesi, Llorenc/0000-0002-4276-0660</t>
  </si>
  <si>
    <t>Italian Regional Affairs and Autonomies Department (DARA)</t>
  </si>
  <si>
    <t>The author acknowledges Dr. Barbara Delmonte, Prof. Valter Maggi and the other members of the Eurocold Lab (Universita degli Studi di Milano-Bicocca), Prof. Marco A. C. Potenza and his co-workers (Physics Department, Universita degli Studi di Milano), the French Polar Institute Paul-Emile Victor (IPEV), and the Italian National Antarctic Research Program (PNRA). The author also acknowledges Lorraine Yin for her helpful suggestions while proofreading the manuscript. The ice core samples analysed in this work belong to the European Project for Ice Coring in Antarctica (EPICA). Scanning Electron Microscope images were acquired at the Department of Earth and Environmental Sciences (DISAT), Universit`a degli Studi di Milano-Bicocca. Laboratory activities were partially funded by the Italian Regional Affairs and Autonomies Department (DARA).</t>
  </si>
  <si>
    <t>SOC ITALIANA FISICA</t>
  </si>
  <si>
    <t>BOLOGNA</t>
  </si>
  <si>
    <t>VIA SARAGOZZA, 12, I-40123 BOLOGNA, ITALY</t>
  </si>
  <si>
    <t>2037-4909</t>
  </si>
  <si>
    <t>1826-9885</t>
  </si>
  <si>
    <t>NUOVO CIM C-COLLOQ C</t>
  </si>
  <si>
    <t>Nuovo Cim. C-Colloq. Commun. Phys.</t>
  </si>
  <si>
    <t>10.1393/ncc/i2021-21015-8</t>
  </si>
  <si>
    <t>Physics, Multidisciplinary</t>
  </si>
  <si>
    <t>Physics</t>
  </si>
  <si>
    <t>UN4TQ</t>
  </si>
  <si>
    <t>WOS:000694009700016</t>
  </si>
  <si>
    <t>Bennetts, LG; Meylan, MH</t>
  </si>
  <si>
    <t>Bennetts, L. G.; Meylan, M. H.</t>
  </si>
  <si>
    <t>COMPLEX RESONANT ICE SHELF VIBRATIONS</t>
  </si>
  <si>
    <t>SIAM JOURNAL ON APPLIED MATHEMATICS</t>
  </si>
  <si>
    <t>hydroelasticity; complex resonances; homotopy</t>
  </si>
  <si>
    <t>FLEXURAL-GRAVITY WAVES; NORMAL-MODES; WATER-WAVES; SCATTERING; APPROXIMATION</t>
  </si>
  <si>
    <t>The problem of ice shelf vibrations forced by incident waves from the open ocean is considered, using a linear hydroelastic model involving combined thin-plate and potential-flow theories. Complex resonances are shown to generate near-resonant ice shelf responses. An efficient algorithm is developed to capture the complex resonances, based on a homotopy, and initialized with the real-valued eigenfrequencies of a problem in which the ice shelf and subshelf water cavity are uncoupled from the open ocean. It is shown the complex resonances may be used to approximate the reflection coefficient in the frequency domain and the large-time ice shelf response to an incident wave packet. Shelf thickening is shown to have a major effect on complex resonances at midrange frequencies, resulting in difficulty exciting certain near resonances in transient problems.</t>
  </si>
  <si>
    <t>[Bennetts, L. G.] Univ Adelaide, Sch Math Sci, Adelaide, SA 5005, Australia; [Meylan, M. H.] Univ Newcastle, Sch Math &amp; Phys Sci, Callaghan, NSW 2308, Australia</t>
  </si>
  <si>
    <t>University of Adelaide; University of Newcastle</t>
  </si>
  <si>
    <t>Bennetts, LG (corresponding author), Univ Adelaide, Sch Math Sci, Adelaide, SA 5005, Australia.</t>
  </si>
  <si>
    <t>luke.bennetts@adelaide.edu.au; mike.meylan@newcastle.edu.au</t>
  </si>
  <si>
    <t>Meylan, Michael/A-7341-2010; Bennetts, Luke/F-1623-2010</t>
  </si>
  <si>
    <t>Meylan, Michael/0000-0002-3164-1367; Bennetts, Luke/0000-0001-9386-7882</t>
  </si>
  <si>
    <t>Australian Research Council [DP200102828]; Australian Antarctic Science Program [AAS 4528]; Australian Research Council [DP200102828] Funding Source: Australian Research Council</t>
  </si>
  <si>
    <t>Australian Research Council(Australian Research Council); Australian Antarctic Science Program; Australian Research Council(Australian Research Council)</t>
  </si>
  <si>
    <t>The work of the first author was supported by an Australian Research Council midcareer fellowship (FT190100404). This work was supported by the Australian Research Council (DP200102828) and by the Australian Antarctic Science Program (AAS 4528).</t>
  </si>
  <si>
    <t>0036-1399</t>
  </si>
  <si>
    <t>1095-712X</t>
  </si>
  <si>
    <t>SIAM J APPL MATH</t>
  </si>
  <si>
    <t>SIAM J. Appl. Math.</t>
  </si>
  <si>
    <t>10.1137/20M1385172</t>
  </si>
  <si>
    <t>Mathematics, Applied</t>
  </si>
  <si>
    <t>UK9JO</t>
  </si>
  <si>
    <t>WOS:000692280000007</t>
  </si>
  <si>
    <t>Kakareka, SV; Kukharchyk, TI; Ekaykin, AA; Giginyak, YG</t>
  </si>
  <si>
    <t>Kakareka, Sergey, V; Kukharchyk, Tamara, I; Ekaykin, Aleksey A.; Giginyak, Yury G.</t>
  </si>
  <si>
    <t>STABLE ISOTOPES IN THE SNOW OF THE COASTAL AREAS OF ANTARCTICA</t>
  </si>
  <si>
    <t>DOKLADY NATSIONALNOI AKADEMII NAUK BELARUSI</t>
  </si>
  <si>
    <t>Antarctica; Marguerite Bay; Oasis Vecherny; Larsemann Hills; snow; oxygen isotopes; hydrogen isotopes</t>
  </si>
  <si>
    <t>SURFACE SNOW; VARIABILITY; CLIMATE; SIGNAL; CORES</t>
  </si>
  <si>
    <t>The first results of study of stable isotopes of oxygen (delta O-18) and hydrogen (delta D) in the snow samples taken on the islands of Marguerite Bay (Antarctic Peninsula), in the Vecherny Oasis (Enderby Land), and Larsemann Hills (Princess Elizabeth Land) by the participants of the 12th Belarusian Antarctic Expedition (January- March 2020) are presented. The concentration of water isotopes: deuterium (D) and oxygen-18 (O-18) in the samples was determined using a laser isotope composition analyzer Picarro L2130. A total of 32 snow samples were analyzed. The statistical parameters of the isotopic composition of snow were estimated, and the main differences in the content of delta O-18 and dD between the study areas were shown. A decrease in the content of heavy oxygen and hydrogen isotopes in the newly fallen snow to the old snow of the surface horizons is shown. The maximum values of delta O-18 and delta D are typical for the Maritime Antarctica, decreasing towards the coastal zone and further - towards its continental part. The possible factors affecting the isotope content are described. It is shown that the monitoring of the isotope composition can be an integral part of the monitoring of climatic changes within the area of operation of the Belarusian Antarctic Expedition. The study of the isotopic composition of surface snow is important for the reconstruction of the paleoclimate of the marginal zone of the Antarctic ice sheet based on the ice cores study.</t>
  </si>
  <si>
    <t>[Kakareka, Sergey, V; Kukharchyk, Tamara, I] Natl Acad Sci Belarus, Inst Nat Management, 10 F Skorina Str, Minsk 220076, BELARUS; [Ekaykin, Aleksey A.] Russian Federat Arctic &amp; Antarctic Res Inst, State Sci Ctr, St Petersburg, Russia; [Ekaykin, Aleksey A.] St Petersburg State Univ, Inst Earth Sci, St Petersburg, Russia; [Giginyak, Yury G.] Natl Acad Sci Belarus, Sci &amp; Pract Ctr Bioresources, 27 Akad Skaya Str, Minsk 220072, BELARUS</t>
  </si>
  <si>
    <t>National Academy of Sciences of Belarus (NASB); Institute for Nature Management of the National Academy of Sciences of Belarus; Saint Petersburg State University; National Academy of Sciences of Belarus (NASB); Scientific &amp; Practical Center for Bioresources of the National Academy of Sciences of Belarus</t>
  </si>
  <si>
    <t>Kakareka, SV (corresponding author), Natl Acad Sci Belarus, Inst Nat Management, 10 F Skorina Str, Minsk 220076, BELARUS.</t>
  </si>
  <si>
    <t>sk001@yandex.ru; tkukharchyk@gmail.com; ekaykin@aari.ru; antarctida_2010@mail.ru</t>
  </si>
  <si>
    <t>BELARUSKAYA NAVUKA</t>
  </si>
  <si>
    <t>MINSK</t>
  </si>
  <si>
    <t>66 FRANCYSKA SKARYNY PRASPEKT,, MINSK, BYELARUS</t>
  </si>
  <si>
    <t>1561-8323</t>
  </si>
  <si>
    <t>2524-2431</t>
  </si>
  <si>
    <t>DOKL NAN BELAURSI</t>
  </si>
  <si>
    <t>Dokl. Nat. Akad. Nauk Belarusi</t>
  </si>
  <si>
    <t>10.29235/1561-8323-2021-65-4-495-502</t>
  </si>
  <si>
    <t>UL7KG</t>
  </si>
  <si>
    <t>WOS:000692825200013</t>
  </si>
  <si>
    <t>Twardovska, M; Konvalyuk, I; Lystvan, K; Andreev, I; Parnikoza, I; Kunakh, V</t>
  </si>
  <si>
    <t>Twardovska, Maryana; Konvalyuk, Iryna; Lystvan, Kateryna; Andreev, Igor; Parnikoza, Ivan; Kunakh, Viktor</t>
  </si>
  <si>
    <t>Phenolic and flavonoid contents in Deschampsia antarctica plants growing in nature and cultured in vitro</t>
  </si>
  <si>
    <t>Antarctic; phenolic compounds; flavonoids; HPLC analysis</t>
  </si>
  <si>
    <t>ULTRAVIOLET-B RADIATION; VEGETAL EXTRACTS; BIOSYNTHESIS; ANTIOXIDANT; GROWTH; LEAVES; COMMON; FIELD</t>
  </si>
  <si>
    <t>The paper presents data on the total phenolic and flavonoid content in Deschampsia antarctica E. Desv. plants collected from natural habitats, plants cultured in vitro, regenerated plants, and plants cultivated in a growth chamber. It was found that the shoots (aerial parts) had higher phenolic and flavonoid contents compared to the roots. The largest amount of these substances was found in wild plants from Great Yalour Island. The content of phenolics and flavonoids in plants cultured in vitro was generally comparable to that in plants collected from natural habitats except for some clones. HPLC analysis revealed five main metabolites present in similar ratios in the studied samples of wild and in vitro plants. Minor substances varied slightly in different extracts, however their presence did not depend on plant growth conditions. No significant qualitative differences in HPLC profiles were found between the wild and in vitro plants. The studied samples did not contain quercetin, kaempferol and luteolin, whereas orientin was found in all studied samples of D. antarctica.</t>
  </si>
  <si>
    <t>[Twardovska, Maryana; Konvalyuk, Iryna; Andreev, Igor; Parnikoza, Ivan; Kunakh, Viktor] Natl Acad Sci Ukraine, Dept Cell Populat Genet, Inst Mol Biol &amp; Genet, 150 Acad Zabolotnogo Str, UA-03143 Kiev, Ukraine; [Lystvan, Kateryna] Natl Acad Sci Ukraine, Dept Genet Engn, Inst Cell Biol &amp; Genet, 148 Acad Zabolotnogo Str, UA-03143 Kiev, Ukraine; [Parnikoza, Ivan] Minist Educ &amp; Sci Ukraine, State Inst, Natl Antarctic Scientc Ctr, 16 Shevchenko Ave, UA-01601 Kiev, Ukraine</t>
  </si>
  <si>
    <t>National Academy of Sciences Ukraine; Institute of Molecular Biology &amp; Genetics of NASU; National Academy of Sciences Ukraine; Institute of Cell Biology &amp; Genetic Engineering of the National Academy of Sciences of Ukraine; Ministry of Education &amp; Science of Ukraine; State Institution National Antarctic Scientific Center</t>
  </si>
  <si>
    <t>Twardovska, M (corresponding author), Natl Acad Sci Ukraine, Dept Cell Populat Genet, Inst Mol Biol &amp; Genet, 150 Acad Zabolotnogo Str, UA-03143 Kiev, Ukraine.</t>
  </si>
  <si>
    <t>maryana.tvardovska@gmail.com</t>
  </si>
  <si>
    <t>Andreev, Igor/G-6194-2016; Kunakh, Viktor A./HKV-4993-2023; Lystvan, Kateryna/R-2725-2019; Twardovska, Maryana O./JZC-6453-2024; Parnikoza, Ivan/I-2398-2016; Lystvan, Kateryna/GNW-3292-2022</t>
  </si>
  <si>
    <t>Andreev, Igor/0000-0002-3706-8514; Twardovska, Maryana O./0000-0002-9132-1330; Lystvan, Kateryna/0000-0002-9657-9701; Iryna, Konvalyuk/0000-0003-2283-6063; Ivan, Parnikoza/0000-0002-0490-8134</t>
  </si>
  <si>
    <t>National Academy of Sciences of Ukraine [0120U103216]</t>
  </si>
  <si>
    <t>National Academy of Sciences of Ukraine</t>
  </si>
  <si>
    <t>This work was carried out with the financial support from the National Academy of Sciences of Ukraine through the Targeted interdisciplinary program of scientific research Genomic, molecular and cellular bases for the development of innovative biotechnologies (2010-2014) #0120U103216.</t>
  </si>
  <si>
    <t>10.24425/ppr.2021.136602</t>
  </si>
  <si>
    <t>UL8BL</t>
  </si>
  <si>
    <t>WOS:000692869900002</t>
  </si>
  <si>
    <t>Greco, S; D'agostino, E; Manfrin, C; Gaetano, AS; Furlanis, G; Capanni, F; Santovito, G; Edomi, P; Giulianini, PG; Gerdol, M</t>
  </si>
  <si>
    <t>Greco, Samuele; D'agostino, Elisa; Manfrin, Chiara; Gaetano, Anastasia Serena; Furlanis, Gael; Capanni, Francesca; Santovito, Gianfranco; Edomi, Paolo; Giulianini, Piero Giulio; Gerdol, Marco</t>
  </si>
  <si>
    <t>RNA-sequencing indicates high hemocyanin expression as a key strategy for cold adaptation in the Antarctic amphipod Eusirus cf. giganteus clade g3</t>
  </si>
  <si>
    <t>BIOCELL</t>
  </si>
  <si>
    <t>Antarctica; Cold adaptation; Hemocyanin; Amphipod; Transcriptome</t>
  </si>
  <si>
    <t>PANULIRUS-INTERRUPTUS HEMOCYANIN; AMINO-ACID-SEQUENCE; POLAR GIGANTISM; SEQ DATA; CRUSTACEA; OXYGEN; PROTEIN; SPECIATION; DIVERSITY; ISOPODA</t>
  </si>
  <si>
    <t>We here report the de novo transcriptome assembly and functional annotation of Eusirus cf. giganteus clade g3, providing the first database of expressed sequences from this giant Antarctic amphipod. RNA-sequencing, carried out on the whole body of a single juvenile individual likely undergoing molting, revealed the dominant expression of hemocyanins. The mRNAs encoding these oxygen-binding proteins cumulatively accounted for about 40% of the total transcriptional effort, highlighting the key biological importance of high hemocyanin production in this Antarctic amphipod species. We speculate that this observation may mirror a strategy previously described in Antarctic cephalopods, which compensates for the decreased ability to release oxygen to peripheral tissues at sub-zero temperatures by massively increasing total blood hemocyanin content compared with temperate species. These preliminary results will undoubtedly require confirmation through proteomic and biochemical analyses aimed at characterizing the oxygen-binding properties of E. cf. giganteus clade g3 hemocyanins and at investigating whether other Antarctic arthropod species exploit similar adaptations to cope with the challenges posed by the extreme conditions of the polar environment.</t>
  </si>
  <si>
    <t>[Greco, Samuele; Manfrin, Chiara; Gaetano, Anastasia Serena; Furlanis, Gael; Capanni, Francesca; Edomi, Paolo; Giulianini, Piero Giulio; Gerdol, Marco] Univ Trieste, Dept Life Sci, I-34127 Trieste, Italy; [D'agostino, Elisa; Santovito, Gianfranco] Univ Padua, Dept Biol, I-35131 Padua, Italy</t>
  </si>
  <si>
    <t>University of Trieste; University of Padua</t>
  </si>
  <si>
    <t>Gerdol, M (corresponding author), Univ Trieste, Dept Life Sci, I-34127 Trieste, Italy.</t>
  </si>
  <si>
    <t>mgerdol@units.it</t>
  </si>
  <si>
    <t>Capanni, Francesca/KCJ-6331-2024; Santovito, Gianfranco/ABB-9484-2021; Gerdol, Marco/D-2115-2013</t>
  </si>
  <si>
    <t>Capanni, Francesca/0000-0001-6543-7797; Santovito, Gianfranco/0000-0001-8260-7006; Gerdol, Marco/0000-0001-6411-0813; Gaetano, Anastasia Serena/0000-0003-0071-7696; EDOMI, PAOLO/0000-0002-5782-1032</t>
  </si>
  <si>
    <t>Italian Program of Antarctic Research [PNRA16_00099]</t>
  </si>
  <si>
    <t>Italian Program of Antarctic Research</t>
  </si>
  <si>
    <t>This work was supported by the Italian Program of Antarctic Research (Grant No. PNRA16_00099).</t>
  </si>
  <si>
    <t>TECH SCIENCE PRESS</t>
  </si>
  <si>
    <t>HENDERSON</t>
  </si>
  <si>
    <t>871 CORONADO CENTER DR, SUTE 200, HENDERSON, NV 89052 USA</t>
  </si>
  <si>
    <t>0327-9545</t>
  </si>
  <si>
    <t>1667-5746</t>
  </si>
  <si>
    <t>Biocell</t>
  </si>
  <si>
    <t>10.32604/biocell.2021.016121</t>
  </si>
  <si>
    <t>Biology</t>
  </si>
  <si>
    <t>Life Sciences &amp; Biomedicine - Other Topics</t>
  </si>
  <si>
    <t>UL3FH</t>
  </si>
  <si>
    <t>WOS:000692540600004</t>
  </si>
  <si>
    <t>Halici, MG; Kahraman, M; Osmanoglu, O; Bartak, M</t>
  </si>
  <si>
    <t>Halici, Mehmet Gokhan; Kahraman, Merve; Osmanoglu, Osman; Bartak, Milos</t>
  </si>
  <si>
    <t>New records of lichenized fungi for Antarctica</t>
  </si>
  <si>
    <t>Antarctic; biodiversity; James Ross Island; lichens</t>
  </si>
  <si>
    <t>JAMES-ROSS-ISLAND; IDENTIFICATION; CLADONIACEAE; BIOGEOGRAPHY; ASCOMYCOTA; PENINSULA</t>
  </si>
  <si>
    <t>Three lichenized fungal species collected from James Ross Island (eastern coast of Antarctic Peninsula): Cladonia acuminata (Ach.) Norrl., Rhizocarpon pusillum Runemark and Rhizoplaca parilis S.D. Leav., Fern.-Mend., Lumbsch, Sohrabi et St. Clair are reported from Antarctica for the first time. Detailed morphological and anatomical properties of these species along with photographes based on Antarctic specimens are provided here. In addition, the nrITS gene regions of the selected specimens are studied and the phylogenetic positions of the species are discussed. The nrITS data for Rhizocarpon pusillum is provided for the first time. According to our studies the lichen biodiversity of the Antarctic is still poorly known and molecular studies are very important in order to present the correct lichen biodiversity of Antarctica.</t>
  </si>
  <si>
    <t>[Halici, Mehmet Gokhan; Kahraman, Merve; Osmanoglu, Osman] Erciyes Univ, Fac Sci, Dept Biol, TR-38039 Kayseri, Turkey; [Bartak, Milos] Masaryk Univ, Dept Expt Biol, Sect Plant Physiol, Kamenice 5, Brno 62500, Czech Republic</t>
  </si>
  <si>
    <t>Erciyes University; Masaryk University Brno</t>
  </si>
  <si>
    <t>Halici, MG (corresponding author), Erciyes Univ, Fac Sci, Dept Biol, TR-38039 Kayseri, Turkey.</t>
  </si>
  <si>
    <t>mghalici@gmail.com</t>
  </si>
  <si>
    <t>Barták, Miloš/F-4714-2019; Kahraman Yiğit, Merve/AAW-5674-2021</t>
  </si>
  <si>
    <t>Erciyes University; TUBITAK [118Z587]</t>
  </si>
  <si>
    <t>Erciyes University(Erciyes University); TUBITAK(Turkiye Bilimsel ve Teknolojik Arastirma Kurumu (TUBITAK))</t>
  </si>
  <si>
    <t>The first author thanks for Erciyes University for their financial support to make the field works in James Ross Island, Antarctica and infrastructure and facilities of J. G. Mendel Station provided during the Czech Antarctic expedition, Jan-Feb 2017. This study was financially supported by TUBITAK 118Z587 coded project. Steve Leavit and Raquel Pina-Bodas are thanked for confirming our species identifications of Rhizoplaca parilis and Cladonia acuminata.</t>
  </si>
  <si>
    <t>10.24425/ppr.2021.137145</t>
  </si>
  <si>
    <t>UL8BN</t>
  </si>
  <si>
    <t>WOS:000692870100004</t>
  </si>
  <si>
    <t>Yao, XD; Wang, YD; Wu, YL; Liang, ZY</t>
  </si>
  <si>
    <t>Yao, Xuedong; Wang, Yandong; Wu, Yanlan; Liang, Zeyu</t>
  </si>
  <si>
    <t>Weakly-Supervised Domain Adaptation With Adversarial Entropy for Building Segmentation in Cross-Domain Aerial Imagery</t>
  </si>
  <si>
    <t>Image segmentation; Semantics; Training; Buildings; Remote sensing; Entropy; Annotations; Adversarial learning; building segmentation; domain adaptation (DA); high resolution; self-training</t>
  </si>
  <si>
    <t>SEMANTIC SEGMENTATION; LIDAR DATA</t>
  </si>
  <si>
    <t>Building segmentation is a classical and challenging task in high-resolution remote sensing imagery. This approach has achieved remarkable performance based on a fully convolutional network with adequate pixel-wise annotations. However, due to differences in sensor technology as well as appearance in different regions, datasets gathered from these various sources are quite distinct, and dense annotations for a particular area are not always available. Thus, directly applying a segmentation model trained on one dataset (source domain) to another unseen dataset (target domain) usually results in a drop in performance, called the domain gap. In this article, we propose a weakly-supervised domain adaptation method using adversarial entropy for building segmentation to address this problem. First, we use an adversarial entropy strategy to decrease the entropy and improve the prediction certainty for target images, causing the distributions between the source and target domains to become closer to each other. Second, we propose a simple and effective self-training strategy for the target domain that produces high-confidence predictions using pseudolabels. We use a series of thresholds to generate the pseudolabels without introducing extra parameters. This strategy effectively enhances the discriminability of the target domain and further minimizes the distribution discrepancy between the two domains. Experiments on cross-domain aerial datasets have demonstrated the effectiveness and superiority of our proposed method when compared to other state-of-the-art methods.</t>
  </si>
  <si>
    <t>[Yao, Xuedong; Wang, Yandong] Wuhan Univ, State Key Lab Informat Engn Surveying Mapping &amp; R, Wuhan 430079, Peoples R China; [Wang, Yandong] Collaborat Innovat Ctr Geospatial Informat Techno, Wuhan 430079, Peoples R China; [Wang, Yandong] East China Univ Technol, Fac Geomat, Nanchang 330013, Jiangxi, Peoples R China; [Wu, Yanlan] Anhui Univ, Sch Resources &amp; Environm Engn, Informat Mat &amp; Intelligent Sensing Lab Anhui Prov, Hefei 230601, Peoples R China; [Wu, Yanlan] Anhui Engn Res Ctr Geog Informat Intelligent Tech, Hefei 230601, Peoples R China; [Liang, Zeyu] Wuhan Univ, Chinese Antarctic Ctr Surveying &amp; Mapping, Wuhan 430079, Peoples R China</t>
  </si>
  <si>
    <t>Wuhan University; East China University of Technology; Anhui University; Wuhan University</t>
  </si>
  <si>
    <t>Wang, YD (corresponding author), Wuhan Univ, State Key Lab Informat Engn Surveying Mapping &amp; R, Wuhan 430079, Peoples R China.;Wang, YD (corresponding author), Collaborat Innovat Ctr Geospatial Informat Techno, Wuhan 430079, Peoples R China.</t>
  </si>
  <si>
    <t>yaoxuedong@whu.edu.cn; ydwang@whu.edu.cn; wuyanlan@ahu.edu.cn; liangzeyu@whu.edu.cn</t>
  </si>
  <si>
    <t>National Natural Science Foundation of China [41271399]; National Key Research Program of China [2016YFB0501403]; China Special Fund for Surveying, Mapping and Geoinformation Research in the Public Interest [201512015]</t>
  </si>
  <si>
    <t>National Natural Science Foundation of China(National Natural Science Foundation of China (NSFC)); National Key Research Program of China; China Special Fund for Surveying, Mapping and Geoinformation Research in the Public Interest</t>
  </si>
  <si>
    <t>This work was supported in part by the National Natural Science Foundation of China under Grant 41271399, in part by the National Key Research Program of China under Grant 2016YFB0501403, and in part by the China Special Fund for Surveying, Mapping and Geoinformation Research in the Public Interest under Grant 201512015.</t>
  </si>
  <si>
    <t>10.1109/JSTARS.2021.3105421</t>
  </si>
  <si>
    <t>UK8QR</t>
  </si>
  <si>
    <t>WOS:000692230900006</t>
  </si>
  <si>
    <t>Qian, GY; Lim, G; Yin, SJ; Yang, JM; Lee, J; Park, YD</t>
  </si>
  <si>
    <t>Qian, Guo-Ying; Lim, Gyutae; Yin, Shang-Jun; Yang, Jun-Mo; Lee, Jinhyuk; Park, Yong-Doo</t>
  </si>
  <si>
    <t>Biochemical Study of Fibrinolytic Protease from Euphausia superba Possessing Multifunctional Serine Protease Activity</t>
  </si>
  <si>
    <t>PROTEIN AND PEPTIDE LETTERS</t>
  </si>
  <si>
    <t>Fibrinolytic protease; Euphausia superba; kinetics; unfolding; serine residue; osmolytes; molecular dynamics</t>
  </si>
  <si>
    <t>ARGININE KINASE; ANTARCTIC KRILL; ALKALINE-PHOSPHATASE; PURIFICATION; PROTEINASE; DEBRIDEMENT; SYSTEM; CELLS; CU2+</t>
  </si>
  <si>
    <t>Background: Fibrinolytic protease from Euphausia superba (EFP) was isolated. Objective: Biochemical distinctions, regulation of the catalytic function, and the key residues of EFP were investigated. Methods: The serial inhibition kinetic evaluations coupled with measurements of fluorescence spectra in the presence of 4-(2-aminoethyl) benzene sulfonyl fluoride hydrochloride (AEBSF) was conducted. The computational molecular dynamics (MD) simulations were also applied for a comparative study. Results: The enzyme behaved as a monomeric protein with a molecular mass of about 28.6 kD with K-m(BApNA) = 0.629 +/- 0.02 mM and k(cat)/K-m(BApNA) = 7.08 s(-1)/mM. The real-time interval measurements revealed that the inactivation was a first-order reaction, with the kinetic processes shifting from a monophase to a biphase. Measurements of fluorescence spectra showed that serine residue modification by AEBSF directly caused conspicuous changes of the tertiary structures and exposed hydrophobic surfaces. Some osmolytes were applied to find protective roles. These results confirmed that the active region of EFP is more flexible than the overall enzyme molecule and serine, as the key residue, is associated with the regional unfolding of EFP in addition to its catalytic role. The MD simulations were supportive to the kinetics data. Conclusion: Our study indicated that EFP has an essential serine residue for its catalyst function and associated folding behaviors. Also, the functional role of osmolytes such as proline and glycine that may play a role in defense mechanisms from environmental adaptation in a krill's body was suggested.</t>
  </si>
  <si>
    <t>[Qian, Guo-Ying; Yin, Shang-Jun; Park, Yong-Doo] Zhejiang Wanli Univ, Coll Biol &amp; Environm Sci, Ningbo 315100, Peoples R China; [Lim, Gyutae; Lee, Jinhyuk] Korea Res Inst Biosci &amp; Biotechnol KRIBB, Genome Editing Res Ctr, Daejeon 34141, South Korea; [Lim, Gyutae; Lee, Jinhyuk] Univ Sci &amp; Technol UST, KRIBB Sch Biosci, Dept Bioinformat, 217 Gajung Ro, Daejeon 34113, South Korea; [Yang, Jun-Mo; Park, Yong-Doo] Sungkyunkwan Univ, Dept Dermatol, Sch Med, Samsung Med Ctr, Seoul 135710, South Korea; [Park, Yong-Doo] Tsinghua Univ, Yangtze Delta Reg Inst, Skin Dis Res Ctr, 705 Yatai Rd, Jiaxing 314006, Peoples R China</t>
  </si>
  <si>
    <t>Zhejiang Wanli University; Korea Research Institute of Bioscience &amp; Biotechnology (KRIBB); University of Science &amp; Technology (UST); Sungkyunkwan University (SKKU); Samsung Medical Center; Tsinghua University</t>
  </si>
  <si>
    <t>Lee, J (corresponding author), Korea Res Inst Biosci &amp; Biotechnol KRIBB, Genome Editing Res Ctr, Daejeon 34141, South Korea.;Park, YD (corresponding author), Tsinghua Univ, Yangtze Delta Reg Inst, Skin Dis Res Ctr, 705 Yatai Rd, Jiaxing 314006, Peoples R China.</t>
  </si>
  <si>
    <t>jinhyuk@kribb.re.kr; parkyd@hotmail.com</t>
  </si>
  <si>
    <t>Major Agricultural Project of Ningbo [2517C110012]; Zhejiang Provincial Project of Selective Breeding of Aquatic New Varieties [2516C025554]</t>
  </si>
  <si>
    <t>Major Agricultural Project of Ningbo; Zhejiang Provincial Project of Selective Breeding of Aquatic New Varieties</t>
  </si>
  <si>
    <t>This research was supported by the Major Agricultural Project of Ningbo (grant no. 2517C110012) and the Zhejiang Provincial Project of Selective Breeding of Aquatic New Varieties (grant no. 2516C025554) .</t>
  </si>
  <si>
    <t>0929-8665</t>
  </si>
  <si>
    <t>1875-5305</t>
  </si>
  <si>
    <t>PROTEIN PEPTIDE LETT</t>
  </si>
  <si>
    <t>Protein Pept. Lett.</t>
  </si>
  <si>
    <t>10.2174/0929866527666201112123714</t>
  </si>
  <si>
    <t>Biochemistry &amp; Molecular Biology</t>
  </si>
  <si>
    <t>UJ6QB</t>
  </si>
  <si>
    <t>WOS:000691406900005</t>
  </si>
  <si>
    <t>Cai, HQ; Shi, SBA; Wu, JF; Yang, LF; Wang, F; Jiang, CL; Gao, CM; Yang, SJ; Jiang, MG; Jiang, Y</t>
  </si>
  <si>
    <t>Cai, Hanqin; Shi, Songbiao; Wu, Jiafa; Yang, Lifang; Wang, Fang; Jiang, Chenglin; Gao, Caimi; Yang, Shaojuan; Jiang, Mingguo; Jiang, Yi</t>
  </si>
  <si>
    <t>Flavimobilis rhizosphaerae sp. nov., isolated from rhizosphere soil of Spartina alterniflora</t>
  </si>
  <si>
    <t>INTERNATIONAL JOURNAL OF SYSTEMATIC AND EVOLUTIONARY MICROBIOLOGY</t>
  </si>
  <si>
    <t>Flavimobilis; rhizosphere soil; Spartina alterniflora; novel species</t>
  </si>
  <si>
    <t>ANTARCTIC BACTERIUM; SANGUIBACTER; IDENTIFICATION; MENAQUINONES; SEQUENCES; NOCARDIA; INULINUS; DATABASE; MARINUS; SOLI</t>
  </si>
  <si>
    <t>A novel Gram-stain positive, facultatively anaerobic, motile, irregularly rod-shaped bacterium, designated GY 10621(T), was isolated from rhizosphere soil of Spartina alterniflora in Beihai City, Guangxi Province, PR China, and characterized using a polyphasic taxonomic approach. GY 10621(T) was positive for catalase and oxidase. Growth occurred at 4-42 degrees C (optimum 30-37 degrees C), at pH 5.0-9.0 (optimum pH 7.0) and in the presence of 0-5% NaCl (w/v) (optimum 1-3%). The main menaquinones were MK-9 (H-4) (92.2%) and MK-10 (7.8%). The major cellular fatty acids were anteiso-C-15:0 and C-14:0. The peptidoglycan was the type A4 alpha (L-Lys-Ser-d-Glu). The polar lipids included four phosphoglycolipids, four glycolipids, an unidentified lipid and six unidentified phospholipids. The DNA G+C content of the type strain was 71.7 mol%. On the basis of the results of 16S rRNA gene analysis, the type strain of a species with a validly published name with the highest similarity to GY 10621(T) was Flavimobilis soli KCTC 13155(T) (97.16 %), followed by Sanguibacter suarezii NBRC 16159(T) (96.39 %). The calculated results indicated that compared with GY 10621(T), the average nucleotide identity (ANI) values of three strains closely related to GY 10621(T) (the two aforementioned type strains and 'S. massiliensis' Marseille-P3815) were 74.18-94.97%, and the digital DNA-DNA hybridization (dDDH) values were 20.3-60.6%. The results of 16S rRNA-based and genome-based phylogenetic tree analysis indicated that GY 10621(T) should be assigned to the genus Flavimobilis. On the basis of evidence from polyphasic studies, GY 10621(T) should be designated as representing a novel species of the genus Flavimobilis, for which the name Flavimobilis rhizosphaerae sp. nov. is proposed. The type strain is GY 10621(T) (=CGMCC 1.17411(T)=KCTC 49515(T)).</t>
  </si>
  <si>
    <t>[Cai, Hanqin; Wu, Jiafa; Wang, Fang; Jiang, Mingguo] Guangxi Univ Nationalities, Sch Marine Sci &amp; Biotechnol, Guangxi Key Lab Polysaccharide Mat &amp; Modificat, Nanning 530008, Peoples R China; [Shi, Songbiao; Yang, Lifang; Gao, Caimi] Guangxi Univ Nationalities, Sch Chem &amp; Chem Engn, Guangxi Key Lab Chem &amp; Engn Forest Prod, Nanning 530008, Peoples R China; [Jiang, Chenglin; Yang, Shaojuan; Jiang, Yi] Yunnan Univ, Yunnan Inst Microbiol, Kunming 650091, Yunnan, Peoples R China</t>
  </si>
  <si>
    <t>Guangxi Minzu University; Guangxi Minzu University; Yunnan University</t>
  </si>
  <si>
    <t>Jiang, MG (corresponding author), Guangxi Univ Nationalities, Sch Marine Sci &amp; Biotechnol, Guangxi Key Lab Polysaccharide Mat &amp; Modificat, Nanning 530008, Peoples R China.;Jiang, Y (corresponding author), Yunnan Univ, Yunnan Inst Microbiol, Kunming 650091, Yunnan, Peoples R China.</t>
  </si>
  <si>
    <t>mzxyjiang@163.com; jiangyi@ynu.edu.cn</t>
  </si>
  <si>
    <t>jiang, mingguo/AAM-9291-2021; Wang, Fang/H-7888-2018</t>
  </si>
  <si>
    <t>jiang, mingguo/0000-0003-2279-5740; Wang, Fang/0000-0001-5608-6649; Cai, Hanqin/0000-0002-3064-614X</t>
  </si>
  <si>
    <t>National Natural Science Foundation of China [31660005, 81960164, 32060001]; Science and Technology Major Project of Guangxi [AA18242026]; Specific Research Project of Guangxi for research bases and talents [AD18281066]</t>
  </si>
  <si>
    <t>National Natural Science Foundation of China(National Natural Science Foundation of China (NSFC)); Science and Technology Major Project of Guangxi; Specific Research Project of Guangxi for research bases and talents</t>
  </si>
  <si>
    <t>This study was supported by the National Natural Science Foundation of China (31660005) , the Science and Technology Major Project of Guangxi (AA18242026) , the Specific Research Project of Guangxi for research bases and talents (AD18281066) , the National Natural Science Founda-tion of China (81960164) and the National Natural Science Foundation of China (32060001) .</t>
  </si>
  <si>
    <t>MICROBIOLOGY SOC</t>
  </si>
  <si>
    <t>14-16 MEREDITH ST, LONDON, ENGLAND</t>
  </si>
  <si>
    <t>1466-5026</t>
  </si>
  <si>
    <t>1466-5034</t>
  </si>
  <si>
    <t>INT J SYST EVOL MICR</t>
  </si>
  <si>
    <t>Int. J. Syst. Evol. Microbiol.</t>
  </si>
  <si>
    <t>10.1099/ijsem.0.004829</t>
  </si>
  <si>
    <t>UD3RN</t>
  </si>
  <si>
    <t>WOS:000687127500002</t>
  </si>
  <si>
    <t>Dodino, S; Lois, NA; Riccialdelli, L; Polito, MJ; Pütz, K; Rey, AR</t>
  </si>
  <si>
    <t>Dodino, Samanta; Lois, Nicolas A.; Riccialdelli, Luciana; Polito, Michael J.; Puetz, Klemens; Rey, Andrea Raya</t>
  </si>
  <si>
    <t>Sex-specific spatial use of the winter foraging areas by Magellanic penguins and assessment of potential conflicts with fisheries during winter dispersal</t>
  </si>
  <si>
    <t>PLOS ONE</t>
  </si>
  <si>
    <t>GOLFO SAN-JORGE; SPHENISCUS-MAGELLANICUS; TRAWL FISHERIES; SEABIRD MORTALITY; DIET COMPOSITION; BY-CATCH; FISH; MITIGATION; MIGRATION; PATAGONIA</t>
  </si>
  <si>
    <t>Magellanic penguins (Spheniscus magellanicus) disperse widely during winter and are a major consumer of marine resources over the Patagonian Shelf. Magellanic penguins were equipped with geolocators at Martillo Island in late February- early March 2017 and recaptured at the beginning of the next breeding season to recover the devices and to collect blood samples for stable carbon (delta C-13) and nitrogen (delta N-15) isotope analysis. We evaluated their whole winter dispersal and their trophic niche by sex during the last month of the winter dispersal. Also, we evaluated their spatial overlap with bottom trawl and shrimp fisheries using data from satellite fisheries monitoring. Penguins dispersed northwards up to 42 degrees S and showed latitudinal spatial segregation between sexes during May to August (females were located further north than males). In contrast, during the last month of the winter dispersal females were located more southerly and showed lower trophic position than males. Also, females did not dive as deep as males during winter. We found high overlap between both fisheries and penguin's spatial use in regions with documented interaction. However, no sex-specific statistical differences with fisheries overlap were found. Our results highlight the importance of understanding the spatial domains of each sex and assessment of their potential conflicts with bottom trawl fishery and shrimp fishery during the winter period.</t>
  </si>
  <si>
    <t>[Dodino, Samanta; Lois, Nicolas A.; Riccialdelli, Luciana; Rey, Andrea Raya] Consejo Nacl Invest Cient &amp; Tecn, Ctr Austral Invest Cient, Ecol &amp; Conservac Vida Silvestre, Ushuaia, Tierra Fuego, Argentina; [Lois, Nicolas A.] Consejo Nacl Invest Cient &amp; Tecn, Inst Ecol Genet &amp; Evoluc Buenos Aires, Buenos Aires, DF, Argentina; [Lois, Nicolas A.] Univ Buenos Aires, Fac Ciencias Exactas &amp; Nat, Dept Ecol Genet &amp; Evoluc, Buenos Aires, DF, Argentina; [Polito, Michael J.] Louisiana State Univ, Dept Oceanog &amp; Coastal Sci, Baton Rouge, LA 70803 USA; [Puetz, Klemens] Antarctic Res Trust, Bremervorde, Germany; [Rey, Andrea Raya] Univ Nacl Tierra Fuego, Inst Ciencias Polares Ambiente &amp; Recursos Nat, Ushuaia, Argentina; [Rey, Andrea Raya] Wildlife Conservat Soc, Buenos Aires, DF, Argentina</t>
  </si>
  <si>
    <t>Consejo Nacional de Investigaciones Cientificas y Tecnicas (CONICET); Consejo Nacional de Investigaciones Cientificas y Tecnicas (CONICET); University of Buenos Aires; Louisiana State University System; Louisiana State University</t>
  </si>
  <si>
    <t>Dodino, S (corresponding author), Consejo Nacl Invest Cient &amp; Tecn, Ctr Austral Invest Cient, Ecol &amp; Conservac Vida Silvestre, Ushuaia, Tierra Fuego, Argentina.</t>
  </si>
  <si>
    <t>sami.dodino@gmail.com</t>
  </si>
  <si>
    <t>Polito, Michael/G-9118-2012; Dodino, Samanta/HHS-1916-2022</t>
  </si>
  <si>
    <t>Polito, Michael/0000-0001-8639-4431; Dodino, Samanta/0000-0002-5091-6063; Lois, Nicolas A./0000-0001-5664-0486</t>
  </si>
  <si>
    <t>Agencia Nacional de Promocion Cientifica y Tecnologica [PICT 2012-1832, PICT 2014-1870]; Wildlife Conservation Society; Consejo Nacional de Investigaciones Cientificas y Tecnicas (CONICET); Antarctic Research Trust</t>
  </si>
  <si>
    <t>Agencia Nacional de Promocion Cientifica y Tecnologica(ANPCyTSpanish Government); Wildlife Conservation Society; Consejo Nacional de Investigaciones Cientificas y Tecnicas (CONICET)(Consejo Nacional de Investigaciones Cientificas y Tecnicas (CONICET)); Antarctic Research Trust</t>
  </si>
  <si>
    <t>This study was financially supported by the Agencia Nacional de Promocion Cientifica y Tecnologica (PICT 2012-1832, PICT 2014-1870), Wildlife Conservation Society, Consejo Nacional de Investigaciones Cientificas y Tecnicas (CONICET) and the Antarctic Research Trust.</t>
  </si>
  <si>
    <t>PUBLIC LIBRARY SCIENCE</t>
  </si>
  <si>
    <t>SAN FRANCISCO</t>
  </si>
  <si>
    <t>1160 BATTERY STREET, STE 100, SAN FRANCISCO, CA 94111 USA</t>
  </si>
  <si>
    <t>1932-6203</t>
  </si>
  <si>
    <t>PLoS One</t>
  </si>
  <si>
    <t>e0256339</t>
  </si>
  <si>
    <t>10.1371/journal.pone.0256339</t>
  </si>
  <si>
    <t>UC9GQ</t>
  </si>
  <si>
    <t>WOS:000686828600044</t>
  </si>
  <si>
    <t>Abarr, Q; Awaki, H; Baring, MG; Bose, R; Braun, D; De Geronimo, G; Dowkontt, P; Elliot, J; Enoto, T; Errando, M; Fukazawa, Y; Furuzawa, A; Gadson, T; Gau, E; Guarino, V; Gunji, S; Hall, K; Harmon, K; Hattori, K; Hayashida, K; Heatwole, S; Hossen, A; Imazato, F; Ishibashi, K; Ishida, M; Iyer, NK; Kislat, F; Kiss, M; Kitaguchi, T; Kotsifakis, DP; Krawczynski, H; Lanzi, J; Lisalda, L; Maeda, Y; Matake, H; Matsumoto, H; Mineta, T; Miyazawa, T; Mizuno, T; Nakaniwa, N; Okajima, T; Pastrani, I; Pearce, M; Peterson, Z; Purdy, C; Rauch, B; Ryde, F; Saito, Y; Shreeves, C; Simburger, G; Snow, C; Spooner, S; Stana, TA; Stuchlik, D; Takahashi, H; Takeda, T; Takeo, M; Tamagawa, T; Tamura, K; Tsunemi, H; Uchida, N; Uchida, Y; Uchiyama, K; Vincent, B; West, A; Wulf, E; Yamamoto, R; Yoshida, Y</t>
  </si>
  <si>
    <t>DenHerder, JWA; Nikzad, S; Nakazawa, K</t>
  </si>
  <si>
    <t>Abarr, Quincy; Awaki, Hisamitsu; Baring, Matthew G.; Bose, Richard; Braun, Dana; De Geronimo, Gianluigi; Dowkontt, Paul; Elliot, John; Enoto, Teruaki; Errando, Manel; Fukazawa, Yasushi; Furuzawa, Akihiro; Gadson, Thomas; Gau, Ephraim; Guarino, Victor; Gunji, Shuichi; Hall, Kenny; Harmon, Keon; Hattori, Kengo; Hayashida, Kiyoshi; Heatwole, Scott; Hossen, Arman; Imazato, Fumiya; Ishibashi, Kazunori; Ishida, Manabu; Iyer, Nirmal Kumar; Kislat, Fabian; Kiss, Mozsi; Kitaguchi, Takao; Kotsifakis, David P.; Krawczynski, Henric; Lanzi, James; Lisalda, Lindsey; Maeda, Yoshitomo; Matake, Hiroto; Matsumoto, Hironori; Mineta, Taisei; Miyazawa, Takuya; Mizuno, Tsunefumi; Nakaniwa, Nozomi; Okajima, Takashi; Pastrani, Izabella; Pearce, Mark; Peterson, Zachary; Purdy, Chris; Rauch, Brian; Ryde, Felix; Saito, Yoshitaka; Shreeves, Chris; Simburger, Garry; Snow, Carl; Spooner, Sean; Stana, Theodor-Adrian; Stuchlik, David; Takahashi, Hiromitsu; Takeda, Tomoshi; Takeo, Mai; Tamagawa, Toru; Tamura, Keisuke; Tsunemi, Hiroshi; Uchida, Nagomi; Uchida, Yuusuke; Uchiyama, Keisuke; Vincent, Brett; West, Andrew; Wulf, Eric; Yamamoto, Ryuya; Yoshida, Yuto</t>
  </si>
  <si>
    <t>XL-Calibur, the Next-Generation Balloon-Borne Hard X-ray Polarimeter</t>
  </si>
  <si>
    <t>SPACE TELESCOPES AND INSTRUMENTATION 2020: ULTRAVIOLET TO GAMMA RAY</t>
  </si>
  <si>
    <t>Conference on Space Telescopes and Instrumentation - Ultraviolet to Gamma Ray / SPIE Astronomical Telescopes + Instrumentation Conference</t>
  </si>
  <si>
    <t>DEC 14-18, 2020</t>
  </si>
  <si>
    <t>X-ray light source; X-ray generator; X-ray beamline</t>
  </si>
  <si>
    <t>This paper introduces a second-generation balloon-borne hard X-ray polarimetry mission, XL-Calibur.(1) The XL-Calibur will follow up on the X-Calibur mission which was flown from Dec. 29, 2018 for a 2.5 days balloon flight from McMurdo (the Antarctic). X-ray polarimetry promises to give qualitatively new information about high-energy astrophysical sources, such as pulsars and binary black hole systems. The XL-Calibur contains a grazing incidence X-ray telescope with a focal plane detector unit that is sensitive to linear polarization. The telescope is very similar in design to the ASTRO-H HXT telescopes that has the world's largest effective area above 10 keV. XL-Calibur will use the same type of mirror. The detector unit combines a low atomic number Compton scatterer with a CdZnTe detector assembly to measure the polarization making use of the fact that polarized photons Compton scatter preferentially perpendicular to the electric field orientation. It also contains a CdZnTe imager at the bottom. The detector assembly is surrounded by a BGO anticoincidence shield. The pointing system with arcsecond accuracy will be achieved by the WASP (Wallops Arc Second Pointer) from NASA's Wallops Flight Facility. A first flight of the XL-Calibur is currently foreseen for 2022, flying from Sweden.</t>
  </si>
  <si>
    <t>[Abarr, Quincy; Bose, Richard; Braun, Dana; Dowkontt, Paul; Errando, Manel; Gau, Ephraim; Hossen, Arman; Krawczynski, Henric; Lisalda, Lindsey; Pastrani, Izabella; Rauch, Brian; Simburger, Garry; West, Andrew] Washington Univ, 1 Brookings Dr,CB 1105, St Louis, MO 63130 USA; [Awaki, Hisamitsu] Ehime Univ, Grad Sch Sci &amp; Engn, Bunkyo Cho, Matsuyama, Ehime, Japan; [Baring, Matthew G.] Rice Univ, Dept Phys &amp; Astron, 6100 Main St, Houston, TX 77251 USA; [De Geronimo, Gianluigi] DG CIRCUITS, 30 Pine Rd, Syosset, NY 11791 USA; [Elliot, John; Gadson, Thomas; Hall, Kenny; Harmon, Keon; Heatwole, Scott; Kotsifakis, David P.; Lanzi, James; Peterson, Zachary; Purdy, Chris; Shreeves, Chris; Snow, Carl; Stuchlik, David; Vincent, Brett] NASA, Wallops Flight Facil, Wallops Isl, VA 23337 USA; [Enoto, Teruaki] RIKEN, Extreme Nat Phenomena, Hakubi Res Team, Cluster Pioneering Res, 2-1 Hirosawa, Wako, Saitama 3510198, Japan; [Fukazawa, Yasushi; Imazato, Fumiya; Matake, Hiroto; Mizuno, Tsunefumi; Takahashi, Hiromitsu; Uchida, Nagomi; Uchida, Yuusuke; Yamamoto, Ryuya] Hiroshima Univ, 1-3-1 Kagamiyama, Higashihiroshima, Hiroshima 7398526, Japan; [Furuzawa, Akihiro] Fujita Hlth Univ, Sch Med, Toyoake, Aichi, Japan; [Guarino, Victor] Guarino Engn Serv, 1134 S Scoville Ave, Oak Pk, IL 60304 USA; [Gunji, Shuichi] Yamagata Univ, Dept Phys, Yamagata 9908560, Japan; [Hattori, Kengo; Hayashida, Kiyoshi; Matsumoto, Hironori; Mineta, Taisei; Tsunemi, Hiroshi] Osaka Univ, Grad Sch, Dept Earth &amp; Space Sci, 1-1 Machikaneyama Cho, Toyonaka, Osaka 5600043, Japan; [Hattori, Kengo; Hayashida, Kiyoshi; Matsumoto, Hironori; Mineta, Taisei; Tsunemi, Hiroshi] Project Res Ctr Fundamental Sci, 1-1 Machikaneyama Cho, Toyonaka, Osaka 5600043, Japan; [Ishibashi, Kazunori] Nagoya Univ, Grad Sch Sci, Nagoya, Aichi 4648602, Japan; [Hayashida, Kiyoshi; Ishida, Manabu; Maeda, Yoshitomo; Saito, Yoshitaka] ISAS, 3-1-1 Yoshinodai, Sagamihara, Kanagawa 2298510, Japan; [Iyer, Nirmal Kumar; Kiss, Mozsi; Pearce, Mark; Ryde, Felix; Stana, Theodor-Adrian] KTH Royal Inst Technol, Dept Phys, S-10691 Stockholm, Sweden; [Iyer, Nirmal Kumar; Kiss, Mozsi; Pearce, Mark; Ryde, Felix; Stana, Theodor-Adrian] AlbaNova Univ Ctr, Oskar Klein Ctr Cosmoparticle Phys, S-10691 Stockholm, Sweden; [Kislat, Fabian; Spooner, Sean] Univ New Hampshire, Dept Phys &amp; Astron, Morse Hall,8 Coll Rd, Durham, NH 03824 USA; [Kislat, Fabian; Spooner, Sean] Ctr Space Sci, Morse Hall,8 Coll Rd, Durham, NH 03824 USA; [Kitaguchi, Takao; Tamagawa, Toru] RIKEN, Cluster Pioneering Res, 2-1 Hirosawa, Wako, Saitama 3510198, Japan; [Kitaguchi, Takao] RIKEN, Nishina Ctr, 2-1 Hirosawa, Wako, Saitama 3510198, Japan; [Miyazawa, Takuya] Okinawa Inst Sci &amp; Technol Grad Univ, Onna, Japan; [Nakaniwa, Nozomi; Tamura, Keisuke] NASA, Goddard Space Flight Ctr, Code 916, Greenbelt, MD 20771 USA; [Okajima, Takashi; Takeo, Mai] Tokyo Metropolitan Univ, 1-1 Minami Osawa, Hachioji, Tokyo 1920397, Japan; [Takeda, Tomoshi; Uchiyama, Keisuke; Yoshida, Yuto] Tokyo Univ Sci, Dept Phys, Chiba 2788510, Japan; [Wulf, Eric] US Naval Res Lab, 4555 Overlook Ave SW, Washington, DC 20375 USA</t>
  </si>
  <si>
    <t>Washington University (WUSTL); Ehime University; Rice University; National Aeronautics &amp; Space Administration (NASA); NASA Goddard Space Flight Center; Wallops Flight Facility; RIKEN; Hiroshima University; Fujita Health University; Yamagata University; Osaka University; Nagoya University; Japan Aerospace Exploration Agency (JAXA); Institute of Space &amp; Astronautical Science (ISAS); Royal Institute of Technology; Oskar Klein Centre; University System Of New Hampshire; University of New Hampshire; RIKEN; RIKEN; Okinawa Institute of Science &amp; Technology Graduate University; National Aeronautics &amp; Space Administration (NASA); NASA Goddard Space Flight Center; Tokyo Metropolitan University; Tokyo University of Science; United States Department of Defense; United States Navy; Naval Research Laboratory</t>
  </si>
  <si>
    <t>Maeda, Y (corresponding author), ISAS, 3-1-1 Yoshinodai, Sagamihara, Kanagawa 2298510, Japan.</t>
  </si>
  <si>
    <t>ymaeda@astro.isas.jaxa.jp</t>
  </si>
  <si>
    <t>Saito, Yoshitaka/GRY-4997-2022; Takahashi, Hiromitsu H/T-2713-2017; Enoto, Teruaki/GQH-0674-2022</t>
  </si>
  <si>
    <t>Saito, Yoshitaka/0000-0003-0944-8963; Enoto, Teruaki/0000-0003-1244-3100; Uchida, Yuusuke/0000-0002-7962-4136; Lisalda, Lindsey/0000-0002-5202-1642; , Jelly Grace/0000-0002-4301-1821</t>
  </si>
  <si>
    <t>NASA APRA program [80NSSC18K0264]; McDonnell Center for the Space Sciences at Washington University in St. Louis; NASA [80NSSC18K0264, NNX16AC42G, 2014B1092, 2016A1035, 2019B1221, 2020A1298, 2020A0746]; JSPS KAKENHI [18K18767, 19H00696, 19H01908, 19H05609, 19K21886, 20H00176]; Mitsubishi Foundation Research Grants in the Natural Sciences [201910033]; JAXA/ISAS Science Program; Swedish National Space Agency [199/18]; Swedish Research Council [2016-04929]; Grants-in-Aid for Scientific Research [18K18767, 20H00175, 20H00176, 19H00696, 19K21886, 19H05609, 19H01908] Funding Source: KAKEN; Swedish Research Council [2016-04929] Funding Source: Swedish Research Council</t>
  </si>
  <si>
    <t>NASA APRA program; McDonnell Center for the Space Sciences at Washington University in St. Louis; NASA(National Aeronautics &amp; Space Administration (NASA)); JSPS KAKENHI(Ministry of Education, Culture, Sports, Science and Technology, Japan (MEXT)Japan Society for the Promotion of ScienceGrants-in-Aid for Scientific Research (KAKENHI)); Mitsubishi Foundation Research Grants in the Natural Sciences; JAXA/ISAS Science Program; Swedish National Space Agency(Swedish National Space Agency (SNSA)); Swedish Research Council(Swedish Research Council); Grants-in-Aid for Scientific Research(Ministry of Education, Culture, Sports, Science and Technology, Japan (MEXT)Japan Society for the Promotion of ScienceGrants-in-Aid for Scientific Research (KAKENHI)); Swedish Research Council(Swedish Research Council)</t>
  </si>
  <si>
    <t>XL-Calibur is funded by the NASA APRA program under contract number 80NSSC18K0264. We thank the McDonnell Center for the Space Sciences at Washington University in St. Louis for funding of an early polarimeter prototype, as well as for funds for the development of the ASIC readout. HK acknowledges NASA support under grants 80NSSC18K0264 and NNX16AC42G. The X-ray measurements of the mirror were performed at BL20B2 at SPring-8 with the approval of the Japan Synchrotron Radiation Research Institute (JASRI) (proposal numbers 2014B1092, 2015A1274, 2016A1035, 2019B1221, 2020A1298, and 2020A0746). Support from JSPS KAKENHI (grant numbers 18K18767, 19H00696, 19H01908, 19H05609, 19K21886, and 20H00176) and the Mitsubishi Foundation Research Grants in the Natural Sciences 201910033 is acknowledged. JPN authors acknowledge support from JAXA/ISAS Science Program. KTH authors acknowledge support from the Swedish National Space Agency (grant number 199/18). MP also acknowledges support from the Swedish Research Council (grant number 2016-04929). The design and productions of the mirror parts such as the alignment bars of the mirrors are contributed by the engineers at ISAS/JAXA, Hiroshima University and Nagoya University.</t>
  </si>
  <si>
    <t>978-1-5106-3676-7</t>
  </si>
  <si>
    <t>114442X</t>
  </si>
  <si>
    <t>10.1117/12.2560319</t>
  </si>
  <si>
    <t>Astronomy &amp; Astrophysics; Instruments &amp; Instrumentation; Optics</t>
  </si>
  <si>
    <t>BR8ZA</t>
  </si>
  <si>
    <t>WOS:000674737700046</t>
  </si>
  <si>
    <t>Krause, DJ; Hinke, JT</t>
  </si>
  <si>
    <t>Krause, Douglas J.; Hinke, Jefferson T.</t>
  </si>
  <si>
    <t>Finally Within Reach: A Drone Census of an Important, But Practically Inaccessible, Antarctic Fur Seal Colony</t>
  </si>
  <si>
    <t>AQUATIC MAMMALS</t>
  </si>
  <si>
    <t>EUMETOPIAS-JUBATUS; ABUNDANCE; LION; PHOTOGRAMMETRY; CALIFORNIANUS; VARIABILITY; HEXACOPTER; CLIMATE; SYSTEMS; WHALES</t>
  </si>
  <si>
    <t>[Krause, Douglas J.; Hinke, Jefferson T.] NOAA Fisheries, Antarctic Ecosyst Res Div, Southwest Fisheries Sci Ctr, 8901 La Jolla Shores Dr, La Jolla, CA 92037 USA</t>
  </si>
  <si>
    <t>National Oceanic Atmospheric Admin (NOAA) - USA</t>
  </si>
  <si>
    <t>Krause, DJ (corresponding author), NOAA Fisheries, Antarctic Ecosyst Res Div, Southwest Fisheries Sci Ctr, 8901 La Jolla Shores Dr, La Jolla, CA 92037 USA.</t>
  </si>
  <si>
    <t>douglas.krause@noaa.gov</t>
  </si>
  <si>
    <t>NOAA Office of Oceanic and Atmospheric Research, UAS Program Office - Office of Marine and Aviation Operations; Office of Protected Resources/National Marine Fisheries Service [20599]</t>
  </si>
  <si>
    <t>NOAA Office of Oceanic and Atmospheric Research, UAS Program Office - Office of Marine and Aviation Operations; Office of Protected Resources/National Marine Fisheries Service</t>
  </si>
  <si>
    <t>This short note was improved by editorial suggestions from G. Watters and two anonymous reviewers. The financial, infrastructure, and logistical support of the U.S. AMLR Program and a grant from the NOAA Office of Oceanic and Atmospheric Research, UAS Program Office, funded by the Office of Marine and Aviation Operations, made this work possible. We are grateful to A. Fox, A. Currylow, S. Walden, and L. Brazier for field data collection, and to M. Goebel and W. Perryman for administrative and planning support. Thank you to J. Stocker for creating Figure 2, and to D. LeRoi (Aerial Imaging Solutions, LLC) for vital and excellent technical support. All flight operations and surveys were conducted in accordance with Marine Mammal Protection Act Permit No. 20599 granted by the Office of Protected Resources/National Marine Fisheries Service, the Antarctic Conservation Act Permit No. 2017-012, NMFS-SWFSC Institutional Animal Care and Use Committee Permit No. SWPI 2014-03R, and all domestic and international flight regulations.</t>
  </si>
  <si>
    <t>EUROPEAN ASSOC AQUATIC MAMMALS</t>
  </si>
  <si>
    <t>MOLINE</t>
  </si>
  <si>
    <t>C/O DR JEANETTE THOMAS, BIOLOGICAL SCIENCES, WESTERN ILLIONIS UNIV-QUAD CITIES, 3561 60TH STREET, MOLINE, IL 61265 USA</t>
  </si>
  <si>
    <t>0167-5427</t>
  </si>
  <si>
    <t>AQUAT MAMM</t>
  </si>
  <si>
    <t>Aquat. Mamm.</t>
  </si>
  <si>
    <t>10.1578/AM.47.4.2021.349</t>
  </si>
  <si>
    <t>TH9OS</t>
  </si>
  <si>
    <t>WOS:000672413000004</t>
  </si>
  <si>
    <t>Stepanov, AB; Bogoslovskii, IA; Gribanov, VS; Kopylov, AE; Pomogalova, AV</t>
  </si>
  <si>
    <t>Stepanov, Andrey B.; Bogoslovskii, Ivan A.; Gribanov, Valerii S.; Kopylov, Aleksei E.; Pomogalova, Albina, V</t>
  </si>
  <si>
    <t>Portable Device for Time-Frequency Analysis of Signals in Extremely Low Temperatures of the Arctic and Antarctic</t>
  </si>
  <si>
    <t>PROCEEDINGS OF THE 2021 IEEE CONFERENCE OF RUSSIAN YOUNG RESEARCHERS IN ELECTRICAL AND ELECTRONIC ENGINEERING (ELCONRUS)</t>
  </si>
  <si>
    <t>IEEE NW Russia Young Researchers in Electrical and Electronic Engineering Conference</t>
  </si>
  <si>
    <t>IEEE Conference of Russian Young Researchers in Electrical and Electronic Engineering (ElConRus)</t>
  </si>
  <si>
    <t>JAN 26-28, 2021</t>
  </si>
  <si>
    <t>Saint Petersburg Electrotechn Univ, RUSSIA</t>
  </si>
  <si>
    <t>Saint Petersburg Electrotechn Univ</t>
  </si>
  <si>
    <t>time-frequency analysis; biomedical signal; seismic signal; Arctic; Antarctic; microcontroller; Milandr</t>
  </si>
  <si>
    <t>The paper focuses on the development of a portable device for time-frequency analysis of signals in extremely low temperatures of the Arctic and Antarctic. In its realization, the microcontroller 1986BE91T of Russian manufacture Milandr was used. The choice of the microcontroller was based on the requirements of the element base to ensure the operation of the microcontroller at the temperature down to -60 degrees Celsius. The device is operated at the temperature below -60 degrees Celsius by means of a protective thermocase with an independent heating element. The operational capacity of the device was verified in the climatic chamber at the temperature and pressure appropriate to the conditions at the station Vostok. The device is intended for time-frequency analysis of seismic signals and can also be used for analysis of biomedical signals.</t>
  </si>
  <si>
    <t>[Stepanov, Andrey B.; Bogoslovskii, Ivan A.; Gribanov, Valerii S.; Kopylov, Aleksei E.; Pomogalova, Albina, V] Bonch Bruevich St Petersburg State Univ Telecommu, St Petersburg, Russia</t>
  </si>
  <si>
    <t>Bonch-Bruevich St. Petersburg State University of Telecommunications</t>
  </si>
  <si>
    <t>Stepanov, AB (corresponding author), Bonch Bruevich St Petersburg State Univ Telecommu, St Petersburg, Russia.</t>
  </si>
  <si>
    <t>sabarticle@yandex.ru</t>
  </si>
  <si>
    <t>Pomogalova, Albina Vladimirovna/AAC-9637-2022</t>
  </si>
  <si>
    <t>Pomogalova, Albina Vladimirovna/0000-0001-8129-989X; Stepanov, Andrey/0000-0001-6876-729X</t>
  </si>
  <si>
    <t>2376-6557</t>
  </si>
  <si>
    <t>978-1-6654-0476-1</t>
  </si>
  <si>
    <t>IEEE NW RUSS YOUNG</t>
  </si>
  <si>
    <t>10.1109/ElConRus51938.2021.9396398</t>
  </si>
  <si>
    <t>BR7SJ</t>
  </si>
  <si>
    <t>WOS:000669709801162</t>
  </si>
  <si>
    <t>Turner, S</t>
  </si>
  <si>
    <t>Burek, CV; Higgs, BM</t>
  </si>
  <si>
    <t>Turner, Susan</t>
  </si>
  <si>
    <t>Far-flung female (and fossil bone hunting) Fellows: an autoethnographical approach</t>
  </si>
  <si>
    <t>CELEBRATING 100 YEARS OF FEMALE FELLOWSHIP OF THE GEOLOGICAL SOCIETY: DISCOVERING FORGOTTEN HISTORIES</t>
  </si>
  <si>
    <t>Geological Society Special Publication</t>
  </si>
  <si>
    <t>WOMEN; GEOLOGY</t>
  </si>
  <si>
    <t>Geologists roam worldwide; no less for women who took up fellowship of the 'Geol. Soc.'. Since 1919, women Fellows of the Geological Society have lived and worked across the globe conducting fieldwork and research. Based on the author's interests and in part considering her 50 years an FGS, a selection of women Fellows is considered, many of whom affected her geological life, such as Phoebe Walder and Peigi Wallace. This autoethnographical approach encompasses women from the colonies who joined as soon as they were able; the legendary Dorothy Hill of Queensland was one of the first, with other notable Australians being Nell Ludbrook and June Phillips Ross. Others worked across the former Gondwana, such as Pamela Robinson, who pioneered much research in vertebrate palaeontology on the Indian subcontinent. Important British geologists and vertebrate palaeontologists include Dorothea Bate, Sonia Cole, Elinor Gardner and Eileen Hendriks, who wrote key geological texts in the earlier twentieth century. More contemporary women did work for UNESCO, the International Union of Geological Sciences and in the oil industry. During the later twentieth and early twenty-first centuries, female Fellows have worked across the world in greater numbers in all aspects of geoscience, from the Arctic to the Antarctic.</t>
  </si>
  <si>
    <t>[Turner, Susan] Queensland Museum, Geosci, 122 Gerler Rd, Hendra, Qld 2011, Australia</t>
  </si>
  <si>
    <t>Queensland Museum</t>
  </si>
  <si>
    <t>Turner, S (corresponding author), Queensland Museum, Geosci, 122 Gerler Rd, Hendra, Qld 2011, Australia.</t>
  </si>
  <si>
    <t>paleodeadfish@yahoo.com</t>
  </si>
  <si>
    <t>Turner, Susan/0000-0003-2308-158X</t>
  </si>
  <si>
    <t>0305-8719</t>
  </si>
  <si>
    <t>GEOL SOC SPEC PUBL</t>
  </si>
  <si>
    <t>Geol. Soc. Spec. Publ.</t>
  </si>
  <si>
    <t>10.1144/SP506-2019-225</t>
  </si>
  <si>
    <t>10.1144/SP506</t>
  </si>
  <si>
    <t>Geology; History &amp; Philosophy Of Science; Women's Studies</t>
  </si>
  <si>
    <t>Book Citation Index – Social Sciences &amp; Humanities (BKCI-SSH); Book Citation Index – Science (BKCI-S)</t>
  </si>
  <si>
    <t>Geology; History &amp; Philosophy of Science; Women's Studies</t>
  </si>
  <si>
    <t>BR8XO</t>
  </si>
  <si>
    <t>WOS:000674577800020</t>
  </si>
  <si>
    <t>Toccafondi, A; Puggelli, F; Albani, M; Montomoli, F; Brogioni, M; Macelloni, G</t>
  </si>
  <si>
    <t>Toccafondi, A.; Puggelli, F.; Albani, M.; Montomoli, F.; Brogioni, M.; Macelloni, G.</t>
  </si>
  <si>
    <t>UHF Propagation Measurements Through the Antarctic Firn at Concordia Station</t>
  </si>
  <si>
    <t>2021 15TH EUROPEAN CONFERENCE ON ANTENNAS AND PROPAGATION (EUCAP)</t>
  </si>
  <si>
    <t>Proceedings of the European Conference on Antennas and Propagation</t>
  </si>
  <si>
    <t>15th European Conference on Antennas and Propagation (EuCAP)</t>
  </si>
  <si>
    <t>MAR 22-26, 2021</t>
  </si>
  <si>
    <t>In this paper we present and discuss the first series of results obtained during a propagation measurement campaign carried out at the French-Italian Concordia research station during last (2019/2020) summer campaign in Antarctica. Specific instrumentation has been designed and assembled, essentially consisting of a transmitting unit and a receiving one, to be let down into two boreholes in the firn. Preliminary measurement results are presented and discussed.</t>
  </si>
  <si>
    <t>[Toccafondi, A.; Puggelli, F.; Albani, M.] Univ Siena, Dept Informat Engn &amp; Math, Siena, Italy; [Montomoli, F.; Brogioni, M.; Macelloni, G.] Natl Res Council CNR, IFAC, Florence, Italy</t>
  </si>
  <si>
    <t>University of Siena; Consiglio Nazionale delle Ricerche (CNR); Istituto di Fisica Applicata Nello Carrara (IFAC-CNR)</t>
  </si>
  <si>
    <t>Toccafondi, A (corresponding author), Univ Siena, Dept Informat Engn &amp; Math, Siena, Italy.</t>
  </si>
  <si>
    <t>albertot@dii.unisi.it; f.montmoli@ifac.cnr.it</t>
  </si>
  <si>
    <t>albani, matteo/H-4461-2017; Macelloni, Giovanni/B-7518-2015</t>
  </si>
  <si>
    <t>albani, matteo/0000-0003-0046-9186; TOCCAFONDI, Alberto/0000-0001-7492-9902; MACELLONI, GIOVANNI/0000-0002-9738-7939</t>
  </si>
  <si>
    <t>Italian National Antarctic Program [PNRA 2016/AC3.05]</t>
  </si>
  <si>
    <t>Italian National Antarctic Program</t>
  </si>
  <si>
    <t>This research was supported by the 2016 Italian National Antarctic Program under the project PNRA 2016/AC3.05.</t>
  </si>
  <si>
    <t>2164-3342</t>
  </si>
  <si>
    <t>978-88-31299-02-2</t>
  </si>
  <si>
    <t>PROC EUR CONF ANTENN</t>
  </si>
  <si>
    <t>Engineering, Electrical &amp; Electronic; Telecommunications</t>
  </si>
  <si>
    <t>Engineering; Telecommunications</t>
  </si>
  <si>
    <t>BR8NZ</t>
  </si>
  <si>
    <t>WOS:000672699800340</t>
  </si>
  <si>
    <t>Thorne, MAS; Forgoston, E; Billings, L; Neutel, AM</t>
  </si>
  <si>
    <t>Thorne, Michael A. S.; Forgoston, Eric; Billings, Lora; Neutel, Anje-Margriet</t>
  </si>
  <si>
    <t>Matrix Scaling and Tipping Points</t>
  </si>
  <si>
    <t>ecology; food webs; stability; networks; feedback</t>
  </si>
  <si>
    <t>FOOD-WEB; INTERACTION STRENGTHS; STABILITY; COMPLEXITY; CONNECTANCE; SYSTEMS</t>
  </si>
  <si>
    <t>To assess which ecosystems are most vulnerable it is necessary to compare the resilience of complex interaction networks in a meaningful way. A fundamental problem for the comparative analysis of ecological stability is that the organisms in ecological networks operate on different time scales. A conventional solution to this problem has been to assume the intraspecific interaction strengths in the dynamical system (and diagonal elements in the community matrix) have the same value, ignoring the time scale differences, and therefore disregarding vital ecological information. In this paper, we consider two methods that have previously been developed to deal with community matrices arising from populations with widely different time scales and which contain differing self-regulation terms (diagonal entries). One approach considers the critical self-regulation in a system by proportionally adjusting the diagonal entries until the tipping point is found. The other is a scaling procedure that translates the intraspecific information on the diagonal on to the off-diagonal entries. We show the relation between the leading eigenvalue of the latter, and the numerical diagonal parameter of the former, which in many ecologically relevant networks is exact. In addition, we show for 3 x 3 scaled competitive systems how the feedback determines whether the leading eigenvalue is real-or complex-valued, which is important for knowing when the scaling procedure remains ecologically sensible. While arising from an ecological setting, this work has wider implications in network theory and linear algebra.</t>
  </si>
  <si>
    <t>[Thorne, Michael A. S.; Neutel, Anje-Margriet] British Antarctic Survey, Cambridge CB3 0ET, England; [Forgoston, Eric; Billings, Lora] Montclair State Univ, Dept Math Sci, Montclair, NJ 07043 USA</t>
  </si>
  <si>
    <t>UK Research &amp; Innovation (UKRI); Natural Environment Research Council (NERC); NERC British Antarctic Survey; Montclair State University</t>
  </si>
  <si>
    <t>Thorne, MAS (corresponding author), British Antarctic Survey, Cambridge CB3 0ET, England.</t>
  </si>
  <si>
    <t>mior@bas.ac.uk; eric.forgoston@montclair.edu; billingsl@montclair.edu; anjute@bas.ac.uk</t>
  </si>
  <si>
    <t>Thorne, Michael/0000-0001-7759-612X</t>
  </si>
  <si>
    <t>Natural Environment Research Council; National Science Foundation (NSF) [DMS-1853610, CNS-1625636]; NERC [bas0100036] Funding Source: UKRI</t>
  </si>
  <si>
    <t>Natural Environment Research Council(UK Research &amp; Innovation (UKRI)Natural Environment Research Council (NERC)); National Science Foundation (NSF)(National Science Foundation (NSF)National Research Foundation of Korea); NERC(UK Research &amp; Innovation (UKRI)Natural Environment Research Council (NERC))</t>
  </si>
  <si>
    <t>This work was supported by the Natural Environment Research Council and also National Science Foundation (NSF) awards DMS-1853610 and CNS-1625636.</t>
  </si>
  <si>
    <t>10.1137/20M1355483</t>
  </si>
  <si>
    <t>TK4PU</t>
  </si>
  <si>
    <t>WOS:000674143200017</t>
  </si>
  <si>
    <t>Skene, DM; Bennetts, LG</t>
  </si>
  <si>
    <t>Skene, David M.; Bennetts, Luke G.</t>
  </si>
  <si>
    <t>A TRANSITION-LOSS THEORY FOR WAVES REFLECTED AND TRANSMITTED BY AN OVERWASHED BODY</t>
  </si>
  <si>
    <t>free-surface potential flows for incompressible inviscid fluids; water waves; gravity waves; dispersion and scattering; nonlinear interaction; basic methods in fluid mechanics</t>
  </si>
  <si>
    <t>SEA-ICE FLOES; WATER; RESPONSES</t>
  </si>
  <si>
    <t>A transition-loss theory for waves reflected by an overwashed step and transmitted by an overwashed plate is presented. The theory is based on a conservation of energy technique to correct the transmission/reflection predicted by linear potential flow theory by taking into account the energy flux into the overwash and the mechanical energy dissipated by the formation of overwash. Wave energy dissipation is calculated by assuming that the transition from deep water to shallow water flow occurs over a sufficiently narrow domain such that it can be modeled as a discontinuity in the flow (akin to a hydraulic jump). Theoretical predictions are compared to CFD model data for the step problem and laboratory experimental measurements for the plate problem. Generally, excellent agreement is found for all cases tested, and the theory gives significant improvements compared to linear models that do not capture overwash effects and a theory that does not account for energy loss in the transition domain.</t>
  </si>
  <si>
    <t>[Skene, David M.] Univ Adelaide, Sch Mech Engn, Adelaide, SA 5005, Australia; [Bennetts, Luke G.] Univ Adelaide, Math Sci, Adelaide, SA 5005, Australia</t>
  </si>
  <si>
    <t>University of Adelaide; University of Adelaide</t>
  </si>
  <si>
    <t>Skene, DM (corresponding author), Univ Adelaide, Sch Mech Engn, Adelaide, SA 5005, Australia.</t>
  </si>
  <si>
    <t>david.skene@adelaide.edu.au; luke.bennetts@adelaide.edu.au</t>
  </si>
  <si>
    <t>Bennetts, Luke/F-1623-2010</t>
  </si>
  <si>
    <t>Bennetts, Luke/0000-0001-9386-7882</t>
  </si>
  <si>
    <t>Australian Antarctic Science Program [4528, 4123]; Australian Postgraduate Award; Australia-China Joint Research Centre of Offshore Wind and Wave Energy Harnessing; Australian Research Council [FT190100404, DP200102828]; Australian Research Council [DP200102828, FT190100404] Funding Source: Australian Research Council</t>
  </si>
  <si>
    <t>Australian Antarctic Science Program; Australian Postgraduate Award(Australian Government); Australia-China Joint Research Centre of Offshore Wind and Wave Energy Harnessing; Australian Research Council(Australian Research Council); Australian Research Council(Australian Research Council)</t>
  </si>
  <si>
    <t>This work was supported by the Australian Antarctic Science Program through grant 4123. The work of the first author was supported by an Australian Postgraduate Award and by the Australia-China Joint Research Centre of Offshore Wind and Wave Energy Harnessing. The work of the second author was supported by the Australian Research Council through grants FT190100404 and DP200102828 and by the Australian Antarctic Science Program through grant 4528.</t>
  </si>
  <si>
    <t>10.1137/20M1386979</t>
  </si>
  <si>
    <t>TK6LZ</t>
  </si>
  <si>
    <t>WOS:000674268900005</t>
  </si>
  <si>
    <t>Yan, YZ</t>
  </si>
  <si>
    <t>Yan, Yuzhen</t>
  </si>
  <si>
    <t>Recent advances in Quaternary paleoclimate research using Antarctic blue ice</t>
  </si>
  <si>
    <t>ice core; blue ice; Antarctica; Allan Hills; Taylor Glacier; greenhouse gases</t>
  </si>
  <si>
    <t>MIDDLE PLEISTOCENE TRANSITION; MAJOR GLACIATION CYCLES; ABRUPT CLIMATE-CHANGE; EPICA DOME-C; ALLAN HILLS; TAYLOR GLACIER; CARBON-CYCLE; ORIGIN; CORE; HISTORY</t>
  </si>
  <si>
    <t>Remarkable scientific discoveries have been made from the studies of ice cores drilled in polar ice sheets and mountain ice caps. These samples serve as the most accurate archives of the past atmospheric composition thus far. Two milestone achievements of ice cores include a continuous record of atmospheric greenhouse gas concentrations over the past eight glacial cycles (800 ka) and the discovery of abrupt climate change events on millennial timescale, both made possible by deep drilling in polar ice sheets. Yet, this conventional approach of deep drilling is faced with challenges from prohibitive logistical and operational cost and limited sample supply, particularly with greater depth. To address these challenges, shallow coring in blue ice areas has emerged as an appealing alternative. Two significant advances have been recently achieved from blue ice studies. Ice older than 800 ka from the Allan Hills Blue Ice Area was discovered and the trapped gases inside the ice allow, for the first time, for the direct observation of atmospheric carbon dioxide concentrations (pCO(2)) before 800 ka. The data show no long-term decline in atmospheric pCO(2), and consequently, the Mid-Pleistocene Transition is not the result of cooling resulting from a decreasing pCO(2). Moreover, large-volume samples retrieved by a large-diameter ice drill (Blue Ice Drill) in the Taylor Glacier Blue Ice Area allow for novel geochemical analyses such as the radiocarbon (C-14) content of methane (CH4). The C-14 of CH4 trapped in the Taylor Glacier ice suggests that old carbon reservoirs were not responsible for the deglacial rise of CH4 in the last glacial cycle. Another example of new geochemical methods enabled by the unprecedented sample availability offered by the blue ice areas is the elemental ratios of xenon, krypton, and nitrogen which are sensitive to the mean ocean temperature (MOT). Taylor Glacier ice samples dating back to the penultimate glacial period record 1.1 +/- 0.3 degrees C warmer-than-modern MOT values at 129 ka, near the end of the penultimate deglaciation. Despite these advances, several challenges and limits remain. First, to accurately establish a chronology for the blue ice samples requires methods of absolute dating, which have considerable uncertainties at present. A precise chronology can be established via timescale synchronization with existing deep ice cores only when the blue ice is younger than 800 ka. Second, the original deposition site of the blue ice field is not always known, complicating the interpretations of climate proxies that are sensitive to depositional environments such as the stable water isotopes of the ice. Third, glacial flows disrupt the chronology of the ice and could lead to the incomplete and biased preservation of climate signals. In light of these issues and shortcomings, stratigraphically continuous ice cores cannot be fully replaced by temporally discrete samples from the blue ice areas, although blue ice records hold the potentials to provide snapshots of the critical intervals of the Quaternary climate. Future progress in blue ice research may be made in three directions: (1) The prospecting of new blue ice fields and identification of blue ice areas containing the climate records of key understudied intervals; (2) numerical simulations of glacial dynamics to better the interpretation of blue ice records; and (3) the development of novel analytical techniques that reveal new climate information.</t>
  </si>
  <si>
    <t>[Yan, Yuzhen] Rice Univ, Dept Earth Environm &amp; Planetary Sci, Houston, TX 77004 USA</t>
  </si>
  <si>
    <t>Rice University</t>
  </si>
  <si>
    <t>Yan, YZ (corresponding author), Rice Univ, Dept Earth Environm &amp; Planetary Sci, Houston, TX 77004 USA.</t>
  </si>
  <si>
    <t>yuzhen.yan@rice.edu</t>
  </si>
  <si>
    <t>Yan, Yuzhen/ABA-9897-2021</t>
  </si>
  <si>
    <t>Yan, Yuzhen/0000-0002-2612-8542</t>
  </si>
  <si>
    <t>10.1360/TB-2020-1151</t>
  </si>
  <si>
    <t>TR2XR</t>
  </si>
  <si>
    <t>WOS:000678834200003</t>
  </si>
  <si>
    <t>Troshichev, OA; Sormakov, DA</t>
  </si>
  <si>
    <t>Troshichev, O. A.; Sormakov, D. A.</t>
  </si>
  <si>
    <t>Space Weather Monitoring on Ground-based Magnetic Observations (PC Index)</t>
  </si>
  <si>
    <t>RUSSIAN METEOROLOGY AND HYDROLOGY</t>
  </si>
  <si>
    <t>space weather; solar wind; magnetosphere; PC index</t>
  </si>
  <si>
    <t>FIELD-ALIGNED CURRENTS; POLAR-CAP; ENERGY</t>
  </si>
  <si>
    <t>Polar cap magnetic activity (PC index) is an indicator of solar wind energy that enters the magnetosphere (Resolutions of XXII IAGA Assembly, 2013). Usually, the PC index follows changes in the interplanetary electric field E-KL, that is estimated from measurement data on so lar wind parameters at the Lagrange point L1 (available at the OMNI website). However, during the period of magnetic field perturbations, the correspondence between E-KL and PC is often disturbed. To reveal the regularity of disturbances, the correlation was analyzed between the PC index and the computed field E-KL during magnetic substorms, which are considered as an independent indicator of the impact of perturbed solar wind on the magnetosphere. The independent analysis for the PCN and PCS indices demonstrated that the magnetic activity in the winter polar cap (PCwinter) provides statistically more correct results than the magnetic activity in the summer cap (PCsummer). The correlation between the PCwinter and the computed field E-KL (R &gt; 0.5) was observed for similar to 80% of the analyzed substorms. In the other cases (20%), the correlation was low or even negative, even though substorms were evidently associated with the PC index growth. So, in these cases, the computed field E-KL did not contact with the magnetosphere. Hence, the PC index allows verifying the real field E-KL affecting the magnetosphere and checking in such way whether the solar wind registered at the Lagrange point contacted with the magnetosphere (data from the OMNI website).</t>
  </si>
  <si>
    <t>[Troshichev, O. A.; Sormakov, D. A.] Arctic &amp; Antarctic Res Inst, Ul Beringa 38, St Petersburg 199397, Russia</t>
  </si>
  <si>
    <t>Troshichev, OA (corresponding author), Arctic &amp; Antarctic Res Inst, Ul Beringa 38, St Petersburg 199397, Russia.</t>
  </si>
  <si>
    <t>olegtro@aari.ru</t>
  </si>
  <si>
    <t>Sormakov, Dmitry A/K-1695-2014</t>
  </si>
  <si>
    <t>PLEIADES PUBLISHING INC</t>
  </si>
  <si>
    <t>PLEIADES HOUSE, 7 W 54 ST, NEW YORK, NY, UNITED STATES</t>
  </si>
  <si>
    <t>1068-3739</t>
  </si>
  <si>
    <t>1934-8096</t>
  </si>
  <si>
    <t>RUSS METEOROL HYDRO+</t>
  </si>
  <si>
    <t>Russ. Meteorol. Hydrol.</t>
  </si>
  <si>
    <t>10.3103/S1068373921030018</t>
  </si>
  <si>
    <t>TS0DZ</t>
  </si>
  <si>
    <t>WOS:000679328300001</t>
  </si>
  <si>
    <t>Nikolaev, AV</t>
  </si>
  <si>
    <t>Nikolaev, A. V.</t>
  </si>
  <si>
    <t>On the Need to Reparametrize the OVATION Prime (2010) Auroral Precipitation Model</t>
  </si>
  <si>
    <t>ionosphere; magnetosphere; particle precipitation; high-latitude ionosphere; auroral oval model; particle precipitation model; PC index; Newell's coupling function</t>
  </si>
  <si>
    <t>POLAR-CAP; ULTRAVIOLET IMAGER; STATISTICAL-MODEL; MAGNETIC ACTIVITY; ELECTROJET; INDEX; AE; PC; ENERGY; ION</t>
  </si>
  <si>
    <t>The need to reparametrize the OVATION Prime (2010) empirical auroral precipitation model using the Russian polar cap index ( PC index) is considered. For this purpose, the integrated auroral power of particle precipitation obtained from the Polar satellite data for the period from December 1996 to June 1998 is compared with the PC index and the Newell's coupling function. The analysis revealed that the PC index at the time delays up to 5-20 minutes correlates with the magnitude of auroral power much better (the correlation coefficient R similar to 0.76-0.87) than the Newell's coupling function (R similar to 0.46-0.82). Thus, for the purpose of nowcasting the zone of active particle precipitation, the PC index showed much higher scores, although the predicting abilities of the Newell's coupling function for the time delays of more than 20 minutes remain the best.</t>
  </si>
  <si>
    <t>[Nikolaev, A. V.] Arctic &amp; Antarctic Res Inst, Ul Beringa 38, St Petersburg 199397, Russia</t>
  </si>
  <si>
    <t>Nikolaev, AV (corresponding author), Arctic &amp; Antarctic Res Inst, Ul Beringa 38, St Petersburg 199397, Russia.</t>
  </si>
  <si>
    <t>demosfen.spb@gmail.com</t>
  </si>
  <si>
    <t>Russian Foundation for Basic Research [18-05-80004]</t>
  </si>
  <si>
    <t>The research was supported by the Russian Foundation for Basic Research (project number 18-05-80004). The solar wind data (v, By, Bz) were provided by the NASA/GSFC by means of the OMNI database (https://omniweb.gsfc.nasa.gov/).The PCN and PCS were downloaded from the online web resource http://pc-index.org.</t>
  </si>
  <si>
    <t>10.3103/S1068373921030080</t>
  </si>
  <si>
    <t>WOS:000679328300008</t>
  </si>
  <si>
    <t>Shapovalov, SN</t>
  </si>
  <si>
    <t>Shapovalov, S. N.</t>
  </si>
  <si>
    <t>Dependence of UVB-UVA Solar Radiation in the 280-400 nm Range on Changes in the Total Magnetic Field of the Sun</t>
  </si>
  <si>
    <t>UV radiation; total magnetic field of the Sun; solar activity; total solar irradiance; spectral solar irradiance; correlation</t>
  </si>
  <si>
    <t>The study presents the results of the correlation analysis for the average seasonal values of intensity of solar UV radiation (297-330 nm), as well as for the energy of the lines of solar spectral irradiance with total solar irradiance and total magnetic field of the Sun for the period of 2008-2018 (the 24th cycle of solar activity). The analysis is carried out using the spectral observations of solar UV radiation at Novolazarevskaya station (Antarctica), the SORCE spacecraft and WSO (Wilcox Solar Observatory) data. The dependence of the UVB-UVA radiation of 280-315 nm (UV-B) and 315-400 nm (UV-A) on changes in the total magnetic field of the Sun is revealed.</t>
  </si>
  <si>
    <t>[Shapovalov, S. N.] Arctic &amp; Antarctic Res Inst, Ul Beringa 38, St Petersburg 199397, Russia</t>
  </si>
  <si>
    <t>Shapovalov, SN (corresponding author), Arctic &amp; Antarctic Res Inst, Ul Beringa 38, St Petersburg 199397, Russia.</t>
  </si>
  <si>
    <t>shapovalov@aari.ru</t>
  </si>
  <si>
    <t>10.3103/S1068373921030110</t>
  </si>
  <si>
    <t>WOS:000679328300011</t>
  </si>
  <si>
    <t>de Navascués, J</t>
  </si>
  <si>
    <t>de Navascues, Javier</t>
  </si>
  <si>
    <t>From epic to satire: maroons and slaves in the colonial literature of Peru (Miramontes and The Blind Man from Mercy)</t>
  </si>
  <si>
    <t>VERBUM</t>
  </si>
  <si>
    <t>The projection of the Subject in the Other tells us much about the Subject himself and his means of being and understanding the world. The representation of two communities - the Maroons (Cimarrones) of the Isthmus of Panama, and the Afro-descendants of Lima - reveals how their images were built upon the crossing of certain literary conventions and the colonial political system. This article analyses a 17th Century epic poem, Armas Antarticas (Antarctic Weapons), by Juan de Miramontes, and the satirical poetry of Francisco del Castillo, also known as El Ciego de la Merced (18th Century). Miramontes is inspired by certain conventions of the literary epic and, as a consequence, configures an idealized representation of the enemy, which in this case is the Cimarron (i.e., a rebellious and fugitive slave). In contrast, the satirical representation of the Afro-descendant by del Castillo is absolutely denigrating, in accordance with the Hispanic tradition of the literary genre itself. However, in both cases, negros, mulatos and zambos libres are represented as a threat to the colonial system.</t>
  </si>
  <si>
    <t>[de Navascues, Javier] Univ Navarra, Pamplona, Spain</t>
  </si>
  <si>
    <t>University of Navarra</t>
  </si>
  <si>
    <t>de Navascués, J (corresponding author), Univ Navarra, Pamplona, Spain.</t>
  </si>
  <si>
    <t>jnavascu@unav.es</t>
  </si>
  <si>
    <t>PAZMANY PETER CATHOLIC UNIV, FACULTY HUMANITES</t>
  </si>
  <si>
    <t>PILISCSABA</t>
  </si>
  <si>
    <t>PPKE BTK INST ROMANISTICS, PILISCSABA, EGYETEM U 1 2087, HUNGARY</t>
  </si>
  <si>
    <t>1585-079X</t>
  </si>
  <si>
    <t>1588-4309</t>
  </si>
  <si>
    <t>Verbum</t>
  </si>
  <si>
    <t>History; Language &amp; Linguistics; Literature, Romance</t>
  </si>
  <si>
    <t>History; Linguistics; Literature</t>
  </si>
  <si>
    <t>TD9PO</t>
  </si>
  <si>
    <t>WOS:000669650900009</t>
  </si>
  <si>
    <t>Altieri, KE; Fawcett, SE; Hastings, MG</t>
  </si>
  <si>
    <t>Jeanloz, R; Freeman, KH</t>
  </si>
  <si>
    <t>Altieri, Katye E.; Fawcett, Sarah E.; Hastings, Meredith G.</t>
  </si>
  <si>
    <t>Reactive Nitrogen Cycling in the Atmosphere and Ocean</t>
  </si>
  <si>
    <t>ANNUAL REVIEW OF EARTH AND PLANETARY SCIENCES, VOL 49, 2021</t>
  </si>
  <si>
    <t>Annual Review of Earth and Planetary Sciences</t>
  </si>
  <si>
    <t>Review; Book Chapter</t>
  </si>
  <si>
    <t>reactive nitrogen; air-sea flux; deposition; nitrate; ammonium; organic nitrogen</t>
  </si>
  <si>
    <t>ORGANIC-MATTER ENRICHMENT; ISOTOPIC COMPOSITION; ANTHROPOGENIC NITROGEN; ELEMENTAL STOICHIOMETRY; SEASONAL-VARIATION; EMISSION SOURCES; NITRATE; AEROSOL; DEPOSITION; AMMONIUM</t>
  </si>
  <si>
    <t>The budget of reactive nitrogen (Nr; oxidized and reduced inorganic and organic forms of nitrogen) has at least doubled since the preindustrial era due to human activities. Excess Nr causes significant detrimental effects on many terrestrial and aquatic ecosystems; less is known about the impact on the open ocean. Nr deposition may already rival biological N-2 fixation quantitatively and will likely continue to rise. However, it is unclear how much of the Nr currently deposited to the ocean is external in origin. Understanding the importance of ocean Nr emissions versus external Nr deposition is key to quantifying the influence of deposition on ocean biogeochemistry and climate. This article reviews our understanding of the impacts of Nr deposition on the open ocean and the emissions of Nr from the ocean, placing particular emphasis on stable isotopes as a tool to investigate the surface ocean-lower atmosphere Nr cycle and its variations over time. The ocean has a dynamic exchange of reactive nitrogen with the atmosphere and is not just a passive recipient of nitrogen pollution from land. Tracing anthropogenic nitrogen deposition to the ocean is a challenge due to overlapping geochemical signatures with other nitrogen inputs. However, studies suggest an imprint of external (anthropogenic) nitrogen deposition in the Mediterranean Sea and North Pacific Ocean. Climate change will impact nitrogen emissions from the ocean through warming, acidification, stratification, and changes in food webs.</t>
  </si>
  <si>
    <t>[Altieri, Katye E.; Fawcett, Sarah E.] Univ Cape Town, Dept Oceanog, ZA-7701 Rondebosch, South Africa; [Hastings, Meredith G.] Brown Univ, Dept Earth Environm &amp; Planetary Sci, Providence, RI 02912 USA; [Hastings, Meredith G.] Brown Univ, Dept Earth Environm &amp; Planetary Sci, Inst Brown Environm &amp; Soc, Providence, RI 02912 USA</t>
  </si>
  <si>
    <t>University of Cape Town; Brown University; Brown University</t>
  </si>
  <si>
    <t>Altieri, KE (corresponding author), Univ Cape Town, Dept Oceanog, ZA-7701 Rondebosch, South Africa.</t>
  </si>
  <si>
    <t>katye.altieri@uct.ac.za</t>
  </si>
  <si>
    <t>Altieri, Katye/GWV-4512-2022; Hastings, Meredith/C-6199-2008</t>
  </si>
  <si>
    <t>Altieri, Katye/0000-0002-6778-4079; Hastings, Meredith/0000-0001-6716-6783; Fawcett, Sarah/0000-0002-0878-6496</t>
  </si>
  <si>
    <t>South African National Research Foundation through the South African National Antarctic Program (NRF SANAP) [110732]; African Academy of Sciences/Royal Society Future Leaders-Africa Independent Researcher (FLAIR) Fellowship; National Science Foundation; OCE Awards [0961038, 1233140, 1433989]; NRF SANAP [110735]</t>
  </si>
  <si>
    <t>South African National Research Foundation through the South African National Antarctic Program (NRF SANAP); African Academy of Sciences/Royal Society Future Leaders-Africa Independent Researcher (FLAIR) Fellowship; National Science Foundation(National Science Foundation (NSF)); OCE Awards; NRF SANAP</t>
  </si>
  <si>
    <t>The authors thank Nontembiso Kgatle for creating Figure 1. K.E.A. acknowledges the support of funding from the South African National Research Foundation through the South African National Antarctic Program (NRF SANAP) (110732) and Daniel Sigman and Julie Granger for the sharing of unpublished data generated in their laboratories. S.E.F. acknowledges the African Academy of Sciences/Royal Society Future Leaders-Africa Independent Researcher (FLAIR) Fellowship, the Flotilla Foundation and 2019 Weddell Sea Expedition, Captain Knowledge Bengu and the crew of the R/V SA Agulhas II, and NRF SANAP (110735). M.G.H. acknowledges the support of funding from the National Science Foundation and the efforts of Bill Landing and Cliff Buck that contributed to collection of the GEOTRACES cruise-based data included here (OCE Awards 0961038, 1233140, and 1433989). The authors appreciate the sharing of unpublished data from Emily Joyce, Guitao Shi, and Shantelle Smith.</t>
  </si>
  <si>
    <t>ANNUAL REVIEWS</t>
  </si>
  <si>
    <t>PALO ALTO</t>
  </si>
  <si>
    <t>4139 EL CAMINO WAY, PO BOX 10139, PALO ALTO, CA 94303-0897 USA</t>
  </si>
  <si>
    <t>0084-6597</t>
  </si>
  <si>
    <t>1545-4495</t>
  </si>
  <si>
    <t>978-0-8243-2049-2</t>
  </si>
  <si>
    <t>ANNU REV EARTH PL SC</t>
  </si>
  <si>
    <t>Annu. Rev. Earth Planet. Sci.</t>
  </si>
  <si>
    <t>10.1146/annurev-earth-083120-052147</t>
  </si>
  <si>
    <t>10.7765/9781526119384</t>
  </si>
  <si>
    <t>Astronomy &amp; Astrophysics; Geosciences, Multidisciplinary</t>
  </si>
  <si>
    <t>Book Citation Index – Science (BKCI-S); Science Citation Index Expanded (SCI-EXPANDED)</t>
  </si>
  <si>
    <t>Astronomy &amp; Astrophysics; Geology</t>
  </si>
  <si>
    <t>BR6JW</t>
  </si>
  <si>
    <t>WOS:000661535000021</t>
  </si>
  <si>
    <t>Mytrokhyn, OV; Bakhmutov, VG</t>
  </si>
  <si>
    <t>Mytrokhyn, O., V; Bakhmutov, V. G.</t>
  </si>
  <si>
    <t>FIRST FINDING OF THE ORBICULAR GABBROIDS IN THE UKRAINIAN ANTARCTIC STATION AREA (WILHELM ARCHIPELAGO, WEST ANTARCTICA)</t>
  </si>
  <si>
    <t>MINERALOGICAL JOURNAL-UKRAINE</t>
  </si>
  <si>
    <t>orbicular rocks; orbicular texture; West Antarctica</t>
  </si>
  <si>
    <t>SIERRA-NEVADA; FISHER LAKE; CRYSTALLIZATION</t>
  </si>
  <si>
    <t>A new occurrence of igneous rocks with an orbicular structure was discovered by the authors in West Antarctica. The place of finding is Hovgaard Island in the Wilhelm Archipelago located near the Graham Coast of the Antarctic Peninsula. Until now, not a single manifestation of these rare rocks was known in this region. Usually orbicular rocks are formed under the condition of local coincidence of many geological and petrogenetic factors. The study of the geological position, texture features and mineral composition of the orbicular rocks on Hovgaard Island was carried out in order to create their primary petrographic description. It was found that orbiculites are exposed in a small area, about 200 m(2), in the field of amphibolized gabbroids and their intrusive breccias. The occurrence and textures of the orbiculites indicate that their crystallization occurred at the hypabyssal depth. Probably, this occurrence is a marginal facies of a small gabbroid intrusion, some parts of which are exposed on the adjacent coastal areas of Hovgaard Island. The studies performed have shown that the orbiculites of Hovgaard Island belong to the rarest petrographic representatives of these rocks namely orbicular gabbroids. In their petrographic feature, they differ markedly from the famous French napoleonites (corsites) exposed on the Corsica Island. The mineral composition of the orbicules is represented by calcium plagioclase (An(88-97)), hornblende (#Mg = 0.77-0.81), clinopyroxene (Wo(48-50)En(43-47)Fs(5-8)), spinel (Sp(62-72)Hrc(14-20)Mt(12-17)), actinolite, phlogopite, chlorite, magnetite and apatite. The interorbicular matrix has a gabbroid composition and a porphyritic texture. It differs from orbicules in somewhat less calcium plagioclase and less magnesian hornblende, as well as in the absence of spinel. In view of the rarity of orbicular gabbroids and the specificity of the described manifestation, it is proposed that the orbicular gabbro on Hovgaard Island be considered as a new petrographic variety of the gabbroid family. The name hovgaardite is recommended for the name of this variety of orbicular gabbro.</t>
  </si>
  <si>
    <t>[Mytrokhyn, O., V] Kyiv Taras Shevchenko Natl Univ, Educ Sci Inst, Inst Geol, 90 Vasylkivska Str, UA-03022 Kiev, Ukraine; [Bakhmutov, V. G.] NAS Ukraine, SI Subbotin Inst Geophys, 32 Acad Palladin Ave, UA-03142 Kiev, Ukraine; [Bakhmutov, V. G.] Natl Antarctic Sci Ctr Ukraine, 16 Taras Schevchenko Boul, UA-01016 Kiev, Ukraine</t>
  </si>
  <si>
    <t>Ministry of Education &amp; Science of Ukraine; Banking University; Taras Shevchenko National University of Kyiv; National Academy of Sciences Ukraine; Institute of Geological Sciences, National Academy of Sciences of Ukraine; National Academy of Sciences Ukraine; Subbotin Institute of Geophysics, National Academy of Sciences of Ukraine; Ministry of Education &amp; Science of Ukraine; State Institution National Antarctic Scientific Center</t>
  </si>
  <si>
    <t>Mytrokhyn, OV (corresponding author), Kyiv Taras Shevchenko Natl Univ, Educ Sci Inst, Inst Geol, 90 Vasylkivska Str, UA-03022 Kiev, Ukraine.</t>
  </si>
  <si>
    <t>mitrokhin.a.v@ukr.net; bakhmutovvg@gmail.com</t>
  </si>
  <si>
    <t>Volodymyr, Bakhmutov/A-8508-2019; Mytrokhyn, Oleksandr/I-2020-2018</t>
  </si>
  <si>
    <t>Mytrokhyn, Oleksandr/0000-0001-6269-0092; Bakhmutov, Vladimir/0000-0003-3804-9953</t>
  </si>
  <si>
    <t>M P SEMENENKO INST GEOCHEMISTRY, MINERALOGY &amp; ORE FORMATION OF NAS UKRAINE</t>
  </si>
  <si>
    <t>34, AKAD PALLADIN AVE, 142, KYIV, 03142, UKRAINE</t>
  </si>
  <si>
    <t>2519-2396</t>
  </si>
  <si>
    <t>2519-447X</t>
  </si>
  <si>
    <t>MINER J-UKRAINE</t>
  </si>
  <si>
    <t>Miner. J.-Ukraine</t>
  </si>
  <si>
    <t>10.15407/mineraljournal.43.02.040</t>
  </si>
  <si>
    <t>Mineralogy</t>
  </si>
  <si>
    <t>TC1GJ</t>
  </si>
  <si>
    <t>WOS:000668391600004</t>
  </si>
  <si>
    <t>Traczyk, R; Meyer-Rochow, VB; Hughes, RM</t>
  </si>
  <si>
    <t>Traczyk, Ryszard; Meyer-Rochow, Victor Benno; Hughes, Robert M.</t>
  </si>
  <si>
    <t>Age determination in the icefish Pseudochaenichthys georgianus (Channichthyidae) based on multiple methods using otoliths</t>
  </si>
  <si>
    <t>AQUATIC BIOLOGY</t>
  </si>
  <si>
    <t>Southern Ocean; Daily micro-increments; Light microscopy; Scanning electron microscopy; Aging analyses</t>
  </si>
  <si>
    <t>ANTARCTIC FISH; CHAMPSOCEPHALUS-GUNNARI; CHAENOCEPHALUS-ACERATUS; SOUTHERN-OCEAN; MANAGEMENT; GROWTH; STOCK</t>
  </si>
  <si>
    <t>Aging Antarctic icefish is difficult because of their lack of scales and poorly calcified bones. Icefish ages must therefore be estimated from otoliths. We describe a method of reading daily micro-increments in connection with shape, size and mass analyses of the otoliths of the South Georgia icefish Pseudochaenichthys georgianus. Changes in otolith morphology and mass correlate with fish size and age group. The otolith micro-increment analysis is capable of establishing the age of an icefish by relating the daily micro-increment count to the life history of the fish. Micro-increment measurements and analyses are relatively simple to do by light and scanning electron microscopy and by using micro-densitometer and digitizing equipment. Drastic changes in the life history of an individual are reflected by measurable changes in its otolith micro-increment data as seen in our analyses of age groups 0-VI. The initial drastic change in daily micro-increment shapes and periodicities occur in connection with the hatching period of the icefish. The next drastic change in otolith shape and daily micro-increments occurs when similar to 7 cm long fish shift from pelagic to benthic habitats. As the fish age beyond group III, individual otolith variability lessens until they begin spawning. Our results indicate a single population of P. georgianus between the Antarctic Peninsula and South Georgia.</t>
  </si>
  <si>
    <t>[Traczyk, Ryszard] Univ Gdansk, Dept Oceanog &amp; Geog, PL-81378 Gdynia, Poland; [Meyer-Rochow, Victor Benno] Oulu Univ, Dept Ecol &amp; Genet, Oulu 90140, Finland; [Meyer-Rochow, Victor Benno] Andong Natl Univ, Agr Sci &amp; Technol Res Inst, Andong 36729, South Korea; [Hughes, Robert M.] Amnis Opes Inst, Corvallis, OR 97333 USA; [Hughes, Robert M.] Oregon State Univ, Dept Fisheries &amp; Wildlife, Corvallis, OR 97331 USA</t>
  </si>
  <si>
    <t>Fahrenheit Universities; University of Gdansk; University of Oulu; Andong National University; Oregon State University</t>
  </si>
  <si>
    <t>Meyer-Rochow, VB (corresponding author), Oulu Univ, Dept Ecol &amp; Genet, Oulu 90140, Finland.;Meyer-Rochow, VB (corresponding author), Andong Natl Univ, Agr Sci &amp; Technol Res Inst, Andong 36729, South Korea.</t>
  </si>
  <si>
    <t>meyrow@gmail.com</t>
  </si>
  <si>
    <t>Basic Science Research Program of the National Research Foundation of Korea [NRF-2018 R1A6A1A03024862]; olish Sea Fisheries Institute; London Imperial College</t>
  </si>
  <si>
    <t>Basic Science Research Program of the National Research Foundation of Korea(National Research Foundation of Korea); olish Sea Fisheries Institute; London Imperial College</t>
  </si>
  <si>
    <t>We thank all those concerned with collecting and sharing the icefish material, and all who offered their help and advice, in particular J. Sosinski, E. Stanek, T. Linkowski, R. Radtke, K. H. Kock, A. North, R. Drozdowski and A. Kunicki. We deeply appreciate the Polish Sea Fisheries Institute and London Imperial College for supporting 2 cruises on the RV `Prof. Siedlecki' and the trawler `Hill Cove,' and providing laboratory equipment, references, advice and assistance. We thank the ship captains (Janusz Olszowy, Treba Doyle), science officers (Janusz Kalinowski, Jozef Sosinski, Stanislaw Rakusa-Suszczewski, Inigo Everson, Roman Dlugosz, Aida Fernandes-Rios), Jan Michalak and the other 48 crewmen involved in sampling under sometimes challenging conditions. We are grateful to the managers of the Electron Microscopy Laboratory, Institute of Experimental Physics at the University of Gdansk, and the Scanning Electron Microscopy Laboratory at Gdansk Polytechnic School for equipment and advice. V.B.M.R. thanks the staff of Poland's Antarctic Arctowski Base for their hospitality during a visit in the 2000 Austral summer, and the support of C. Jung via the Basic Science Research Program of the National Research Foundation of Korea (NRF-2018 R1A6A1A03024862) enabling us to complete this study. The order of the authors' names reflects the sequence in which the individuals joined in this project.</t>
  </si>
  <si>
    <t>1864-7790</t>
  </si>
  <si>
    <t>1864-7782</t>
  </si>
  <si>
    <t>AQUAT BIOL</t>
  </si>
  <si>
    <t>Aquat. Biol.</t>
  </si>
  <si>
    <t>10.3354/ab00736</t>
  </si>
  <si>
    <t>Marine &amp; Freshwater Biology</t>
  </si>
  <si>
    <t>TH1LY</t>
  </si>
  <si>
    <t>WOS:000671857400001</t>
  </si>
  <si>
    <t>Sato, T; Sato, K; Tsutsumi, M; Nishimura, K; Hashimoto, T</t>
  </si>
  <si>
    <t>Sato, Toru; Sato, Kaoru; Tsutsumi, Masaki; Nishimura, Koji; Hashimoto, Tasishi</t>
  </si>
  <si>
    <t>Development of an Antarctic Atmospheric Radar</t>
  </si>
  <si>
    <t>2020 INTERNATIONAL SYMPOSIUM ON ANTENNAS AND PROPAGATION (ISAP)</t>
  </si>
  <si>
    <t>International Symposium on Antennas and Propagation (ISAP)</t>
  </si>
  <si>
    <t>JAN 25-28, 2021</t>
  </si>
  <si>
    <t>Atmospheric radar; Antarctic research; active phased array antenna; adaptive clutter rejection</t>
  </si>
  <si>
    <t>We briefly review the system outline and technical developments for the Antarctic atmospheric radar constructed at Syowa Station (69 degrees S, 40 degrees E). The radar has achieved equivalent sensitivity to that of the MU radar in Japan while reducing its power consumption to less than one thirds of that. Newly developed algorithms for adaptive clutter rejection and beam de-broadening are introduced to alleviate difficulties imposed by the environmental and the operational conditions unique to this facility.</t>
  </si>
  <si>
    <t>[Sato, Toru] Kyoto Univ, Inst Liberal Arts &amp; Sci, Kyoto 6068501, Japan; [Sato, Kaoru] Univ Tokyo, Dept Earth &amp; Planetary Sci, Tokyo 1130033, Japan; [Tsutsumi, Masaki; Nishimura, Koji; Hashimoto, Tasishi] Natl Inst Polar Res, Tachikawa, Tokyo 1908518, Japan; [Nishimura, Koji] Res Org Informat &amp; Syst, Tachikawa, Tokyo 1908518, Japan</t>
  </si>
  <si>
    <t>Kyoto University; University of Tokyo; Research Organization of Information &amp; Systems (ROIS); National Institute of Polar Research (NIPR) - Japan; Research Organization of Information &amp; Systems (ROIS)</t>
  </si>
  <si>
    <t>Sato, T (corresponding author), Kyoto Univ, Inst Liberal Arts &amp; Sci, Kyoto 6068501, Japan.</t>
  </si>
  <si>
    <t>sato.toru.6e@kyoto-u.ac.jp</t>
  </si>
  <si>
    <t>978-4-88552-326-7</t>
  </si>
  <si>
    <t>BR7PS</t>
  </si>
  <si>
    <t>WOS:000668734200059</t>
  </si>
  <si>
    <t>Sato, T</t>
  </si>
  <si>
    <t>Sato, Toru</t>
  </si>
  <si>
    <t>Women in Science -A Case Study from Husband's Point of View-</t>
  </si>
  <si>
    <t>Women in engineering; Atmospheric radar; Antarctic research</t>
  </si>
  <si>
    <t>We consider an example of a female scientist who is leading the large-scale atmospheric radar construction project from the perspective of her husband. It is of course dangerous to draw a general feature from such an example, but it may be a case that can be referred to by female researchers who are active in the engineering field. After briefly reviewing the history of the project and clarifying its special features, we consider the possible role of a husband in such cases.</t>
  </si>
  <si>
    <t>[Sato, Toru] Kyoto Univ, Inst Liberal Arts &amp; Sci, Sakyo Ku, Kyoto 6068501, Japan</t>
  </si>
  <si>
    <t>Kyoto University</t>
  </si>
  <si>
    <t>Sato, T (corresponding author), Kyoto Univ, Inst Liberal Arts &amp; Sci, Sakyo Ku, Kyoto 6068501, Japan.</t>
  </si>
  <si>
    <t>WOS:000668734200195</t>
  </si>
  <si>
    <t>Tertyshnikov, AV</t>
  </si>
  <si>
    <t>Tertyshnikov, Alexander Vasilyevich</t>
  </si>
  <si>
    <t>Results of radio sounding of the south polar auroral oval performed with the GNSS signals of a sledge-track train around the Russian Antarctic station Vostok</t>
  </si>
  <si>
    <t>AIMS GEOSCIENCES</t>
  </si>
  <si>
    <t>ionosphere; GLONASS; GPS; positioning; ionospheric delay; electron content; receiver; auroral oval; technology; model</t>
  </si>
  <si>
    <t>Under the program of the 60th Russian Antarctic expedition of the 2014-2015s, during the sledge-tracked crossing of Antarctica to Vostok station 8.01.2015-19.01.2015, an experiment was conducted to receive signals from navigation services of satellite communication channels of GLONASS/GPS systems (GNSS). The technology of radio sounding and the criteria for diagnostics of the auroral oval in the total electron content of ionosphere (TEC) are discussed. Radio sounding of the ionosphere reveals traces of auroral oval in the latitudinal distribution of ionospheric delay of GLONASS/GPS signals. Examples of manifestation of the auroral oval are given. The transition route is calculated. The obtained results are compared to the results of SIMP2 modeling of the auroral oval and to data from the official internet page of the experiment. The necessity of creating of a TEC-model of the auroral oval is shown.</t>
  </si>
  <si>
    <t>[Tertyshnikov, Alexander Vasilyevich] Russian Acad Sci, Inst Radio Engn &amp; Elect, Inst Sci Kotelnikov,Inst Appl Geophys, Fryazinsky Branch Fed State Budgetary, Moscow, Russia</t>
  </si>
  <si>
    <t>Russian Academy of Sciences</t>
  </si>
  <si>
    <t>Tertyshnikov, AV (corresponding author), Russian Acad Sci, Inst Radio Engn &amp; Elect, Inst Sci Kotelnikov,Inst Appl Geophys, Fryazinsky Branch Fed State Budgetary, Moscow, Russia.</t>
  </si>
  <si>
    <t>atert@mail.ru</t>
  </si>
  <si>
    <t>AMER INST MATHEMATICAL SCIENCES-AIMS</t>
  </si>
  <si>
    <t>SPRINGFIELD</t>
  </si>
  <si>
    <t>PO BOX 2604, SPRINGFIELD, MO 65801-2604 USA</t>
  </si>
  <si>
    <t>2471-2132</t>
  </si>
  <si>
    <t>AIMS GEOSCI</t>
  </si>
  <si>
    <t>AIMS Geosci.</t>
  </si>
  <si>
    <t>10.3934/geosci.2021008</t>
  </si>
  <si>
    <t>TC0QS</t>
  </si>
  <si>
    <t>WOS:000668350600002</t>
  </si>
  <si>
    <t>Wilson, SC; Jones, KA</t>
  </si>
  <si>
    <t>Wilson, Susan C.; Jones, Kayleigh A.</t>
  </si>
  <si>
    <t>BODY MASS AND BEHAVIOUR OF STRANDED HARBOUR SEAL (PHOCA VITULINA VITULINA) PUPS DURING THE PEAK PUPPING SEASON IN CO. DOWN, NORTH-EAST IRELAND</t>
  </si>
  <si>
    <t>BIOLOGY AND ENVIRONMENT-PROCEEDINGS OF THE ROYAL IRISH ACADEMY</t>
  </si>
  <si>
    <t>COMMON SEAL; LACTATION; SURVIVAL; FEMALES; WEIGHT; GROWTH</t>
  </si>
  <si>
    <t>Concerns have recently been raised as to whether small harbour seal pups found alone are genuine 'orphans', i.e. pups permanently separated from their mother. We present records of body mass and behaviour of pups live-stranding on the coast of north-east Ireland, between 1995 and 2016. Pup data were divided into three categories according to stranding date: period A from late May to 19 July (pupping period; 66 records), period B from 20 July to mid-August (late lactation and weaning period; 14 records) and period C from mid-August to the following January (14 records). Pup body mass averaged 8.8kg, 9.5kg and 14.5kg in periods A, B and C, respectively. Most pups in periods A and B were at or less than the average birth weight of similar to 11kg. Pre-stranding and stranding behaviours were video-recorded at haul-out sites for ten pups during period A and one during period B. The body mass and behaviour of pups considered to be orphans were compared with healthy 'lone' pups more than ten days of age, whose mothers were temporarily absent. The observations suggest that orphans may be identified-and distinguished from healthy lone pups-according to body size, location, behaviour and stranding date.</t>
  </si>
  <si>
    <t>[Wilson, Susan C.] Tara Seal Res, 13 Wilmot Way, Banstead SM7 2PZ, Surrey, England; [Jones, Kayleigh A.] British Antarctic Survey, Madingley Rd, Cambridge CB3 0ET, England</t>
  </si>
  <si>
    <t>Wilson, SC (corresponding author), Tara Seal Res, 13 Wilmot Way, Banstead SM7 2PZ, Surrey, England.</t>
  </si>
  <si>
    <t>suewilson@sealresearch.org</t>
  </si>
  <si>
    <t>NERC [bas0100035] Funding Source: UKRI</t>
  </si>
  <si>
    <t>ROYAL IRISH ACAD</t>
  </si>
  <si>
    <t>DUBLIN</t>
  </si>
  <si>
    <t>19 DAWSON STREET, DUBLIN 2, IRELAND</t>
  </si>
  <si>
    <t>0791-7945</t>
  </si>
  <si>
    <t>2009-003X</t>
  </si>
  <si>
    <t>BIOL ENVIRON</t>
  </si>
  <si>
    <t>Biol. Environ.-Proc. R. Irish Acad.</t>
  </si>
  <si>
    <t>121B</t>
  </si>
  <si>
    <t>10.3318/BIOE.2021.03</t>
  </si>
  <si>
    <t>Biology; Environmental Sciences</t>
  </si>
  <si>
    <t>Life Sciences &amp; Biomedicine - Other Topics; Environmental Sciences &amp; Ecology</t>
  </si>
  <si>
    <t>TC6KQ</t>
  </si>
  <si>
    <t>WOS:000668750600003</t>
  </si>
  <si>
    <t>Bonsoms, J; Franch, FS; Oliva, M</t>
  </si>
  <si>
    <t>Bonsoms, Josep; Salvador Franch, Ferran; Oliva, Marc</t>
  </si>
  <si>
    <t>SNOWFALL AND SNOW COVER EVOLUTION IN THE EASTERN PRE-PYRENEES (NE IBERIAN PENINSULA)</t>
  </si>
  <si>
    <t>CUADERNOS DE INVESTIGACION GEOGRAFICA</t>
  </si>
  <si>
    <t>Pre-Pyrenees; climate variability; snowfall; snow depth</t>
  </si>
  <si>
    <t>NORTH-ATLANTIC OSCILLATION; CIRCULATION WEATHER TYPES; PRECIPITATION; RAINFALL; PATTERNS; CLIMATE; TRENDS; REGIONS; DEPTH</t>
  </si>
  <si>
    <t>Snow cover has significant impacts on geoecological dynamics as well as on socio-economical systems. An accurate quantification of snow precipitation patterns in mountain regions is needed to better understand the spatio-temporal implications of snow cover. The objective of this work is to characterize the patterns of solid precipitation and snow cover in two high Mediterranean massifs. To this purpose, we analyse instrumental data series of snowfall and snow depth of Port del Comte (2316 m a.s.1.) and Cadi-Nord (2134 m). Both stations are situated in the eastern Pre-Pyrenees and include 14 consecutive snow seasons from November to May, allowing to (i) explore the dependence of the main drivers of snowpack: temperature and snowfall; (ii) find out the most frequent circulation weather types associated with high intensity snowfall events, and finally (iii) investigate the role of the North Atlantic Oceanic (NAO) teleconnection pattern explaining snow cover evolution during the winter season. Data show that snowfall is controlled by similar weather types in both stations that resulted in similar snowfall averages: 205 cm and 258 cm at Port del Comte and Cacti-Nord, respectively. Nevertheless, local factors interfere with the amount of snow depth recorded, which is moderately different between stations. Whereas Cadi-Nord records a seasonal mean of 66 cm, Port del Comte records a smaller quantity of 25 cm with a high interannual and seasonal variability. In fact, snowfall recurrence, snow amount or duration in the ground is considerably variable among years (CV&gt;20). In these stations, snow cover duration is determined by the precipitation in the form of snow falling during the previous months. Snowfalls in moderate to severe episodes (&gt;15 cm in 24 h) are mainly driven by Atlantic flows, mostly from NW. In addition, NAO pattern is negatively correlated with snowfall in November and December months (R&gt;-0.50), showing a weaker and not statistically significant correlation during the rest of the winter season.</t>
  </si>
  <si>
    <t>[Bonsoms, Josep] CNES CNRS IRD UPS, Ctr Etud Spatiales Biosphere CESBIO, F-31401 Toulouse 9, France; [Salvador Franch, Ferran; Oliva, Marc] Univ Barcelona, Dept Geog, Barcelona 08001, Spain</t>
  </si>
  <si>
    <t>Universite de Toulouse; Universite Toulouse III - Paul Sabatier; Centre National de la Recherche Scientifique (CNRS); Institut de Recherche pour le Developpement (IRD); University of Barcelona</t>
  </si>
  <si>
    <t>Bonsoms, J (corresponding author), CNES CNRS IRD UPS, Ctr Etud Spatiales Biosphere CESBIO, F-31401 Toulouse 9, France.</t>
  </si>
  <si>
    <t>josepbonsoms5@gmail.com</t>
  </si>
  <si>
    <t>; Oliva, Marc/K-5423-2014</t>
  </si>
  <si>
    <t>Bonsoms, Josep/0000-0001-8180-9095; Oliva, Marc/0000-0001-6521-6388</t>
  </si>
  <si>
    <t>Government of Catalonia through the Agencia de Gestio d'Ajuts Universitaris i de Recerca [SGR2014-0373, 2017-SGR-1102]; Ramon y Cajal research program [RYC-2015-17597]</t>
  </si>
  <si>
    <t>Government of Catalonia through the Agencia de Gestio d'Ajuts Universitaris i de Recerca; Ramon y Cajal research program(Spanish Government)</t>
  </si>
  <si>
    <t>The work complements the research topics examined by the research groups Paisatge i paleoambients a la muntanya mediterrania (SGR2014-0373) and Antarctic, Artic, Alpine Environments-ANTALP (2017-SGR-1102), both funded by the Government of Catalonia through the Agencia de Gestio d'Ajuts Universitaris i de Recerca. Marc Oliva is grateful for the support of the Ramon y Cajal research program (RYC-2015-17597). The authors acknowledge the Servei Meteorologic de Catalunya for the data provided for this study.</t>
  </si>
  <si>
    <t>UNIV RIOJA, SERV PUBLICACIONES</t>
  </si>
  <si>
    <t>LA RIOJA</t>
  </si>
  <si>
    <t>C/ PISCINAS S/N, LOGRONO, LA RIOJA, 26004, SPAIN</t>
  </si>
  <si>
    <t>0211-6820</t>
  </si>
  <si>
    <t>1697-9540</t>
  </si>
  <si>
    <t>CUAD INVESTIG GEOGR</t>
  </si>
  <si>
    <t>Cuad. Investig. Geogr.</t>
  </si>
  <si>
    <t>10.18172/cig.4879</t>
  </si>
  <si>
    <t>TD6FX</t>
  </si>
  <si>
    <t>WOS:000669421400001</t>
  </si>
  <si>
    <t>Pysarenko, LA; Krakoyska, SV</t>
  </si>
  <si>
    <t>Pysarenko, L. A.; Krakoyska, S., V</t>
  </si>
  <si>
    <t>Impact of deforestation on radiative and thermal regimes of the territory of Ukraine on the base of global climate models data</t>
  </si>
  <si>
    <t>LUMIP; deforestation; forest cover; albedo; surface temperature; near-surface air temperature; daily air temperature range; year air temperature range</t>
  </si>
  <si>
    <t>FOREST ECOSYSTEM; MICROCLIMATE; FEEDBACKS</t>
  </si>
  <si>
    <t>This paper is dedicated to the influence of partial deforestation with using global retrospective modelling data from The Land Use Model Intercomparison Project (LUMIP) for the territory of Ukraine. This experiment aims to global gradual deforestation and has two phases. The first phase, defined as the pre-industrial period (1850-1899) with constant unchangeable anthropogenic impact. For this period deforestation modelled with further replacement with grass cover with a linear trend 400000 km(2)/yr or 20 million km2 per 50 years in general. The second phase is next 30 years with no significant changes in forest cover (1900-1929). For conducting this research the data of several global climate models were applied. The results of analysis have demonstrated that a partial deforestation with grass substitution influences the surface reflectivity or albedo and redistribution of shortwave radiative fluxes. In turn, it provokes changes in thermal regime. It was found that the most significant changes in surface reflectivity and the strongest correlation coefficients between albedo and deforestation are in the winter season due to the presence of snow cover. As a result, statistical significant increase of albedo is with maximum values up to 24 %/50 years in some grids in winter. Then in the summer season maximal changes are up to 2.7 %/50 years due to small differences between forest and grass albedos. As a consequence, changes in albedo cause changes in surface and air temperature regimes. Strong dependencies were found in winter between changes in albedo and temperatures with maximum temperature decrease -2.5...-2.0 %/50 years. In warm season correlations are weaker in comparison to cold season, but nevertheless, temperatures decrease also take place with maximum values -2.0.-1.5 %/50 years. The analysis between deforestation and daily air temperature range has shown that particularly in winter season there is an increase of 0.5...1.5 %/50 years, whereas such tendency is not observed in warm season. Calculations of year air temperature range demonstrated controversial results among climate models, as follows it is hard to make a conclusion about the contribution of forest cover reduction to changes in this index. It was revealed, that global climate models with higher resolution are more sensitive to changes in albedo and, as a consequence to other characteristics than models with coarse ones. It should be noticed that obtained results concern pre-industrial period with minimal anthropogenic impact, when observed a stable snow cover in winter in Ukraine. In the current climate change with significant warming and reduction of snow season duration deforestation can have opposite effects on radiative and thermal regimes that require further studying.</t>
  </si>
  <si>
    <t>[Pysarenko, L. A.; Krakoyska, S., V] State Emergency Serv Ukraine, Ukrainian Hydrometeorol Inst, Kiev, Ukraine; [Pysarenko, L. A.; Krakoyska, S., V] Natl Acad Sci Ukraine, Kiev, Ukraine; [Krakoyska, S., V] Natl Antarctic Sci Ctr MES Ukraine, Kiev, Ukraine</t>
  </si>
  <si>
    <t>10.24028/gzh.v43i3.236385</t>
  </si>
  <si>
    <t>TF3ZX</t>
  </si>
  <si>
    <t>WOS:000670656300008</t>
  </si>
  <si>
    <t>Starostenko, VI; Rusakov, OM; Yakimchik, AI</t>
  </si>
  <si>
    <t>Starostenko, V., I; Rusakov, O. M.; Yakimchik, A., I</t>
  </si>
  <si>
    <t>International cooperation of S. I. Subbotin Institute Geophysics, NAS of Ukraine for 2010-2020</t>
  </si>
  <si>
    <t>Institute of Geophysics; NAS of Ukraine; international projects and target teams; the Antarctic Peninsula; Southeast Asia; impact factors of journals</t>
  </si>
  <si>
    <t>BLACK-SEA; UPPER-MANTLE; VELOCITY MODEL; THEODOSIA AREA; PROFILE; BASIN; CRUSTAL; SHIELD; REGION; PALEOCENE</t>
  </si>
  <si>
    <t>The geological structure of the lithosphere of the main tectonic structures has been refined for the territory of Ukraine and adjacent regions of Slovakia, Poland, Romania, Russia, as well as Bulgaria, the Antarctic Peninsula (West Antarctica) and Southeast Asia, and new data have been obtained on geophysical impacts that can affect the environment. A geodynamic scenario has been developed for the formation of large-scale folding of the Fore- Dobrudzja Trough, the South Ukrainian monocline and the Ingul block of the Ukrainian Shield, caused by tectonic events associated with the closing of the Paleotethys and Neotethys oceans in the Mesozoic. In the Pripyat-Dnieper-Donets Basin, the structure of the earth's crust and upper mantle can reflect different intensities of rifting, from its passive stage in the Dnieper Graben to active rifting in the Pripyat Trough. An analysis of the geoelectric structure of the Earth's crust in the Ukrainian Eastern Carpathians indicates that seismic events occur mainly in resistive solid rock domainswhich surrounded by aseismic high conductive zones consisting of at least partially melted material. The present-day mutual position of the Ukrainian shield and Fennoscandia stabilized 1720-1660 Ma. The age, distribution, orientation and composition have been studied for the LatePalaeoproterozoicdykes in the Volyn, Ingul and Azov blocks of the Ukrainian Shield. Eastern Crimea and the Sorokin Trough are fragments of a tectonic wedge formed after the Paleocene. The geothermal conditions of the Intra-Carpathian region are due to subduction during the closure of the Pannonian sea basin and the collisional interaction of the Eurasian plate with the microplates system of this region. In Bulgaria, most earthquakes occur outside high-resistive domains. The tectonic stages are reconstructed for the formation of the northern part of the Antarctic Peninsula in the Mesozoic-Cenozoic. The relationship has been established between the geomagnetic field and climate change, with it being different for the Northern and Southern Hemispheres. The results have been obtained within the framework of 25 international projects and 6 temporary international target teams of S. I. Subbotin Institute of Geophysics, NAS of Ukraine consisting of researchers from 23 countries. The results are presented in 53 publications, 38 of which are indexed in the Web of Scienct database, and 32 papers are published in 20 international journals and special publications of 10 countries with different impact factors (from 0,101 to 4,214), whose average impact factor is 3,341, and the total one is 66,815.</t>
  </si>
  <si>
    <t>[Starostenko, V., I; Rusakov, O. M.; Yakimchik, A., I] Natl Acad Sci Ukraine, SI Subbotin Inst Geophys, Kiev, Ukraine</t>
  </si>
  <si>
    <t>National Academy of Sciences Ukraine; Subbotin Institute of Geophysics, National Academy of Sciences of Ukraine</t>
  </si>
  <si>
    <t>Starostenko, VI (corresponding author), Natl Acad Sci Ukraine, SI Subbotin Inst Geophys, Kiev, Ukraine.</t>
  </si>
  <si>
    <t>Yakimchik, Andrey/AAE-6056-2019</t>
  </si>
  <si>
    <t>Yakimchik, Andrey/0000-0002-5091-9221</t>
  </si>
  <si>
    <t>10.24028/gzh.v43i3.236390</t>
  </si>
  <si>
    <t>WOS:000670656300013</t>
  </si>
  <si>
    <t>Li, HQ</t>
  </si>
  <si>
    <t>Duan, L; Abdullah, AZ</t>
  </si>
  <si>
    <t>Li Huiqing</t>
  </si>
  <si>
    <t>The design of interactive installation for environmental education on climate change in Antarctic based on open-source programming language</t>
  </si>
  <si>
    <t>2021 5TH INTERNATIONAL CONFERENCE ON ADVANCES IN ENERGY, ENVIRONMENT AND CHEMICAL SCIENCE (AEECS 2021)</t>
  </si>
  <si>
    <t>E3S Web of Conferences</t>
  </si>
  <si>
    <t>5th International Conference on Advances in Energy, Environment and Chemical Science (AEECS)</t>
  </si>
  <si>
    <t>FEB 26-28, 2021</t>
  </si>
  <si>
    <t>With the advancement of modern technology and the growing development of new media technology, the computer technology programming language has been increasingly applied to the world of art. Meanwhile, the scientific technology, design art and the growing aesthetic standard have promoted the development of the art of new media interactive installation. With the accelerated global warming and sea level rise, the coastal areas are confronting a great risk. On a case study of the The vanishing Antarctic continent, the paper discussed the creation of interactive installation art design with social significance through the computer programming language, calling for the environmental protection while stimulating the human-computer interaction and resonance.</t>
  </si>
  <si>
    <t>[Li Huiqing] Cent South Univ, Sch Architecture &amp; Art, Dept Prod Design, Changsha, Hunan, Peoples R China</t>
  </si>
  <si>
    <t>Central South University</t>
  </si>
  <si>
    <t>Li, HQ (corresponding author), Cent South Univ, Sch Architecture &amp; Art, Dept Prod Design, Changsha, Hunan, Peoples R China.</t>
  </si>
  <si>
    <t>lihuiqing@csu.edu.cn</t>
  </si>
  <si>
    <t>E D P SCIENCES</t>
  </si>
  <si>
    <t>CEDEX A</t>
  </si>
  <si>
    <t>17 AVE DU HOGGAR PARC D ACTIVITES COUTABOEUF BP 112, F-91944 CEDEX A, FRANCE</t>
  </si>
  <si>
    <t>2267-1242</t>
  </si>
  <si>
    <t>E3S WEB CONF</t>
  </si>
  <si>
    <t>10.1051/e3sconf/202124502017</t>
  </si>
  <si>
    <t>Energy &amp; Fuels; Engineering, Chemical; Engineering, Electrical &amp; Electronic; Environmental Sciences</t>
  </si>
  <si>
    <t>Energy &amp; Fuels; Engineering; Environmental Sciences &amp; Ecology</t>
  </si>
  <si>
    <t>BR6VL</t>
  </si>
  <si>
    <t>WOS:000664285400080</t>
  </si>
  <si>
    <t>Ivannikov, R; Laguta, I; Anishchenko, V; Skorochod, I; Kuzema, P; Stavinskaya, O; Parnikoza, I; Poronnik, O; Myryuta, G; Kunakh, V</t>
  </si>
  <si>
    <t>Ivannikov, Roman; Laguta, Iryna; Anishchenko, Viktor; Skorochod, Iryna; Kuzema, Pavlo; Stavinskaya, Oksana; Parnikoza, Ivan; Poronnik, Oksana; Myryuta, Ganna; Kunakh, Viktor</t>
  </si>
  <si>
    <t>COMPOSITION AND RADICAL SCAVENGING ACTIVITY OF THE EXTRACTS FROM DESCHAMPSIA ANTARCTICA E. DESV. PLANTS GROWN IN SITU AND IN VITRO</t>
  </si>
  <si>
    <t>CHEMISTRY JOURNAL OF MOLDOVA</t>
  </si>
  <si>
    <t>phenolic acid; flavonoid; antiradical activity; plant extract; Deschampsia antarctica</t>
  </si>
  <si>
    <t>The aim of the work was to study the compounds available in the Deschampsia antarctica plants from various sites on the Argentine Islands region, the maritime Antarctic, as well as to introduce the plants into in vitro culture and to compare the extracts from the plants grown in situ and in vitro. The composition of extracts was investigated using HPLC and MALDI MS methods while antiradical activity was tested in the reactions with DPPH center dot, NO center dot and OH center dot radicals. All the extracts were found to contain high amounts of phenols (up to 900 mg/L), with derivatives of luteolin and hydroxybenzoic acids being the main bioactive compounds in the extracts from the plants grown in situ and in vitro, respectively. All the extracts showed high antiradical activity, under standard tests conditions, 10-fold diluted extracts scavenged 5090% of DPPH radicals, 20 divided by 40% of NO center dot radicals and 40 divided by 60% of OH center dot radicals. Despite the differences in the composition, extracts from the plants grown in vitro were not inferior as radical scavengers to extracts from the plants grown in situ.</t>
  </si>
  <si>
    <t>[Ivannikov, Roman] Natl Acad Sci Ukraine, MM Gryshko Natl Bot Garden, 1 Timiryazevska Str, UA-01014 Kyev, Ukraine; [Laguta, Iryna; Kuzema, Pavlo; Stavinskaya, Oksana] Natl Acad Sci Ukraine, Chuiko Inst Surface Chem, 17 Gen Naumov Str, UA-03164 Kyev, Ukraine; [Anishchenko, Viktor] Natl Acad Sci Ukraine, LM Litvinenko Inst Phys Organ Chem &amp; Coal Chem, 50 Kharkivske Hwy, UA-02160 Kyev, Ukraine; [Skorochod, Iryna] Natl Acad Sci Ukraine, DK Zabolotny Inst Microbiol &amp; Virol, 154 Zabolotny Str, UA-03143 Kyev, Ukraine; [Parnikoza, Ivan] Minist Educ &amp; Sci Ukraine, State Inst Natl Antarctic Sci Ctr, 16 Taras Shevchenko Blvd, UA-01601 Kyev, Ukraine; [Parnikoza, Ivan] Natl Acad Sci Ukraine, Inst Mol Biol &amp; Genet, 16 Taras Shevchenko Blvd, UA-03143 Kyev, Ukraine; [Parnikoza, Ivan; Poronnik, Oksana; Myryuta, Ganna; Kunakh, Viktor] Natl Acad Sci Ukraine, Inst Mol Biol &amp; Genet, 150 Zabolotnogo Str, UA-03143 Kyev, Ukraine; [Parnikoza, Ivan] Natl Univ Kyiv Mohyla Acad, 2 Skovorody Str, UA-04655 Kiev, Ukraine</t>
  </si>
  <si>
    <t>National Academy of Sciences Ukraine; MM Gryshko National Botanical Garden, NAS of Ukraine; National Academy of Sciences Ukraine; National Academy of Sciences Ukraine; National Academy of Sciences Ukraine; Zabolotny Institute of Microbiology &amp; Virology of NASU; Ministry of Education &amp; Science of Ukraine; National Academy of Sciences Ukraine; Institute of Molecular Biology &amp; Genetics of NASU; National Academy of Sciences Ukraine; Institute of Molecular Biology &amp; Genetics of NASU; Ministry of Education &amp; Science of Ukraine; National University of Kyiv Mohyla Academy</t>
  </si>
  <si>
    <t>Laguta, I (corresponding author), Natl Acad Sci Ukraine, Chuiko Inst Surface Chem, 17 Gen Naumov Str, UA-03164 Kyev, Ukraine.</t>
  </si>
  <si>
    <t>icvmtt34@gmail.com</t>
  </si>
  <si>
    <t>Kunakh, Viktor A./HKV-4993-2023; Poronnik, Oksana/HJI-1907-2023; Ivannikov, Roman/KEH-5471-2024; Anishchenko, Viktor/AAE-1084-2020; Parnikoza, Ivan/I-2398-2016</t>
  </si>
  <si>
    <t>Anishchenko, Viktor/0000-0001-5076-3549; Ivannikov, Roman/0000-0001-5917-2980; Skorohod, Irina/0000-0001-9624-1762; Kuzema, Pavlo/0000-0003-4028-4784; Stavinskaya, Oksana/0000-0001-9715-5292; Ivan, Parnikoza/0000-0002-0490-8134</t>
  </si>
  <si>
    <t>National Antarctic Scientific Centre of the Ministry of Education and Science of Ukraine</t>
  </si>
  <si>
    <t>The authors are grateful for the support of the National Antarctic Scientific Centre of the Ministry of Education and Science of Ukraine.; The study was performed as a part of the State Target Programme of Scientific and Technical Research in Antarctica for 2011-2020 (project Study of the unique properties of biologically active compounds of Antarctic vascular plants grown in situ and in vitro).</t>
  </si>
  <si>
    <t>ACAD SCIENCES MOLDOVA, INST CHEMISTRY</t>
  </si>
  <si>
    <t>CHISINAU</t>
  </si>
  <si>
    <t>3 ACADEMIEI STR, CHISINAU, MD-2028, MOLDOVA</t>
  </si>
  <si>
    <t>1857-1727</t>
  </si>
  <si>
    <t>2345-1688</t>
  </si>
  <si>
    <t>CHEM J MOLD</t>
  </si>
  <si>
    <t>Chem. J. Mold.</t>
  </si>
  <si>
    <t>10.19261/cjm.2021.841</t>
  </si>
  <si>
    <t>Chemistry, Multidisciplinary</t>
  </si>
  <si>
    <t>TA4UH</t>
  </si>
  <si>
    <t>WOS:000667244500009</t>
  </si>
  <si>
    <t>Palópolo, EE; Brezina, SS; Casadio, S; Griffin, M; Santillana, S</t>
  </si>
  <si>
    <t>Palopolo, Evangelina E.; Brezina, Soledad S.; Casadio, Silvio; Griffin, Miguel; Santillana, Sergio</t>
  </si>
  <si>
    <t>A new zoroasterid asteroid from the Eocene of Seymour Island, Antarctica</t>
  </si>
  <si>
    <t>ACTA PALAEONTOLOGICA POLONICA</t>
  </si>
  <si>
    <t>Asteroidea; Zoroasteridae; palaeoenvironment; Paleogene; La Meseta Formation; Antarctic Peninsula</t>
  </si>
  <si>
    <t>SEA STARS; PHYLOGENY; ECHINODERMATA; FORCIPULATIDA; RECORD</t>
  </si>
  <si>
    <t>New, well-preserved fossil starfish material is recorded from the Eocene La Meseta Formation exposed in Seymour Island, Antarctica. The use of new technology (i.e., microCT) on several fragments enabled the visualization of new characters and the differentiation of a new species, Zoroaster marambioensis sp. nov., which was previously identified as Zoroaster aff. Z. fulgens. Diagnostic characters of Z. marambioensis sp. nov. are (i) central disc plate enlarged, lobate and flattened, (ii) disc ring with enlarged, tumid radials and polygonal, flattened inter-radials, (iii) primary spines on disc only present on radials, (iv) oral armature with 1-3 primary spines and 1-2 secondary spines for each prominent adambulacral. The depositional setting represents the outer zone of an estuary dominated by marine processes affected by long lived hyperpycnal flows. We argue that zoroasterids colonized a distal part of the estuary under normal marine salinity and were killed by the input of freshwater carried by a hyperpycnal flow, and immediately buried by fine grained sandstone. Sedimentological data suggest that Z marambioensis sp. nov. lived in shallow-water environments, it seems possible that they were adapted to higher temperatures than other Recent species of the genus, which inhabit cold, deep marine environments.</t>
  </si>
  <si>
    <t>[Palopolo, Evangelina E.; Brezina, Soledad S.; Casadio, Silvio] Univ Nacl Rio Negro, Inst Invest Paleobiol &amp; Geol, Rio Negro, Argentina; [Palopolo, Evangelina E.; Casadio, Silvio] UNRN, IIPG, Consejo Nacl Invest Cient &amp; Tecnol CONICET, Av Roca 1242,R8332EXZ, Gen Roca, Rio Negro, Argentina; [Griffin, Miguel] Univ Nacl La Plata, Fac Ciencias Nat &amp; Museo, Edificio Anexo Labs Museo,Lab 110,Ave 122 &amp; 60, La Plata, Buenos Aires, Argentina; [Santillana, Sergio] Inst Antartico Argentina, 25 Mayo 1143, San Martin, Buenos Aires, Argentina</t>
  </si>
  <si>
    <t>National University of La Plata; Museo La Plata; Instituto Antartico Argentino</t>
  </si>
  <si>
    <t>Palópolo, EE (corresponding author), Univ Nacl Rio Negro, Inst Invest Paleobiol &amp; Geol, Rio Negro, Argentina.;Palópolo, EE (corresponding author), UNRN, IIPG, Consejo Nacl Invest Cient &amp; Tecnol CONICET, Av Roca 1242,R8332EXZ, Gen Roca, Rio Negro, Argentina.</t>
  </si>
  <si>
    <t>eepalopolo@unrn.edu.ar; sbrezina@unrn.edu.ar; scasadio@unrn.edu.ar; mgriffin@fcnym.unlp.edu.ar; ssantillana@dna.gov.ar</t>
  </si>
  <si>
    <t>CONICET; Instituto Antartico Argentino; Agencia Nacional de Promocion de la Investigacion, el Desarrollo Tecnologico y la Innovacion [PICT 2018-917]</t>
  </si>
  <si>
    <t>CONICET(Consejo Nacional de Investigaciones Cientificas y Tecnicas (CONICET)); Instituto Antartico Argentino; Agencia Nacional de Promocion de la Investigacion, el Desarrollo Tecnologico y la Innovacion</t>
  </si>
  <si>
    <t>Authors acknowledge Carolina Acosta Hospitaleche and Javier Gelfo (both Universidad Nacional de La Plata, Argentina) for helping with the specimens collection in the field; Sergio Marenssi (Universidad de Buenos Aires, Argentina) and Carlos Zavala (Universidad Nacional del Sur, Bahia Blanca, Argentina) for the comments on the stratigraphy and sedimentology; and Carolina Martin Cao-Romero (Universidad Nacional Autonoma de Mexico, Ciudad de Mexico, Mexico) for the relevant comments about important characters to differentiate species of the genus. We also thank the very useful comments and suggestions made by the reviewers, Christopher Mah (National Museum of Natural History, Washington, USA), Daniel Blake (University of Illinois, Springfield, USA), and an anonymous. This publication was supported by CONICET and Instituto Antartico Argentino. Funding to this project was provided by Agencia Nacional de Promocion de la Investigacion, el Desarrollo Tecnologico y la Innovacion (PICT 2018-917).</t>
  </si>
  <si>
    <t>INST PALEOBIOLOGII PAN</t>
  </si>
  <si>
    <t>WARSAW</t>
  </si>
  <si>
    <t>UL TWARDA 51/55, 00-818 WARSAW, POLAND</t>
  </si>
  <si>
    <t>0567-7920</t>
  </si>
  <si>
    <t>1732-2421</t>
  </si>
  <si>
    <t>ACTA PALAEONTOL POL</t>
  </si>
  <si>
    <t>Acta Palaeontol. Pol.</t>
  </si>
  <si>
    <t>10.4202/app.00714.2019</t>
  </si>
  <si>
    <t>Paleontology</t>
  </si>
  <si>
    <t>SX8AI</t>
  </si>
  <si>
    <t>WOS:000665420200003</t>
  </si>
  <si>
    <t>Pavlovska, M; Prekrasna, I; Parnikoza, I; Dykyi, E</t>
  </si>
  <si>
    <t>Pavlovska, Mariia; Prekrasna, Ievgeniia; Parnikoza, Ivan; Dykyi, Evgen</t>
  </si>
  <si>
    <t>Soil Sample Preservation Strategy Affects the Microbial Community Structure</t>
  </si>
  <si>
    <t>MICROBES AND ENVIRONMENTS</t>
  </si>
  <si>
    <t>sample preservation; soil microbial communities; storage buffer; DESS</t>
  </si>
  <si>
    <t>STORAGE</t>
  </si>
  <si>
    <t>Sample preservation is a critical procedure in any research that relies on molecular tools and is conducted in remote areas. Sample preservation options include low and mom temperature storage, which require freezing equipment and specific buffering solutions, respectively. The aim of the present study was to investigate whether DNA/RNA Shield lx from Zymo Research and DESS (Dimethyl sulfoxide. Ethylenediamine tetraacetic acid, Saturated Salt) solution performed similarly to snap freezing in liquid nitrogen. Soil samples were stored for 1 month in each of the buffers and without any solution at a range of temperatures: -20, +4, and +23 degrees C. All treatments were compared to the optimal treatment, namely, snap freezing in liquid nitrogen. The quality and quantity of DNA were analyzed, and the microbial community structure was investigated in all samples. The results obtained indicated that the quantity and integrity of DNA was preserved well in all samples; however, the taxonomic distribution was skewed in samples stored without any solution at ambient temperatures, particularly when analyses were performed at lower taxonomic levels. Although both solutions performed equally well, sequencing output and OTU numbers in DESS-treated samples were closer to those snap frozen with liquid nitrogen. Furthermore, DNA/RNA Shield-stored samples performed better for the preservation of rare taxa.</t>
  </si>
  <si>
    <t>[Pavlovska, Mariia; Prekrasna, Ievgeniia; Parnikoza, Ivan; Dykyi, Evgen] State Inst Natl Antarctic Sci Ctr, 16 Taras Shevchenko Blvd, UA-01601 Kiev, Ukraine; [Pavlovska, Mariia] Natl Univ Life &amp; Environm Sci Ukraine, 15 Heroiv Oborony Str, UA-03041 Kiev, Ukraine</t>
  </si>
  <si>
    <t>Ministry of Education &amp; Science of Ukraine; State Institution National Antarctic Scientific Center; National University of Life &amp; Environmental Sciences of Ukraine</t>
  </si>
  <si>
    <t>Pavlovska, M (corresponding author), State Inst Natl Antarctic Sci Ctr, 16 Taras Shevchenko Blvd, UA-01601 Kiev, Ukraine.;Pavlovska, M (corresponding author), Natl Univ Life &amp; Environm Sci Ukraine, 15 Heroiv Oborony Str, UA-03041 Kiev, Ukraine.</t>
  </si>
  <si>
    <t>mawwwa88@gmail.com</t>
  </si>
  <si>
    <t>Parnikoza, Ivan/I-2398-2016; NULES, NUBiP/ABC-8391-2021</t>
  </si>
  <si>
    <t>Prekrasna, Ievgeniia/0000-0001-8139-4395</t>
  </si>
  <si>
    <t>This research was funded by the National Antarctic Scientific Center of Ukraine (State Target Scientific and Technical Program for Antarctic Research in 2011-2020).</t>
  </si>
  <si>
    <t>JAPANESE SOC MICROBIAL ECOLOGY, DEPT BIORESOURCE SCIENCE</t>
  </si>
  <si>
    <t>IBARAKI</t>
  </si>
  <si>
    <t>C/O DR. HIROYUKI OHTA, SEC, IBARAKI UNIV COLLEGE OF AGRICULT, AMI-MACHI, IBARAKI, JAPAN</t>
  </si>
  <si>
    <t>1342-6311</t>
  </si>
  <si>
    <t>MICROBES ENVIRON</t>
  </si>
  <si>
    <t>Microbes Environ.</t>
  </si>
  <si>
    <t>ME20134</t>
  </si>
  <si>
    <t>10.1264/jsme2.ME20134</t>
  </si>
  <si>
    <t>TD5RB</t>
  </si>
  <si>
    <t>WOS:000669382800009</t>
  </si>
  <si>
    <t>Ivanova, NS; Kruchenitskii, GM; Kuznetsova, IN; Shalygina, IY; Lezina, EA</t>
  </si>
  <si>
    <t>Ivanova, N. S.; Kruchenitskii, G. M.; Kuznetsova, I. N.; Shalygina, I. Yu.; Lezina, E. A.</t>
  </si>
  <si>
    <t>Ozone Content over the Russian Federation in 2020</t>
  </si>
  <si>
    <t>total ozone monitoring in CIS; total ozone anomaly in fourth quarter of 2020 and for the whole year; Antarctic ozone hole; surface ozone values</t>
  </si>
  <si>
    <t>TRENDS</t>
  </si>
  <si>
    <t>The review is based on the results of operation of the total ozone (TO) monitoring system in Russia and neighboring countries that functions in the operational mode at the Central Aerological Observatory. The monitoring system uses data from the national network equipped with M-124 filter ozonometers being under the methodological supervision of the Main Geophysical Observatory. The quality of the functioning of the entire system is operationally controlled using the OMI satellite equipment observations (NASA, USA). Basic TO observation data are generalized for each month of the fourth quarter of 2020, for the fourth quarter, and for the whole year. Data of routine observations of surface ozone in the Moscow region are also presented.</t>
  </si>
  <si>
    <t>[Ivanova, N. S.; Kruchenitskii, G. M.] Cent Aerol Observ, Ul Pervomaiskaya 3, Dolgoprudnyi 141700, Moscow Oblast, Russia; [Kuznetsova, I. N.; Shalygina, I. Yu.] Hydrometeorol Res Ctr Russian Federat, Bolshoi Predtechenskii Per 11-13, Moscow 123242, Russia; [Lezina, E. A.] Mosekomonitoring, Ul Novyi Arbat 11 Str 1, Moscow 119019, Russia</t>
  </si>
  <si>
    <t>Ivanova, NS (corresponding author), Cent Aerol Observ, Ul Pervomaiskaya 3, Dolgoprudnyi 141700, Moscow Oblast, Russia.</t>
  </si>
  <si>
    <t>oom@cao-rhms.ru</t>
  </si>
  <si>
    <t>10.3103/S1068373921020084</t>
  </si>
  <si>
    <t>SY2HT</t>
  </si>
  <si>
    <t>WOS:000665713700008</t>
  </si>
  <si>
    <t>Liang, Q; Zhou, CX; Zheng, L</t>
  </si>
  <si>
    <t>Liang, Qi; Zhou, Chunxia; Zheng, Lei</t>
  </si>
  <si>
    <t>Mapping Basal Melt Under the Shackleton Ice Shelf, East Antarctica, From CryoSat-2 Radar Altimetry</t>
  </si>
  <si>
    <t>Ice shelf; Ice; Sea surface; Antarctica; Sea measurements; Sea level; Uncertainty; Altimetry; basal melt rate; CryoSat-2; ice shelf; Lagrangian framework</t>
  </si>
  <si>
    <t>PINE ISLAND GLACIER; DIGITAL ELEVATION MODEL; SURFACE MASS-BALANCE; RATES; BENEATH; CLIMATE; DRIVEN; CIRCULATION; GREENLAND; IMPACTS</t>
  </si>
  <si>
    <t>Ice shelvesbuttress the fast-flowing glaciers draining ice sheets, so changes in the ice shelves may alter the buttressing effect and the discharge of grounded ice, therefore influencing sea level. Basal melting of the ice shelves would reduce their ability to restrain the discharge of grounded ice into the ocean. However, estimating the basal melt rate is challenging due to the large uncertainty in the calculation. In this study, we use a Lagrangian framework to improve the basal melt rate derivation and apply the method to the Shackleton ice shelf as a case study. We use the CryoSat-2 data to characterize the spatial distribution patterns of ice shelf surface elevation changes between 2010 and 2018. Combining these results with the ice surface velocity and output from the regional climate model, we obtain a map of the basal melt rate and calculate the total and average basal mass balance. The total basal meltwater production for the Shackleton ice shelf is 54.6 +/- 7.2 Gt/yr. The highest melt rates, which exceed 50 m/yr, are found close to the grounding line and the main trunk of Denman glacier. Based on the analysis, we show that the Lagrangian method can provide more spatially coherent patterns of ice shelf surface elevation changes and reduce the uncertainty in basal melt rate calculation.</t>
  </si>
  <si>
    <t>[Liang, Qi; Zheng, Lei] Sun Yat Sen Univ, Sch Geospatial Engn &amp; Sci, Southern Marine Sci &amp; Engn Guangdong Lab Zhuhai, Zhuhai 519000, Peoples R China; [Zhou, Chunxia] Chinese Antarctic Ctr Surveying &amp; Mapping Wuhan, Wuhan 430079, Peoples R China</t>
  </si>
  <si>
    <t>Sun Yat Sen University; Southern Marine Science &amp; Engineering Guangdong Laboratory; Southern Marine Science &amp; Engineering Guangdong Laboratory (Zhuhai)</t>
  </si>
  <si>
    <t>Zhou, CX (corresponding author), Chinese Antarctic Ctr Surveying &amp; Mapping Wuhan, Wuhan 430079, Peoples R China.</t>
  </si>
  <si>
    <t>liangq57@mail.sysu.edu.cn; zhoucx@whu.edu.cn; zhenglei6@mail.sysu.edu.cn</t>
  </si>
  <si>
    <t>Liang, Qi/AAI-4973-2020</t>
  </si>
  <si>
    <t>Liang, Qi/0000-0002-6766-9361</t>
  </si>
  <si>
    <t>National Natural Science Foundation of China [41776200, 41941010, 41531069]; Funds for the Distinguished Young Scientists of Hubei Province (China) [2019CFA057]</t>
  </si>
  <si>
    <t>National Natural Science Foundation of China(National Natural Science Foundation of China (NSFC)); Funds for the Distinguished Young Scientists of Hubei Province (China)</t>
  </si>
  <si>
    <t>This work was supported in part by the National Natural Science Foundation of China underGrant 41776200, Grant 41941010, andGrant 41531069, and in part by the Funds for the Distinguished Young Scientists of Hubei Province (China) under Grant 2019CFA057.</t>
  </si>
  <si>
    <t>10.1109/JSTARS.2021.3077359</t>
  </si>
  <si>
    <t>SN5PE</t>
  </si>
  <si>
    <t>WOS:000658340600001</t>
  </si>
  <si>
    <t>Franke, K; Liesner, D; Heesch, S; Bartsch, I</t>
  </si>
  <si>
    <t>Franke, Kiara; Liesner, Daniel; Heesch, Svenja; Bartsch, Inka</t>
  </si>
  <si>
    <t>Looks can be deceiving: contrasting temperature characteristics of two morphologically similar kelp species co-occurring in the Arctic</t>
  </si>
  <si>
    <t>BOTANICA MARINA</t>
  </si>
  <si>
    <t>C:N-ratio; gametogenesis; growth rate; PAM fluorometry; sporophyte</t>
  </si>
  <si>
    <t>SENSU-LATO; LAMINARIA; PHAEOPHYCEAE; PACIFIC; BIOGEOGRAPHY; SURVIVAL; SEAWEEDS; SVALBARD; UTILITY</t>
  </si>
  <si>
    <t>Two morphologically similar digitate kelp species, Laminaria digitata and Hedophyllum nigripes, co-occur along a shallow sublittoral depth gradient in the Arctic but, in contrast to L. digitata, very few ecophysiological data exist for H. nigripes. We investigated growth, survival, photosynthetic characteristics and carbon:nitrogen ratios of juvenile sporophytes, and recruitment and survival of gametophytes in genetically verified Arctic isolates of both species along temperature gradients (0-25 degrees C) over 14 days. Laminaria digitata gametophytes survived 23-24 degrees C, while sporophytes survived 21-22 degrees C. Hedophyllum nigripes had lower temperature affinities. Gametophytes survived 19-21 degrees C, while sporophytes survived 18 degrees C. Male gametophytes were more heat-tolerant than female gametophytes in both species. The pronounced cold adaption of H. nigripes compared to L. digitata also became apparent in different sporophyte growth optima (L. digitata: 15 degrees C; H. nigripes: 10 degrees C) and gametogenesis optima (L. digitata: 5-15 degrees C; H. nigripes: 0-10 degrees C). Higher carbon:nitrogen ratios in H. nigripes suggest an adaptation to nutrient poor Arctic conditions. The overall temperature performance of H. nigripes possibly restricts the species to Arctic-Sub-Arctic regions, while Arctic L. digitata behaved similarly to cold-temperate populations. Our data suggest that a future increase in seawater temperatures may hamper the success of H. nigripes and favour L. digitata in Arctic environments.</t>
  </si>
  <si>
    <t>[Franke, Kiara; Liesner, Daniel; Bartsch, Inka] Helmholtz Ctr Polar &amp; Marine Res, Alfred Wegener Inst, Handelshafen 12, D-27570 Bremerhaven, Germany; [Franke, Kiara; Heesch, Svenja] Univ Rostock, Appl Ecol &amp; Phycol, Albert Einstein Str 21, D-18059 Rostock, Germany; [Liesner, Daniel] Max Planck Inst Dev Biol, Dept Algal Dev &amp; Evolut, Max Planck Ring 5, D-72076 Tubingen, Germany</t>
  </si>
  <si>
    <t>Helmholtz Association; Alfred Wegener Institute, Helmholtz Centre for Polar &amp; Marine Research; University of Rostock; Max Planck Society</t>
  </si>
  <si>
    <t>Franke, K (corresponding author), Helmholtz Ctr Polar &amp; Marine Res, Alfred Wegener Inst, Handelshafen 12, D-27570 Bremerhaven, Germany.;Franke, K (corresponding author), Univ Rostock, Appl Ecol &amp; Phycol, Albert Einstein Str 21, D-18059 Rostock, Germany.</t>
  </si>
  <si>
    <t>kiara.franke@uni-rostock.de</t>
  </si>
  <si>
    <t>Franke, Kiara/0000-0001-6318-8475</t>
  </si>
  <si>
    <t>Deutsche Forschungsgemeinschaft (DFG) [GR5088/2-1, VA 105/25-1, SPP 1158]</t>
  </si>
  <si>
    <t>Deutsche Forschungsgemeinschaft (DFG)(German Research Foundation (DFG))</t>
  </si>
  <si>
    <t>K.F. thanks the Deutsche Forschungsgemeinschaft (DFG) for funding in the frame of the project Seasonal kelp primary production at a rocky shore site: Integrating physiology and biochemistry into ecological modelling (GR5088/2-1). D.L. contributed in the frame of the 2015-2016 BiodivERsA COFUND call for research proposals (program MARFOR), with the national funder DFG (grant no. VA 105/25-1) and S.H. was supported by the DFG in the framework of the priority programme Antarctic Research with comparative investigations in Arctic ice areas SPP 1158. Conflict of interest statement: The authors declare no conflicts of interest regarding this article.</t>
  </si>
  <si>
    <t>WALTER DE GRUYTER GMBH</t>
  </si>
  <si>
    <t>GENTHINER STRASSE 13, D-10785 BERLIN, GERMANY</t>
  </si>
  <si>
    <t>0006-8055</t>
  </si>
  <si>
    <t>1437-4323</t>
  </si>
  <si>
    <t>BOT MAR</t>
  </si>
  <si>
    <t>Bot. Marina</t>
  </si>
  <si>
    <t>10.1515/bot-2021-0014</t>
  </si>
  <si>
    <t>Plant Sciences; Marine &amp; Freshwater Biology</t>
  </si>
  <si>
    <t>SQ7KT</t>
  </si>
  <si>
    <t>WOS:000660531300001</t>
  </si>
  <si>
    <t>Tanaka, H; Yoo, H; Pham, HTM; Karanovic, I</t>
  </si>
  <si>
    <t>Tanaka, Hayato; Yoo, Hyunsu; Huyen Thi Minh Pham; Karanovic, Ivana</t>
  </si>
  <si>
    <t>Two new xylophile cytheroid ostracods (Crustacea) from Kuril-Kamchatka Trench, with remarks on the systematics and phylogeny of the family Keysercytheridae, Limnocytheridae, and Paradoxostomatidae</t>
  </si>
  <si>
    <t>ARTHROPOD SYSTEMATICS &amp; PHYLOGENY</t>
  </si>
  <si>
    <t>Cytheroidea; deep sea; molecular phylogeny; symbiosis; wood-fall fauna; 18S rRNA gene</t>
  </si>
  <si>
    <t>HYDROTHERMAL VENT OSTRACODA; MOLECULAR PHYLOGENY; SOUTH-KOREA; EVOLUTION; POSITION; GENUS; PODOCOPIDA; EXPEDITION; SEQUENCES; SELECTION</t>
  </si>
  <si>
    <t>Keysercythere reticulata sp. nov. and Redekea abyssalis sp. nov., collected from the wood fall submerged in the Kuril-Kamchatka Trench (Northwestern Pacific), are only the second records of the naturally occurring, wood-associated ostracod fauna from a depth of over 5000 m. At the same time, K. reticulata is the second and R. abyssalis is the third representative of their respective genera. While Keysercythere Karanovic and Brandao, 2015 species are free-living, deep-sea taxa, all Redekea de Vos, 1953 live symbiotically on the body surface of wood-boring isopods, Limnoria spp. Since R. abyssalis is the only genus representative found in the deep sea, we hypothesize that its ancestor colonized this ecosystem as a result of the symbiotic relationship. Newly collected material enabled us to update molecular phylogeny of Cythreoidea based on 18S rRNA gene sequences, especially to clarify the current systematics of the families Keysercytheridae, Limnocytheridae, and Paradoxostomatidae. The resulting phylogenetic tree supports a close relationship between Keysercythere and Redekea and a distant relationship between two Limnocytheridae lineages, Timiriaseviinae and Limnocytherinae. Consequently, we propose a transfer of Redekea from Paradoxostomatidae to Keysercytheridae, and erecting of the two limnocytherid subfamilies onto the family level. The phylogenetic analysis also implies a close relationship between the nominal Limnocytherinae genus and Keysercythere+Redekea clade, albeit with a low posterior probability, requiring further studies to clarify this.</t>
  </si>
  <si>
    <t>[Tanaka, Hayato] Tokyo Sea Life Pk, Edogawa Ku, 6-2-3 Rinkai Cho, Tokyo 1348587, Japan; [Yoo, Hyunsu] Marine Environm Res &amp; Informat Lab MERIL, 17 Gosan Ro,148 Beon Gil, Gun Po Si, Gyoenggi Do, South Korea; [Huyen Thi Minh Pham; Karanovic, Ivana] Hanyang Univ, Res Inst Convergence Basic Sci, Dept Life Sci, Seoul 04763, South Korea; [Karanovic, Ivana] Univ Tasmania, Inst Marine &amp; Antarctic Studies, Hobart, Tas, Australia</t>
  </si>
  <si>
    <t>Hanyang University; University of Tasmania</t>
  </si>
  <si>
    <t>Tanaka, H (corresponding author), Tokyo Sea Life Pk, Edogawa Ku, 6-2-3 Rinkai Cho, Tokyo 1348587, Japan.</t>
  </si>
  <si>
    <t>cladocopina@gmail.com</t>
  </si>
  <si>
    <t>YOO, HYUNSU/ADI-9139-2022; Huyen, Pham Thi Minh/GQB-2488-2022</t>
  </si>
  <si>
    <t>Huyen, Pham Thi Minh/0000-0001-9689-8596</t>
  </si>
  <si>
    <t>Senckenberg Natural History Museum; JSPS KAKENHI [JP263700]; National Research Foundation of Korea [2016R1D-1A1B01009806]; BK21 plus program (Eco-Bio Fusion Research Team) through the National Research Foundation (Ministry of Education of Korea) [22A20130012352]; KuramBio II (RV Sonne, 250th Expedition)</t>
  </si>
  <si>
    <t>Senckenberg Natural History Museum; JSPS KAKENHI(Ministry of Education, Culture, Sports, Science and Technology, Japan (MEXT)Japan Society for the Promotion of ScienceGrants-in-Aid for Scientific Research (KAKENHI)); National Research Foundation of Korea(National Research Foundation of Korea); BK21 plus program (Eco-Bio Fusion Research Team) through the National Research Foundation (Ministry of Education of Korea)(Ministry of Education (MOE), Republic of KoreaNational Research Foundation of Korea); KuramBio II (RV Sonne, 250th Expedition)</t>
  </si>
  <si>
    <t>The authors appreciate to Prof. Angelika Brandt (Senckenberg Natural History Museum) and all crew members of KuramBio II (RV Sonne, 250th Expedition) for their generous supports on board. We express our appreciation for Dr. Shinri Tomioka and Dr. Keiichi Kakui, who provided us the specimens of Redekea californica collected from Kominato, Chiba Prefecture, Japan. This study was funded by the JSPS KAKENHI Grant Numbers JP263700 (HT), National Research Foundation of Korea (grant no: 2016R1D-1A1B01009806), the BK21 plus program (Eco-Bio Fusion Research Team, 22A20130012352) through the National Research Foundation (Ministry of Education of Korea). This is KuramBio II publication #43.</t>
  </si>
  <si>
    <t>SENCKENBERG NATURHISTORISCHE SAMMLUNGEN DRESDEN, MUSEUM TIERKUNDE</t>
  </si>
  <si>
    <t>DRESDEN</t>
  </si>
  <si>
    <t>KOENIGSBRUECKER LANDSTRASSE 159, DRESDEN, 00000, GERMANY</t>
  </si>
  <si>
    <t>1863-7221</t>
  </si>
  <si>
    <t>1864-8312</t>
  </si>
  <si>
    <t>ARTHROPOD SYST PHYLO</t>
  </si>
  <si>
    <t>Arthropod. Syst. Phylogeny</t>
  </si>
  <si>
    <t>10.3897/asp.79.e62282</t>
  </si>
  <si>
    <t>Entomology</t>
  </si>
  <si>
    <t>ST9AT</t>
  </si>
  <si>
    <t>WOS:000662730900009</t>
  </si>
  <si>
    <t>Hillebrand, FL; Bremer, UF; Arigony-Neto, J; da Rosa, CN; de Jesus, JB; Idalino, FD; Sampaio, MIR</t>
  </si>
  <si>
    <t>Hillebrand, Fernando Luis; Bremer, Ulisses Franz; Arigony-Neto, Jorge; da Rosa, Cristiano Niederauer; de Jesus, Janisson Batista; Idalino, Filipe Daros; Rodrigues Sampaio, Marco Ivan</t>
  </si>
  <si>
    <t>INFLUENCE OF SAM PHASES ON THE SPATIAL DISTRIBUTION OF SEA ICE IN THE NORTH REGION OF THE ANTARCTIC PENINSULA</t>
  </si>
  <si>
    <t>REVISTA BRASILEIRA DE GEOMORFOLOGIA</t>
  </si>
  <si>
    <t>Portuguese</t>
  </si>
  <si>
    <t>Sea Ice Concentration; Passive Sensor; Weather Variables</t>
  </si>
  <si>
    <t>SOUTHERN ANNULAR MODE</t>
  </si>
  <si>
    <t>Sea ice has an important function in the global climatic system by means of the regulation of the transportation and exchange of heat between ocean and atmosphere, the formation of water bodies and ocean circulation. It also contributes to solar radiation backscattering on the surface of the Earth. However, the thermal and mechanical variables associated with the different Southern Annular Mode (SAM) phases may affect the ocean-atmosphere system. The objective of the present study is to evaluate in what ways the weather variables influence the sea ice concentration in the ocean region located in the north side of the Antarctic Peninsula during the different SAM phases, between the austral winters of 1979 and 2018. For this purpose, weather variables such as air temperature at 2 m, sea surface temperature, mean sea level pressure, total precipitation, wind speed, zonal wind component at 10 m and meridional wind component at 10 m were considered. It was found that, independently of the SAM phase, the air temperature at 2 m showed a strong negative correlation (R from -0.74 to -0.81) and sea surface temperature presented a moderate negative correlation (R from -0.62 to -0.67). It was also possible to identify a decreasing linear trend in the sea ice area with the magnitude of anomalies of sea ice concentration in the different SAM phases associated with the magnitude of average historical concentration.</t>
  </si>
  <si>
    <t>[Hillebrand, Fernando Luis; Bremer, Ulisses Franz; da Rosa, Cristiano Niederauer; Idalino, Filipe Daros] Univ Fed Rio Grande do Sul, Ctr Polar &amp; Climat, Av Bento Goncalves 9500, BR-91501970 Porto Alegre, RS, Brazil; [Arigony-Neto, Jorge] Univ Fed Rio Grande, Inst Oceanog, Av Italia 900, BR-96203900 Rio Grande, RS, Brazil; [de Jesus, Janisson Batista] Univ Fed Rio Grande do Sul, Programa Posgrad Sensoriamento Remoto, Av Bento Goncalves 9500, BR-91501970 Porto Alegre, RS, Brazil; [Rodrigues Sampaio, Marco Ivan] Univ Cruz Alta, Rodovia Municipal Jacob Della Mea,Km 5,6, BR-98020290 Cruz Alta, RS, Brazil</t>
  </si>
  <si>
    <t>Universidade Federal do Rio Grande do Sul; Universidade Federal do Rio Grande; Universidade Federal do Rio Grande do Sul; Universidade de Cruz Alta</t>
  </si>
  <si>
    <t>Hillebrand, FL (corresponding author), Univ Fed Rio Grande do Sul, Ctr Polar &amp; Climat, Av Bento Goncalves 9500, BR-91501970 Porto Alegre, RS, Brazil.</t>
  </si>
  <si>
    <t>fernando.hillebrand@rolante.ifrs.edu.br; ulissesbremer@gmail.com; jorgearigony@furg.br; cristianonrd@gmail.com; janisson.eng@gmail.com; filipe.daros.idalino@gmail.com; marsampaio@unicruz.edu.br</t>
  </si>
  <si>
    <t>Bremer, Ulisses F/D-3308-2013; Hillebrand, Fernando Luis/AAK-5772-2020</t>
  </si>
  <si>
    <t>Hillebrand, Fernando Luis/0000-0002-0182-8526; Arigony-Neto, Jorge/0000-0003-4848-2064</t>
  </si>
  <si>
    <t>UNIAO GEOMORFOLOGIA BRASILEIRA</t>
  </si>
  <si>
    <t>UBERLANDIA, BRAZIL</t>
  </si>
  <si>
    <t>UNIV FEDERAL UBERLANDIA, AV JOAO NAVES AVILA 2160, UBERLANDIA, BRAZIL, 00000, BRAZIL</t>
  </si>
  <si>
    <t>1519-1540</t>
  </si>
  <si>
    <t>2236-5664</t>
  </si>
  <si>
    <t>REV BRAS GEOMORFOL</t>
  </si>
  <si>
    <t>Rev. Bras. Geomorfol.</t>
  </si>
  <si>
    <t>JAN-MAR</t>
  </si>
  <si>
    <t>10.20502/rbg.v22i1.1996</t>
  </si>
  <si>
    <t>SU8AY</t>
  </si>
  <si>
    <t>WOS:000663354300011</t>
  </si>
  <si>
    <t>Mancilla, A</t>
  </si>
  <si>
    <t>Mancilla, Alejandra</t>
  </si>
  <si>
    <t>ON THE ANTARCTIC TREATY'S 60TH ANNIVERSARY: FOUR CRITICAL APPRAISALS</t>
  </si>
  <si>
    <t>REVISTA ESTUDIOS HEMISFERICOS Y POLARES</t>
  </si>
  <si>
    <t>Antarctic Treaty; Environmental Protocol; Antarctic Humanities and Social Sciences</t>
  </si>
  <si>
    <t>After 60 years from its entry into force, the articles from this special issue examine the Antarctic Treaty and its evolution from the viewpoints of history, philosophy and law.</t>
  </si>
  <si>
    <t>[Mancilla, Alejandra] Univ Oslo, Oslo, Norway</t>
  </si>
  <si>
    <t>University of Oslo</t>
  </si>
  <si>
    <t>Mancilla, A (corresponding author), Univ Oslo, Dept Filosofia, Fac Humanidades, Postboks 1020, N-0315 Oslo, Norway.</t>
  </si>
  <si>
    <t>alejandra.mancilla@ifikk.uio.no</t>
  </si>
  <si>
    <t>CENTRO ESTUDIOS HEMISFERICOS &amp; POLARES</t>
  </si>
  <si>
    <t>CALLE ROMA, 116, CALETA ABARCA, VINA DEL MAR, 2580060, CHILE</t>
  </si>
  <si>
    <t>0718-9230</t>
  </si>
  <si>
    <t>REV ESTUD HEMISFERIC</t>
  </si>
  <si>
    <t>Rev. Estud. Hemisfericos Polares</t>
  </si>
  <si>
    <t>JAN-JUN</t>
  </si>
  <si>
    <t>Area Studies</t>
  </si>
  <si>
    <t>SO9GW</t>
  </si>
  <si>
    <t>WOS:000659282800001</t>
  </si>
  <si>
    <t>Wöppke, MCL</t>
  </si>
  <si>
    <t>Leon Woppke, M. Consuelo</t>
  </si>
  <si>
    <t>DIPLOMATIC SILENCE IN CHILE? NATIONAL LITERATURE AND THE ANTARCTIC SYSTEM, 1961-1972</t>
  </si>
  <si>
    <t>Antarctic System; Chilean Diplomats; National Antarctic Literature</t>
  </si>
  <si>
    <t>This article analyzes why the Chilean Antarctic literature kept a cautios silence since the Antarctic Treaty entered into force in 1961. On the one hand, this work aims to explain how the public opinion understood the commitments that Chile had acquired by signing the Treaty. On the other hand, it identifies the names and views of the most influencial Chilean figures in Antarctic matters at that time. Regarding the sources, this work relies mostly upon articles published by specialized journals and material press, mainly from the newspaper La Union de Valparaiso. In order to achieve a more independent view this article incorporates only a few official documents.</t>
  </si>
  <si>
    <t>[Leon Woppke, M. Consuelo] Ctr Estudios Hemisfer &amp; Polares, Calle Roma 116, Vina Del Mar, Chile</t>
  </si>
  <si>
    <t>Wöppke, MCL (corresponding author), Ctr Estudios Hemisfer &amp; Polares, Calle Roma 116, Vina Del Mar, Chile.</t>
  </si>
  <si>
    <t>consuelo3leonw@gmail.com</t>
  </si>
  <si>
    <t>WOS:000659282800002</t>
  </si>
  <si>
    <t>Fontana, PG</t>
  </si>
  <si>
    <t>Gabriel Fontana, Pablo</t>
  </si>
  <si>
    <t>THE 'ANTARCTIC PROBLEM' AND THE ANTARCTIC TREATY: GENESIS OF AN INCONCLUSIVE DENOUEMENT</t>
  </si>
  <si>
    <t>Antarctica; History; Argentina; United Kingdom; Chile</t>
  </si>
  <si>
    <t>Most of the historiography on the Antarctic Treaty focused on the negotiations that gave rise to it and presented the 1957/58 International Geophysical Year as its starting point, highlighting the international cooperation, peace and science that emerged from that memorable event. However, at the birth of the Treaty we also found ourselves with a conflictive situation, determined, among other factors, by the so-called Antarctic Problem: the overlapping of claims on the Antarctic Peninsula, which threatened to unleash the continent's first war. Here we explore the most significant facts of that confrontation, focusing on the Argentine case.</t>
  </si>
  <si>
    <t>[Gabriel Fontana, Pablo] Consejo Nacl Invest Cient &amp; Tecn CONICET, Inst Antartico Argentino, Buenos Aires, DF, Argentina</t>
  </si>
  <si>
    <t>Instituto Antartico Argentino; Consejo Nacional de Investigaciones Cientificas y Tecnicas (CONICET)</t>
  </si>
  <si>
    <t>Fontana, PG (corresponding author), Inst Antartico Argentino, Av 25 Mayo 1143, Villa Lynch, Buenos Aires, Argentina.</t>
  </si>
  <si>
    <t>ftp@mrecic.gov.ar</t>
  </si>
  <si>
    <t>WOS:000659282800003</t>
  </si>
  <si>
    <t>Ferrada, LV</t>
  </si>
  <si>
    <t>Valentin Ferrada, Luis</t>
  </si>
  <si>
    <t>REFLECTIONS ABOUT THE COMMON INTEREST OF HUMANKIND ON THE 60TH ANNIVERSARY OF THE ANTARCTIC TREATY</t>
  </si>
  <si>
    <t>Antarctica; Common Interest of the Humankind; Global Commons; Antarctic Treaty System</t>
  </si>
  <si>
    <t>The system of Antarctic governance is a sui generis case. It combines the exercise of national sovereignty by seven States with an international co-administration by the Antarctic Treaty's Consultative Parties. Because the importance of Antarctica for the world, its situation is no so different from that of a global commons. Their governance can adopt the perspective of common interest of humankind. This paper reflects on the meaning of that, and about its challenges in general and concerning the Sixth Continent. We argue that this has been the view that has guided the Antarctic Treaty System's evolution in the past six decades, and it should be the one that drives its future development.</t>
  </si>
  <si>
    <t>[Valentin Ferrada, Luis] Univ Chile, Santiago, Chile</t>
  </si>
  <si>
    <t>Ferrada, LV (corresponding author), Av Santa Maria 076, Santiago, Chile.</t>
  </si>
  <si>
    <t>lvferrada@derecho.uchile.cl</t>
  </si>
  <si>
    <t>WOS:000659282800005</t>
  </si>
  <si>
    <t>Azin, AV; Bogdanov, EP; Maritsky, NN; Ponomarev, SA; Rikkonen, SV</t>
  </si>
  <si>
    <t>Azin, Anton, V; Bogdanov, Eugene P.; Maritsky, Nikolay N.; Ponomarev, Sergey A.; Rikkonen, Sergey, V</t>
  </si>
  <si>
    <t>MATHEMATICAL MODELLING OF HIGH-VISCOUS OIL ULTRASONIC PREPARATION FOR TRANSPORT</t>
  </si>
  <si>
    <t>BULLETIN OF THE TOMSK POLYTECHNIC UNIVERSITY-GEO ASSETS ENGINEERING</t>
  </si>
  <si>
    <t>Ultrasonic radiation; radiation energy; standing waves; reflected waves; frequency characteristics; layered acoustic system</t>
  </si>
  <si>
    <t>LAMB WAVES; SYSTEM</t>
  </si>
  <si>
    <t>The relevance of the research is caused by the need to determine the energy level of physical effects on high-viscous oil in order to prepare it for transport. This knowledge is relevant for the design of ultrasonic installations for changing the rheological properties of oil. The main aim of the research is to determine acoustic energy levels in layers of multilayer acoustic system at different impact frequencies in order to identify resonant modes of the mechanical system emitter-oil. Objects: mechanical multi-layered system emitter-oil, the design of which is determined by the method of energy application to the load and the resonant frequency of the particular layer. Methods: mathematical modeling of ultrasonic radiation with the determination of the energy of transmission, absorption and reflection in each layer of the mechanical system emitter-oil, determination of resonant frequencies with the maximum released energy in the oil layer. Results. Mathematical model of a multilayer acoustic system is presented. It allows calculating the energy of acoustic radiation in each layer of the system. The frequency characteristics of acoustic radiation make it possible to determine the resonance modes in each layer of the system, including oil. Knowledge of the level of acoustic energy, in the future, will make it possible to determine changes in the rheological properties of oil, including from heating. Findings. The developed mathematical model of the ultrasound propagation in a multilayer system makes it possible to calculate the energy in each layer of the acoustic system at different excitation frequencies of the vibration source with different ratios of the wavelength in the layer and the thickness of this layer. The presence of reflected waves in each layer creates a series of resonances (standing wave modes). The frequency characteristics, taking into account the interference pattern of the field, reflect the pattern of energy penetration into the layers and show that due to the formation of standing waves (resonances), the energy in oil can be close to the energy of the emitter. The acoustic energy in the oil layer decreases depending on the increase of the initial viscosity. This mathematical model makes it possible to calculate the design of an acoustic system for preparing oil and hydrocarbon fuels for transport, preparing fuels for combustion, preparing oils for operation in the Arctic and Antarctic.</t>
  </si>
  <si>
    <t>[Azin, Anton, V; Maritsky, Nikolay N.; Ponomarev, Sergey A.; Rikkonen, Sergey, V] Natl Res Tomsk State Univ, 36 Lenin Ave, Tomsk 634050, Russia; [Bogdanov, Eugene P.] Natl Res Tomsk Polytech Univ, 36 Lenin Ave, Tomsk 634050, Turkey</t>
  </si>
  <si>
    <t>Tomsk State University; Tomsk Polytechnic University</t>
  </si>
  <si>
    <t>Azin, AV (corresponding author), Natl Res Tomsk State Univ, 36 Lenin Ave, Tomsk 634050, Russia.</t>
  </si>
  <si>
    <t>antonazin@niipmm.tsu.ru; epbogdanov@mail.ru; nnmar@niipmm.tsu.ru; doc.sergeyponomarev@gmail.com; rikk2@yandex.ru</t>
  </si>
  <si>
    <t>Azin, Anton V./N-1981-2014; Maritsky, Nickolay N./N-4672-2016; Rikkonen, Sergei V./N-2033-2014; Ponomarev, Sergey A/H-3449-2017</t>
  </si>
  <si>
    <t>Azin, Anton V./0000-0003-2225-731X; Maritsky, Nickolay N./0000-0003-3855-1927;</t>
  </si>
  <si>
    <t>TOMSK POLYTECHNIC UNIV, PUBLISHING HOUSE</t>
  </si>
  <si>
    <t>TOMSK</t>
  </si>
  <si>
    <t>30, LENIN AVE, TOMSK, 634050, RUSSIA</t>
  </si>
  <si>
    <t>2500-1019</t>
  </si>
  <si>
    <t>2413-1830</t>
  </si>
  <si>
    <t>BULL TOMSK POLYTECH</t>
  </si>
  <si>
    <t>Bull. Tomsk Polytech. Univ.-Geo Assets Eng.</t>
  </si>
  <si>
    <t>10.18799/24131830/2021/04/3154</t>
  </si>
  <si>
    <t>Engineering, Geological</t>
  </si>
  <si>
    <t>SG9PL</t>
  </si>
  <si>
    <t>WOS:000653771900012</t>
  </si>
  <si>
    <t>Halici, MG; Kahraman, M; Kistenich, S; Timdal, E</t>
  </si>
  <si>
    <t>Halici, Mehmet Gokhan; Kahraman, Merve; Kistenich, Sonja; Timdal, Einar</t>
  </si>
  <si>
    <t>Toniniopsis bartakii - A new species of lichenised fungus from James Ross Island (Antarctic Peninsula)</t>
  </si>
  <si>
    <t>TURKISH JOURNAL OF BOTANY</t>
  </si>
  <si>
    <t>Antarctica; biodiversity; lichenized fungi; Ramalinaceae; mtSSU; nrITS</t>
  </si>
  <si>
    <t>IDENTIFICATION</t>
  </si>
  <si>
    <t>The new lichen species Toniniopsis bartakii is described from James Ross Island, the North-East Antarctic Peninsula region. It is phylogenetically most closely related to T. bagliettoana but differs mainly in forming a more developed, squamulose thallus. It is morphologically more similar to T. coelestina but differs mainly in the pigmentation in the proper exciple. An identification key to the known species of Toniniopsis is also provided.</t>
  </si>
  <si>
    <t>[Halici, Mehmet Gokhan; Kahraman, Merve] Erciyes Univ, Fac Sci, Dept Biol, Kayseri, Turkey; [Kistenich, Sonja] Norwegian Inst Water Res, Oslo, Norway; [Kistenich, Sonja; Timdal, Einar] Univ Oslo, Nat Hist Museum, Oslo, Norway</t>
  </si>
  <si>
    <t>Erciyes University; Norwegian Institute for Water Research (NIVA); University of Oslo</t>
  </si>
  <si>
    <t>Halici, MG (corresponding author), Erciyes Univ, Fac Sci, Dept Biol, Kayseri, Turkey.</t>
  </si>
  <si>
    <t>Kahraman Yiğit, Merve/AAW-5674-2021</t>
  </si>
  <si>
    <t>Tubitak Scientific &amp; Technological Research Council Turkey</t>
  </si>
  <si>
    <t>ANKARA</t>
  </si>
  <si>
    <t>ATATURK BULVARI NO 221, KAVAKLIDERE, TR-06100 ANKARA, TURKIYE</t>
  </si>
  <si>
    <t>1300-008X</t>
  </si>
  <si>
    <t>1303-6106</t>
  </si>
  <si>
    <t>TURK J BOT</t>
  </si>
  <si>
    <t>Turk. J. Bot.</t>
  </si>
  <si>
    <t>10.3906/bot-2101-24</t>
  </si>
  <si>
    <t>Plant Sciences</t>
  </si>
  <si>
    <t>SK9HL</t>
  </si>
  <si>
    <t>Green Published, Bronze</t>
  </si>
  <si>
    <t>WOS:000656529600004</t>
  </si>
  <si>
    <t>Bogorodskiy, PV; Kustov, VY; Movchan, VV; Ermokhina, KA</t>
  </si>
  <si>
    <t>Bogorodskiy, P., V; Kustov, V. Yu; Movchan, V. V.; Ermokhina, K. A.</t>
  </si>
  <si>
    <t>Generation of thermal convection in the moss-snow layer on the coast of the Gulf of Grenfjord (West Svalbard)</t>
  </si>
  <si>
    <t>convective instability; critical Rayleigh number; vegetation and snow cover; Svalbard</t>
  </si>
  <si>
    <t>PERMEABILITY</t>
  </si>
  <si>
    <t>The significant part of the Arctic soils is covered by vegetation all year round, to which a layer of snow is added in winter. Both layers have a similar structure, consisting of a skeleton (organic and ice, respectively) and air-saturated pores, and, thus, form a unified system with high heat-insulating properties. But, with the temperature gradient within the layers, convection can arise, which significantly reduces the thermal resistance of the layers and affects the heat, mass and gas exchange of the atmospheric boundary layer with the ground. In this connection, the role of convective transport in the formation of the thermodynamic and biogeochemical regime of polar ecosystems becomes obvious. Note that the role of convection in the snow cover is discussed in literature, but similar studies for vegetation are absent. This is one of the reasons why the processes of heat and mass transfer in the moss-snow layer above the ground in high latitudes are reproduced in a very simplified way, even in the most advanced models of the Earth system. In this paper, we study the occurrence of instability in a system of two porous layers with heat-insulated boundaries for conditions that approximate the snow and vegetation cover of the Arctic tundra on the coast of the Gulf of Grenfjord (West Spitsbergen). The analytical solution of the Rayleigh-Darcy problem is obtained by means of expansion of the amplitudes of perturbations of vertical velocity and air temperature into series. The dependence of the convective instability threshold on the variations of the thermal physical properties of the vegetation and snow cover of the studied region, parameterized according to measurement data and literature sources, is estimated. It has been found that the stability threshold increases with growth of snow thickness and density. It was also shown that the non-Rayleigh instability becomes impossible when heated from above (meaning the long-wave mode), which occurs in a similar system of two layers of homogeneous immiscible liquids due to the difference in their thermal physical properties.</t>
  </si>
  <si>
    <t>[Bogorodskiy, P., V; Kustov, V. Yu; Movchan, V. V.] Arctic &amp; Antarctic Res Inst, St Petersburg, Russia; [Ermokhina, K. A.] Russian Acad Sci, AN Severtsov Inst Ecol &amp; Evolut, Moscow, Russia</t>
  </si>
  <si>
    <t>Arctic &amp; Antarctic Research Institute; Russian Academy of Sciences; Saratov Scientific Center of the Russian Academy of Sciences; Severtsov Institute of Ecology &amp; Evolution</t>
  </si>
  <si>
    <t>Bogorodskiy, PV (corresponding author), Arctic &amp; Antarctic Res Inst, St Petersburg, Russia.</t>
  </si>
  <si>
    <t>bogorodski@aari.ru</t>
  </si>
  <si>
    <t>Ermokhina, Ksenia/D-8601-2017</t>
  </si>
  <si>
    <t>Ministry of Science and Education of the Russian Federation [2017-14-588-0005-003]</t>
  </si>
  <si>
    <t>Ministry of Science and Education of the Russian Federation(Ministry of Education and Science, Russian Federation)</t>
  </si>
  <si>
    <t>This study was supported by the Ministry of Science and Education of the Russian Federation (Project Changing Arctic Transpolar System No 2017-14-588-0005-003).</t>
  </si>
  <si>
    <t>10.31857/S2076673421020084</t>
  </si>
  <si>
    <t>SJ3CX</t>
  </si>
  <si>
    <t>WOS:000655410200006</t>
  </si>
  <si>
    <t>Grigoreva, SD; Kiniabaeva, ER; Kuznetsova, MR; Popov, SV; Kashkevich, MP</t>
  </si>
  <si>
    <t>Grigoreva, S. D.; Kiniabaeva, E. R.; Kuznetsova, M. R.; Popov, S., V; Kashkevich, M. P.</t>
  </si>
  <si>
    <t>Structure of snow-ice dams of the outburst lakes in the Broknes Peninsula (Larsemann Hills, East Antarctica) based on ground-penetrating radar data</t>
  </si>
  <si>
    <t>Broknes Peninsula; East Antarctica; ground-penetrating radar; Larsemann Hills; outburst floods</t>
  </si>
  <si>
    <t>During the summer field season of the 65th Russian Antarctic Expedition a research aimed at studying the structure of the snow-ice dams of the Lakes Progress and Discussion (Larsemann Hills, East Antarctica), which are characterized with annual outburst floods, was carried out. Survey was performed using ground-penetrating radar sounding complemented with non-core drilling and analysis of the aerial photo data acquired with unmanned aerial vehicle during the last field seasons. The results show that location of the waterways, which occur during the outbursts of the both lakes, does not change significantly year in year out and fits a linear depression in basement topography under the dam and a following flexure of the ice layer. During the winter period, the opened channels are being filled with snow, and thereby a natural softened zone is being formed. Further outburst flood propagates mainly within this zone. Monitoring survey of the snow-ice dam of the Progress Lake during the summer period showed that destruction of the dam does not happen rapidly when the outburst takes place, but begins a few weeks before it with gradual filtration within the snow layer.</t>
  </si>
  <si>
    <t>[Grigoreva, S. D.; Kiniabaeva, E. R.; Kuznetsova, M. R.; Popov, S., V; Kashkevich, M. P.] St Petersburg State Univ, St Petersburg, Russia; [Grigoreva, S. D.; Kiniabaeva, E. R.] Arctic &amp; Antarctic Res Inst, St Petersburg, Russia; [Popov, S., V] Polar Marine Geosurvey Expedit, St Petersburg, Russia</t>
  </si>
  <si>
    <t>Grigoreva, SD (corresponding author), St Petersburg State Univ, St Petersburg, Russia.;Grigoreva, SD (corresponding author), Arctic &amp; Antarctic Res Inst, St Petersburg, Russia.</t>
  </si>
  <si>
    <t>grigoreva.svetl@gmail.com</t>
  </si>
  <si>
    <t>Grigoreva, Svetlana/0000-0002-8853-559X</t>
  </si>
  <si>
    <t>RFBR [18-05-00421, 20-05-00343]</t>
  </si>
  <si>
    <t>RFBR(Russian Foundation for Basic Research (RFBR))</t>
  </si>
  <si>
    <t>The authors are grateful to their colleagues during the 65th Russian Antarctic Expedi. tion A.V. Mirakin, A.V. Semionov, I.B. Khokhriakov for their assistance in the field investigations. The re. search was supported by RFBR within the framework of the projects No 18-05-00421 Characteristics of formation and evolution of the outburst floods of Antarctic subglacial reservoirs and No 20-05-00343 Identification of the main features of outbursts at the lakes of Antarctic oases based on the fieldwork data and mathematical modeling.</t>
  </si>
  <si>
    <t>10.31857/S2076673421020089</t>
  </si>
  <si>
    <t>WOS:000655410200011</t>
  </si>
  <si>
    <t>Ionov, VV; Lukin, VV</t>
  </si>
  <si>
    <t>Ionov, V. V.; Lukin, V. V.</t>
  </si>
  <si>
    <t>Southern Ocean - the inclement sea surroundings of the icy continent</t>
  </si>
  <si>
    <t>Antarctica; first confirmed sighting; Russian Antarctic Expedition; sloops Vostok and Mirnyy</t>
  </si>
  <si>
    <t>The latest in a series of Great Geographical Discoveries was the finding of a southern ice continent in 1820. It was long expected, but very late for different reasons. Among the main ones are the physical and geographical characteristics of the Southern Polar Region of the Earth, which was discovered much earlier than the Northern one. Geographers and sailors, confident in the polar symmetry of the planet's surface, found it difficult to imagine the location of the still unknown continent so close to the South Pole. In addition, the vast belt of water and ice in the Southern Ocean surrounding Antarctica was (and still is) a serious obstacle to safe navigation. Other reasons were the results of James Cook's Second circumnavigation of the world in 1772-1775 to search for the Southern Mainland. In 1773, Captain D. Cook on the ship Resolution for the first time crossed the Southern Arctic Circle and reached 71 degrees s. s. He considered the voyage in the Southern Ocean quite successful: the Southern hemisphere was sufficiently explored and the search for the Southern continent was put to an end. The authority of the English navigator was so high that nobody tried to refute his opinion for almost half a century. It required not only the courage of scientific foresight, but also the power of a state with a developed shipbuilding industry, skilled sailors and experience of long successful voyages in the World's oceans. At the beginning of the XIX century, Russia having the status of the Ocean Power possessed all this. According to the plan of the Russian Navy Department, the Russian Antarctic Expedition of 1819-1821 was aimed at implementation of scientific exploration in the least studied and most inaccessible high latitudes of the Southern Ocean. One of the participants in the preparation of the expedition, Captain I rank I.F. Krusenstern, wrote that this expedition is for exploring the countries around the South Pole with greater accuracy than how much is known about them to this day.... In search of Antarctica, the naval sloops Vostok and Mirny had to cross the roaring forties and furious fifties of the southern latitudes and overcome the belt of drifting icebergs and polar ices.</t>
  </si>
  <si>
    <t>[Ionov, V. V.; Lukin, V. V.] St Petersburg State Univ, St Petersburg, Russia; [Lukin, V. V.] Arctic &amp; Antarctic Res Inst, St Petersburg, Russia</t>
  </si>
  <si>
    <t>Ionov, VV (corresponding author), St Petersburg State Univ, St Petersburg, Russia.</t>
  </si>
  <si>
    <t>v.ionov@spbu.ru</t>
  </si>
  <si>
    <t>10.31857/S2076673421020091</t>
  </si>
  <si>
    <t>WOS:000655410200013</t>
  </si>
  <si>
    <t>Lu, Z; Mukai, T; Fujimori, Y; Iida, K</t>
  </si>
  <si>
    <t>Lu, Zhen; Mukai, Tohru; Fujimori, Yasuzumi; Iida, Kohji</t>
  </si>
  <si>
    <t>Estimating the Zooplankton Sampling Efficiencies of a Framed Midwater Trawl and a Ring Net Using an Acoustic Method</t>
  </si>
  <si>
    <t>JOURNAL OF MARINE SCIENCE AND TECHNOLOGY-TAIWAN</t>
  </si>
  <si>
    <t>Sampling efficiency; Acoustic method; FMT; Ring net; Zooplankton</t>
  </si>
  <si>
    <t>BACKSCATTERING STRENGTH; ANTARCTIC KRILL; TARGET STRENGTH; SCATTERING; PERFORMANCE; ORIENTATION; SOUND; MODEL; KHZ</t>
  </si>
  <si>
    <t>It is well known that there is bias using different sampling gear, such as a framed midwater trawl (FMT) and a ring net, when measuring the density and length distribution of target species. This limit is characterized by the sampling efficiency of the gear. Acoustic monitoring can be used to determine the sampling efficiencies of this gear, as its non-invasive, wide-range sweeps provide more reliable estimates of absolute abundance of the target species. The density measured by the gear can then be standardized by multiplying the initial density measurement by the derived sampling efficiency. In this study, we compared the estimated densities of the dominant zooplankton in the sound scattering layer (SSL) from acoustic monitoring to the densities of the same species measured using the FMT and ring net. The respective sampling efficiencies of this gear for zooplankton categories was then determined using linear regression models. For small Euphausiidae and Copepoda, the sampling efficiency of ring net was higher than that of FMT. In contrast, the ring net was less effective than FMT for large Euphausiidae. These results highlight that the entering and retention rates of the species depend on the type and characteristics of the survey gear, as well as the size and swimming ability of the target species.</t>
  </si>
  <si>
    <t>[Lu, Zhen] Hokkaido Univ, Grad Sch Fisheries Sci, 3-1-1 Minato Cho, Hakodate, Hokkaido 0418611, Japan; [Mukai, Tohru; Fujimori, Yasuzumi; Iida, Kohji] Hokkaido Univ, Fac Fisheries Sci, 3-1-1 Minato Cho, Hakodate, Hokkaido 0418611, Japan; [Lu, Zhen] Japan Fisheries Res &amp; Educ Agcy, Fisheries Resources Inst, 3-27-5 Shinhama Cho, Shiogama, Miyagi 9850001, Japan</t>
  </si>
  <si>
    <t>Hokkaido University; Hokkaido University; Japan Fisheries Research &amp; Education Agency (FRA)</t>
  </si>
  <si>
    <t>Lu, Z (corresponding author), Japan Fisheries Res &amp; Educ Agcy, Fisheries Resources Inst, 3-27-5 Shinhama Cho, Shiogama, Miyagi 9850001, Japan.</t>
  </si>
  <si>
    <t>roshin@affrc.go.jp</t>
  </si>
  <si>
    <t>Mukai, Tohru/F-9143-2012; Fujimori, Yasuzumi/D-5148-2012</t>
  </si>
  <si>
    <t>NATL TAIWAN OCEAN UNIV</t>
  </si>
  <si>
    <t>KEELUNG</t>
  </si>
  <si>
    <t>NO 2 PEI-NING RD, KEELUNG, 202, TAIWAN</t>
  </si>
  <si>
    <t>1023-2796</t>
  </si>
  <si>
    <t>2709-6998</t>
  </si>
  <si>
    <t>J MAR SCI TECH-TAIW</t>
  </si>
  <si>
    <t>J. Mar. Sci. Technol.-Taiwan</t>
  </si>
  <si>
    <t>Engineering, Multidisciplinary; Oceanography</t>
  </si>
  <si>
    <t>SI3WN</t>
  </si>
  <si>
    <t>WOS:000654758200006</t>
  </si>
  <si>
    <t>Parkhomenko, MM; Lychuk, AI; Butenko, AO; Karpenko, OY; Rozhko, VM; Tsyz, OM; Chernega, TO; Tymoshenko, OP; Chmel, OP</t>
  </si>
  <si>
    <t>Parkhomenko, M. M.; Lychuk, A., I; Butenko, A. O.; Karpenko, O. Yu; Rozhko, V. M.; Tsyz, O. M.; Chernega, T. O.; Tymoshenko, O. P.; Chmel, O. P.</t>
  </si>
  <si>
    <t>Nitrogen balance in short crop rotations under various systems for restoring sod-podzolic soil fertility</t>
  </si>
  <si>
    <t>UKRAINIAN JOURNAL OF ECOLOGY</t>
  </si>
  <si>
    <t>short crop rotations; fertilization systems; sod-podzolic sandy loam soil; soil nitrogen regime; nitrogen balance</t>
  </si>
  <si>
    <t>QUALITY</t>
  </si>
  <si>
    <t>The influence of traditional organic-mineral, mineral, alternative (ecological) fertilizer systems on the nitrogen regime of the soil and nitrogen balance in the system fertilizer-plantin the conditions of Left Bank Chernihiv Polissya of Ukraine is studied. The fertilizer systems, influenced by grain and grain-potato short crop rotations on the soil and nitrogen balance, are presented. The intensity of nitrogen balance in traditional, mineral, organic, and alternative fertilizer systems in grain and grain-potato short crop rotations has been established. Nitrogen input into the soil with roots, post-harvest residues, by-products, and green manure was determined. The influence of crop set in crop rotations on the nitrogen regime of sod-podzolic sandy soil is determined.</t>
  </si>
  <si>
    <t>[Parkhomenko, M. M.] NSC Inst Agr NAAS, Mashynobudivnykiv Str 2b, UA-08162 Chabany, Ukraine; [Lychuk, A., I] State Inst Natl Antarctic Sci Ctr, Blvd Taras Shevchenko 16, UA-01601 Kiev, Ukraine; [Butenko, A. O.] Sumy Natl Agr Univ, Herasyma Kondratieva Str 160, UA-40021 Sumy, Ukraine; [Karpenko, O. Yu; Rozhko, V. M.; Tsyz, O. M.; Chernega, T. O.] Natl Univ Life &amp; Environm Sci Ukraine, Hero Oborony Str 15, UA-03041 Kiev, Ukraine; [Tymoshenko, O. P.; Chmel, O. P.] Chernih Polytech Natl Univ, Shevchenko Str 95, UA-14035 Chernihiv, Ukraine</t>
  </si>
  <si>
    <t>National Academy of Agrarian Sciences of Ukraine; National Scientific Centre Institute of Agriculture of the National Academy of Agrarian Sciences of Ukraine; Ministry of Education &amp; Science of Ukraine; State Institution National Antarctic Scientific Center; Ministry of Education &amp; Science of Ukraine; Sumy National Agrarian University; National University of Life &amp; Environmental Sciences of Ukraine; Ministry of Education &amp; Science of Ukraine; Chernihiv Polytechnic National University</t>
  </si>
  <si>
    <t>Butenko, AO (corresponding author), Sumy Natl Agr Univ, Herasyma Kondratieva Str 160, UA-40021 Sumy, Ukraine.</t>
  </si>
  <si>
    <t>andb201727@ukr.net</t>
  </si>
  <si>
    <t>Butenko, Andrii/AAI-9257-2020; Parkhomenko, Myroslav/ABC-2495-2021; Цизь, Олександр/Q-8698-2017; NULES, NUBiP/ABC-8391-2021; Rozhko, Valentina/Q-8725-2017</t>
  </si>
  <si>
    <t>Butenko, Andrii/0000-0001-9639-9826; Parkhomenko, Myroslav/0000-0001-8804-0813; Цизь, Олександр/0000-0001-7174-7011;</t>
  </si>
  <si>
    <t>ALEX MATSYURA PRESS</t>
  </si>
  <si>
    <t>MELITOPOL</t>
  </si>
  <si>
    <t>ALTAI STATE UNIV, VUL LENINA, 20, MELITOPOL, 72312, UKRAINE</t>
  </si>
  <si>
    <t>2520-2138</t>
  </si>
  <si>
    <t>UKR J ECOL</t>
  </si>
  <si>
    <t>Ukr. J. Ecol.</t>
  </si>
  <si>
    <t>10.15421/2021_79</t>
  </si>
  <si>
    <t>SG5CR</t>
  </si>
  <si>
    <t>WOS:000653458100012</t>
  </si>
  <si>
    <t>Donnelly, DM; McInnes, JD; Jenner, KCS; Jenner, MNM; Morrice, M</t>
  </si>
  <si>
    <t>Donnelly, David M.; McInnes, Josh D.; Jenner, K. Curt S.; Jenner, Micheline-Nicole M.; Morrice, Margie</t>
  </si>
  <si>
    <t>The First Records of Antarctic Type B and C Killer Whales (Orcinus orca) in Australian Coastal Waters</t>
  </si>
  <si>
    <t>BEHAVIOR; PREDATION; SEA</t>
  </si>
  <si>
    <t>[Donnelly, David M.; McInnes, Josh D.] Killer Whales Australia KWA, 17 Eric Crescent, Mornington, Vic 3931, Australia; [Donnelly, David M.] Dolphin Res Inst, Mullet St, Hastings, Vic 3915, Australia; [McInnes, Josh D.] Univ British Columbia, Marine Mammal Res Unit, Inst Oceans &amp; Fisheries, Vancouver, BC V6T 1Z4, Canada; [Jenner, K. Curt S.; Jenner, Micheline-Nicole M.] Ctr Whale Res CWR, POB 1622, Fremantle, WA 6959, Australia; [Donnelly, David M.; Morrice, Margie] Australian Antarctic Div, 203 Channel Highway, Kingston, Tas 7054, Australia</t>
  </si>
  <si>
    <t>University of British Columbia; Australian Antarctic Division</t>
  </si>
  <si>
    <t>Donnelly, DM (corresponding author), Killer Whales Australia KWA, 17 Eric Crescent, Mornington, Vic 3931, Australia.;Donnelly, DM (corresponding author), Dolphin Res Inst, Mullet St, Hastings, Vic 3915, Australia.;Donnelly, DM (corresponding author), Australian Antarctic Div, 203 Channel Highway, Kingston, Tas 7054, Australia.</t>
  </si>
  <si>
    <t>killerwhalesaustralia@gmail.com</t>
  </si>
  <si>
    <t>10.1578/AM.47.3.2021.292</t>
  </si>
  <si>
    <t>SE8QD</t>
  </si>
  <si>
    <t>WOS:000652332400007</t>
  </si>
  <si>
    <t>Buckingham, CE; Gula, J; Carton, X</t>
  </si>
  <si>
    <t>Buckingham, Christian E.; Gula, Jonathan; Carton, Xavier</t>
  </si>
  <si>
    <t>The Role of Curvature in Modifying Frontal Instabilities. Part I: Review of Theory and Presentation of a Nondimensional Instability Criterion</t>
  </si>
  <si>
    <t>JOURNAL OF PHYSICAL OCEANOGRAPHY</t>
  </si>
  <si>
    <t>Instability; Ocean dynamics; Potential vorticity; Turbulence; Frontogenesis; frontolysis; Fronts; Vortices; Angular momentum</t>
  </si>
  <si>
    <t>POTENTIAL VORTICITY; INERTIAL INSTABILITY; SYMMETRIC STABILITY; COHERENT VORTICES; SUBMESOSCALE; CIRCULATION; TURBULENCE; MESOSCALE; SURFACE; SHEAR</t>
  </si>
  <si>
    <t>In this study, we examine the role of curvature in modifying frontal stability. We first evaluate the classical criterion that the Coriolis parameter f multiplied by the Ertel potential vorticity (PV) q is positive for stable flow and that instability is possible when this quantity is negative. The first portion of this statement can be deduced from Ertel's PV theorem, assuming an initially positive fq. Moreover, the full statement is implicit in the governing equation for the mean geostrophic flow, as the discriminant, fq, changes sign. However, for curved fronts in cyclogeostrophic or gradient wind balance (GWB), an additional term enters the discriminant owing to conservation of absolute angular momentum L. The resulting expression, (1 + Cu)fq &lt; 0 or Lq &lt; 0, where Cu is a nondimensional number quantifying the curvature of the flow, simultaneously generalizes Rayleigh's criterion by accounting for baroclinicity and Hoskins's criterion by accounting for centrifugal effects. In particular, changes in the front's vertical shear and stratification owing to curvature tilt the absolute vorticity vector away from its thermal wind state; in an effort to conserve the product of absolute angular momentum and Ertel PV, this modifies gradient Rossby and Richardson numbers permitted for stable flow. This forms the basis of a nondimensional expression that is valid for inviscid, curved fronts on the f plane, which can be used to classify frontal instabilities. In conclusion, the classical criterion fq &lt; 0 should be replaced by the more general criterion for studies involving gravitational, centrifugal, and symmetric instabilities at curved density fronts. In Part II of the study, we examine interesting outcomes of the criterion applied to low-Richardson-number fronts and vortices in GWB. Significance statementConsiderable progress has been made by considering ocean fronts to be in geostrophic balance. By this, we mean that fluid parcels accelerate as a result of horizontal pressure gradients and Earth's rotation. A good example of this is in our efforts to understand symmetric instability, a process thought to impact energy, buoyancy, and tracer budgets in the ocean. However, we wanted to know how the physics might change if we accounted for centrifugal forces, or curvature. It turns out that this same question had been asked and answered nearly 100 years ago. However, the new criteria that we introduce in Part I yield (in Part II) one result that is new: in low-stratified waters, curved cyclonic fronts become strongly unstable and curved anticyclonic fronts become marginally stable. This suggests that highly curved cyclonic fronts and vortices are symmetrically unstable, with potential implications for the aforementioned budgets.</t>
  </si>
  <si>
    <t>[Buckingham, Christian E.; Gula, Jonathan; Carton, Xavier] Univ Bretagne Occidentale, Lab Oceanog Phys &amp; Spatiale, IUEM, IFREMER,CNRS,IRD, Plouzane, France; [Buckingham, Christian E.] British Antarctic Survey, Cambridge, England</t>
  </si>
  <si>
    <t>Centre National de la Recherche Scientifique (CNRS); Universite de Bretagne Occidentale; Institut Universitaire Europeen de la Mer (IUEM); Institut de Recherche pour le Developpement (IRD); Ifremer; UK Research &amp; Innovation (UKRI); Natural Environment Research Council (NERC); NERC British Antarctic Survey</t>
  </si>
  <si>
    <t>Buckingham, CE (corresponding author), Univ Bretagne Occidentale, Lab Oceanog Phys &amp; Spatiale, IUEM, IFREMER,CNRS,IRD, Plouzane, France.;Buckingham, CE (corresponding author), British Antarctic Survey, Cambridge, England.</t>
  </si>
  <si>
    <t>christian.buckingham@univ-brest.fr</t>
  </si>
  <si>
    <t>carton, xavier j/A-1895-2016; Gula, Jonathan/J-9925-2012</t>
  </si>
  <si>
    <t>Gula, Jonathan/0000-0002-0876-9557</t>
  </si>
  <si>
    <t>European Commission [798319]; Marie Curie Actions (MSCA) [798319] Funding Source: Marie Curie Actions (MSCA); NERC [bas0100033] Funding Source: UKRI</t>
  </si>
  <si>
    <t>European Commission(European Union (EU)European Commission Joint Research Centre); Marie Curie Actions (MSCA)(Marie Curie Actions); NERC(UK Research &amp; Innovation (UKRI)Natural Environment Research Council (NERC))</t>
  </si>
  <si>
    <t>This study was made possible by a Marie-Skodowska Curie Actions (MSCA) Individual Fellowship from the European Commission (Proposal 798319). We are particularly grateful to the editor and two sharp reviewers for their careful consideration of the paper. We also acknowledge George Nurser (NOCS) and Stephen Griffies (GFDL), each of whom made comments several years ago that proved formative for this study. We thank Paul Billant (CNRS) for kindly sharing his copy of Solberg's original manuscript.</t>
  </si>
  <si>
    <t>AMER METEOROLOGICAL SOC</t>
  </si>
  <si>
    <t>BOSTON</t>
  </si>
  <si>
    <t>45 BEACON ST, BOSTON, MA 02108-3693 USA</t>
  </si>
  <si>
    <t>0022-3670</t>
  </si>
  <si>
    <t>1520-0485</t>
  </si>
  <si>
    <t>J PHYS OCEANOGR</t>
  </si>
  <si>
    <t>J. Phys. Oceanogr.</t>
  </si>
  <si>
    <t>10.1175/JPO-D-19-0265.1</t>
  </si>
  <si>
    <t>RW2SL</t>
  </si>
  <si>
    <t>Green Submitted, Bronze, Green Accepted</t>
  </si>
  <si>
    <t>WOS:000646377800003</t>
  </si>
  <si>
    <t>The Role of Curvature in Modifying Frontal Instabilities. Part II: Application of the Criterion to Curved Density Fronts at Low Richardson Numbers</t>
  </si>
  <si>
    <t>Eddies; Fronts; Instability; Ocean circulation; Potential vorticity; Frontogenesis; frontolysis; Vortices; Angular momentum</t>
  </si>
  <si>
    <t>POTENTIAL VORTICITY; INERTIAL INSTABILITY; CENTRIFUGAL INSTABILITY; INTRATHERMOCLINE EDDIES; SYMMETRIC STABILITY; CONVECTIVE PLUMES; COHERENT VORTICES; ARCTIC-OCEAN; SUBMESOSCALE; EDDY</t>
  </si>
  <si>
    <t>We continue our study of the role of curvature in modifying frontal stability. In Part I, we obtained an instability criterion valid for curved fronts and vortices in gradient wind balance (GWB): Phi ' = L ' q ' &lt; 0, where L ' and q ' are the nondimensional absolute angular momentum and Ertel potential vorticity (PV), respectively. In Part II, we investigate this criterion in a parameter space representative of low-Richardson-number fronts and vortices in GWB. An interesting outcome is that, for Richardson numbers near 1, anticyclonic flows increase in q ', while cyclonic flows decrease in q ', tending to stabilize anticyclonic and destabilize cyclonic flow. Although stability is marginal or weak for anticyclonic flow (owing to multiplication by L '), the destabilization of cyclonic flow is pronounced, and may help to explain an observed asymmetry in the distribution of small-scale, coherent vortices in the ocean interior. We are referring to midlatitude submesoscale and polar mesoscale vortices that are generated by friction and/or buoyancy forcing within boundary layers but that are often documented outside these layers. A comparison is made between several documented vortices and predicted stability maps, providing support for the proposed mechanism. A simple expression, which is a root of the stability discriminant Phi ', explains the observed asymmetry in the distribution of vorticity. In conclusion, the generalized criterion is consistent with theory, observations, and recent modeling studies and demonstrates that curvature in low-stratified environments can destabilize cyclonic and stabilize anticyclonic fronts and vortices to symmetric instability. The results may have implications for Earth system models. SIGNIFICANCE STATEMENT: Considerable progress has been made by considering ocean fronts to be in geostrophic balance. By this, we mean that fluid parcels accelerate as a result of horizontal pressure gradients and Earth's rotation. A good example of this is in our efforts to understand symmetric instability, a process thought to impact energy, buoyancy, and tracer budgets in the ocean. However, we wanted to know how the physics might change if we accounted for centrifugal forces, or curvature. It turns out that this same question had been asked and answered nearly 100 years ago. However, the new criteria that we introduce in Part I yield (in Part II) one result that is new: in low-stratified waters, curved cyclonic fronts become strongly unstable and curved anticyclonic fronts become marginally stable. This suggests that highly curved cyclonic fronts and vortices are symmetrically unstable, with potential implications for the aforementioned budgets.</t>
  </si>
  <si>
    <t>[Buckingham, Christian E.; Gula, Jonathan; Carton, Xavier] Univ Bretagne Occidentale, CNRS, IFREMER, IRD,IUEM,Lab Oceanog Phys &amp; Spatiale, Plouzane, France; [Buckingham, Christian E.] British Antarctic Survey, Cambridge, England</t>
  </si>
  <si>
    <t>Universite de Bretagne Occidentale; Institut Universitaire Europeen de la Mer (IUEM); Institut de Recherche pour le Developpement (IRD); Ifremer; Centre National de la Recherche Scientifique (CNRS); UK Research &amp; Innovation (UKRI); Natural Environment Research Council (NERC); NERC British Antarctic Survey</t>
  </si>
  <si>
    <t>Buckingham, CE (corresponding author), Univ Bretagne Occidentale, CNRS, IFREMER, IRD,IUEM,Lab Oceanog Phys &amp; Spatiale, Plouzane, France.;Buckingham, CE (corresponding author), British Antarctic Survey, Cambridge, England.</t>
  </si>
  <si>
    <t>Gula, Jonathan/J-9925-2012; carton, xavier j/A-1895-2016</t>
  </si>
  <si>
    <t>Gula, Jonathan/0000-0002-0876-9557;</t>
  </si>
  <si>
    <t>European Commission [798319]; NERC [bas0100033] Funding Source: UKRI; Marie Curie Actions (MSCA) [798319] Funding Source: Marie Curie Actions (MSCA)</t>
  </si>
  <si>
    <t>European Commission(European Union (EU)European Commission Joint Research Centre); NERC(UK Research &amp; Innovation (UKRI)Natural Environment Research Council (NERC)); Marie Curie Actions (MSCA)(Marie Curie Actions)</t>
  </si>
  <si>
    <t>This study was made possible by a Marie Skodowska-Curie Actions (MSCA) Individual Fellowship from the European Commission (Proposal 798319). The contributions of the authors to the published work are as follows. Author Buckingham conceived of the idea, devised and executed the study, and wrote the paper. Author Gula provided early model support for these ideas. Author Carton helped to ensure that the mathematics were correct when applying the criterion to balanced flows. We thank the editor and two reviewers for their support of the paper. Buckingham thanks G. Crystle (UBO) for encouragement and initial inspiration, G. Roullet (UBO) for earlier discussions about vorticity skewness, and C. De Marez (UBO) for valuable input on an early draft. We again acknowledge formative comments made by S. Griffies (NOAA/GFDL) and G. Nurser (NOCS), as well as recent conversations with the following individuals: P. Penven (IRD), N. Lahaye (Ifremer/Inria), C. Menesguen (Ifermer), J. Paillet (Ifremer), M-L. Timmermans (Yale), and T. Meunier (WHOI).</t>
  </si>
  <si>
    <t>10.1175/JPO-D-20-0258.1</t>
  </si>
  <si>
    <t>WOS:000646377800004</t>
  </si>
  <si>
    <t>Middleton, L; Vreugdenhil, CA; Holland, PR; Taylor, JR</t>
  </si>
  <si>
    <t>Middleton, Leo; Vreugdenhil, Catherine A.; Holland, Paul R.; Taylor, John R.</t>
  </si>
  <si>
    <t>Numerical Simulations of Melt-Driven Double-Diffusive Fluxes in a Turbulent Boundary Layer beneath an Ice Shelf</t>
  </si>
  <si>
    <t>Ice shelves; Mixing; Turbulence</t>
  </si>
  <si>
    <t>POTENTIAL-ENERGY; CONVECTION; STRATIFICATION; INTERFACE; RELEASE; RATES; BASE; SALT</t>
  </si>
  <si>
    <t>The transport of heat and salt through turbulent ice shelf-ocean boundary layers is a large source of uncertainty within ocean models of ice shelf cavities. This study uses small-scale, high-resolution, 3D numerical simulations to model an idealized boundary layer beneath a melting ice shelf to investigate the influence of ambient turbulence on double-diffusive convection (i.e., convection driven by the difference in diffusivities between salinity and temperature). Isotropic turbulence is forced throughout the simulations and the temperature and salinity are initialized with homogeneous values similar to observations. The initial temperature and the strength of forced turbulence are varied as controlling parameters within an oceanographically relevant parameter space. Two contrasting regimes are identified. In one regime double-diffusive convection dominates, and in the other convection is inhibited by the forced turbulence. The convective regime occurs for high temperatures and low turbulence levels, where it is long lived and affects the flow, melt rate, and melt pattern. A criterion for identifying convection in terms of the temperature and salinity profiles, and the turbulent dissipation rate, is proposed. This criterion may be applied to observations and theoretical models to quantify the effect of double-diffusive convection on ice shelf melt rates.</t>
  </si>
  <si>
    <t>[Middleton, Leo; Vreugdenhil, Catherine A.; Taylor, John R.] Univ Cambridge, Dept Appl Math &amp; Theoret Phys, Cambridge, England; [Middleton, Leo; Holland, Paul R.] British Antarctic Survey, Cambridge, England; [Vreugdenhil, Catherine A.] Univ Melbourne, Dept Mech Engn, Melbourne, Vic, Australia</t>
  </si>
  <si>
    <t>University of Cambridge; UK Research &amp; Innovation (UKRI); Natural Environment Research Council (NERC); NERC British Antarctic Survey; University of Melbourne; Melbourne Bioinformatics</t>
  </si>
  <si>
    <t>Taylor, JR (corresponding author), Univ Cambridge, Dept Appl Math &amp; Theoret Phys, Cambridge, England.</t>
  </si>
  <si>
    <t>j.r.taylor@damtp.cam.ac.uk</t>
  </si>
  <si>
    <t>Holland, Paul R/G-2796-2012</t>
  </si>
  <si>
    <t>Vreugdenhil, Catherine/0000-0002-1808-6274</t>
  </si>
  <si>
    <t>Natural Environment Research Council [NE/N009746/1, NE/N010027/1]; NERC [NE/N010027/1, NE/N009746/1, bas0100033] Funding Source: UKRI</t>
  </si>
  <si>
    <t>This work was funded by grants from the Natural Environment Research Council, NE/N009746/1 and NE/N010027/1.</t>
  </si>
  <si>
    <t>10.1175/JPO-D-20-0114.1</t>
  </si>
  <si>
    <t>Green Submitted, Bronze</t>
  </si>
  <si>
    <t>WOS:000646377800008</t>
  </si>
  <si>
    <t>Sévellec, F; Garabato, ACN; Huck, T</t>
  </si>
  <si>
    <t>Sevellec, F.; Garabato, A. C. Naveira; Huck, T.</t>
  </si>
  <si>
    <t>Damping of Climate-Scale Oceanic Variability by Mesoscale Eddy Turbulence</t>
  </si>
  <si>
    <t>Ocean; Southern Ocean; Eddies; Large-scale motions; Nonlinear dynamics; In situ oceanic observations</t>
  </si>
  <si>
    <t>ANTARCTIC CIRCUMPOLAR CURRENT; MERIDIONAL OVERTURNING CIRCULATION; SOUTHERN-HEMISPHERE WINDS; TO-NOISE PARADOX; BAROCLINIC INSTABILITY; TEMPERATURE; ENERGETICS; ENERGY</t>
  </si>
  <si>
    <t>The impact of mesoscale eddy turbulence on long-term, climatic variability in the ocean's buoyancy structure is investigated using observations from a mooring deployed in the Drake Passage, Southern Ocean. By applying the temporal-residual-mean framework and characterizing the variance contributors and the buoyancy variance budget, we identify the main source and sink of long-term buoyancy variance. Long-term buoyancy variance amplitude is set by long-term vertical velocity fluctuations acting on the steady stratification. This baroclinic buoyancy flux is also the main source of the variance, indicative of the effect of large-scale baroclinic instability. This source is balanced by a sink of long-term buoyancy variance associated with the vertical advection of the steady stratification by the eddy-induced circulation. We conclude that mesoscale eddy turbulence acts as a damping mechanism for long-term, climatic variability in the region of the observations, consistent with an eddy saturated behavior of the Antarctic Circumpolar Current.</t>
  </si>
  <si>
    <t>[Sevellec, F.; Huck, T.] Univ Brest, Lab Oceanog Phys &amp; Spatiale, IFREMER, CNRS,IRD, Brest, France; [Sevellec, F.; Garabato, A. C. Naveira] Univ Southampton, Ocean &amp; Earth Sci, Southampton, Hants, England</t>
  </si>
  <si>
    <t>Ifremer; Universite de Bretagne Occidentale; Institut de Recherche pour le Developpement (IRD); Centre National de la Recherche Scientifique (CNRS); University of Southampton</t>
  </si>
  <si>
    <t>Sévellec, F (corresponding author), Univ Brest, Lab Oceanog Phys &amp; Spatiale, IFREMER, CNRS,IRD, Brest, France.;Sévellec, F (corresponding author), Univ Southampton, Ocean &amp; Earth Sci, Southampton, Hants, England.</t>
  </si>
  <si>
    <t>florian.sevellec@univ-brest.fr</t>
  </si>
  <si>
    <t>Sevellec, Florian/L-3125-2015; Huck, Thierry/L-5549-2015</t>
  </si>
  <si>
    <t>Sevellec, Florian/0000-0002-8498-0004; Huck, Thierry/0000-0002-2885-5153</t>
  </si>
  <si>
    <t>U.K. Natural and Environmental Research Council [NE/N005767/1, NE/F020252/1]; DECLIC project through the French CNRS/INSU/LEFE program; Royal Society; Wolfson Foundation; ISblue project, Interdisciplinary graduate school for the blue planet [ANR-17-EURE-0015]; French government under the program Investissements d'Avenir; NERC [NE/F020252/1] Funding Source: UKRI</t>
  </si>
  <si>
    <t>U.K. Natural and Environmental Research Council(UK Research &amp; Innovation (UKRI)Natural Environment Research Council (NERC)); DECLIC project through the French CNRS/INSU/LEFE program; Royal Society(Royal Society); Wolfson Foundation; ISblue project, Interdisciplinary graduate school for the blue planet; French government under the program Investissements d'Avenir(Agence Nationale de la Recherche (ANR)); NERC(UK Research &amp; Innovation (UKRI)Natural Environment Research Council (NERC))</t>
  </si>
  <si>
    <t>This research was supported by the U.K. Natural and Environmental Research Council (SMURPHS, NE/N005767/1 to FS and DIMES, NE/F020252/1 to ACNG) and by the DECLIC project funded through the French CNRS/INSU/LEFE program. ACNG acknowledges the support of the Royal Society and the Wolfson Foundation. This work was supported by ISblue project, Interdisciplinary graduate school for the blue planet (ANR-17-EURE-0015) and co-funded by a grant from the French government under the program Investissements d'Avenir.</t>
  </si>
  <si>
    <t>10.1175/JPO-D-20-0141.1</t>
  </si>
  <si>
    <t>Green Submitted, Green Accepted, Bronze</t>
  </si>
  <si>
    <t>WOS:000646377800013</t>
  </si>
  <si>
    <t>Balwada, D; LaCasce, JH; Speer, KG; Ferrari, R</t>
  </si>
  <si>
    <t>Balwada, Dhruv; LaCasce, Joseph H.; Speer, Kevin G.; Ferrari, Raffaele</t>
  </si>
  <si>
    <t>Relative Dispersion in the Antarctic Circumpolar Current</t>
  </si>
  <si>
    <t>Diffusion; Dispersion; Internal waves; Lagrangian circulation; transport; Mesoscale processes; Isopycnal mixing</t>
  </si>
  <si>
    <t>SOUTHERN-OCEAN; EDDY DIFFUSIVITY; ARGO FLOAT; SUBMESOSCALE; TRACER; SURFACE; CIRCULATION; STATISTICS; TRANSPORT; BALLOONS</t>
  </si>
  <si>
    <t>Stirring in the subsurface Southern Ocean is examined using RAFOS float trajectories, collected during the Diapycnal and Isopycnal Mixing Experiment in the Southern Ocean (DIMES), along with particle trajectories from a regional eddy permitting model. A central question is the extent to which the stirring is local, by eddies comparable in size to the pair separation, or nonlocal, by eddies at larger scales. To test this, we examine metrics based on averaging in time and in space. The model particles exhibit nonlocal dispersion, as expected for a limited resolution numerical model that does not resolve flows at scales smaller than similar to 10 days or similar to 20-30 km. The different metrics are less consistent for the RAFOS floats; relative dispersion, kurtosis, and relative diffusivity suggest nonlocal dispersion as they are consistent with the model within error, while finite-size Lyapunov exponents (FSLE) suggests local dispersion. This occurs for two reasons: (i) limited sampling of the inertial length scales and a relatively small number of pairs hinder statistical robustness in time-based metrics, and (ii) some space-based metrics (FSLE, second-order structure functions), which do not average over wave motions and are reflective of the kinetic energy distribution, are probably unsuitable to infer dispersion characteristics if the flow field includes energetic wave motions that do not disperse particles. The relative diffusivity, which is also a space-based metric, allows averaging over waves to infer the dispersion characteristics. Hence, given the error characteristics of the metrics and data used here, the stirring in the DIMES region is likely to be nonlocal at scales of 5-100 km.</t>
  </si>
  <si>
    <t>[Balwada, Dhruv] Univ Washington, Sch Oceanog, Seattle, WA 98195 USA; [LaCasce, Joseph H.] Univ Oslo, Dept Geosci, Oslo, Norway; [Speer, Kevin G.] Florida State Univ, Geophys Fluid Dynam Inst, Tallahassee, FL 32306 USA; [Ferrari, Raffaele] MIT, Dept Earth Atmosphere &amp; Planetary Sci, 77 Massachusetts Ave, Cambridge, MA 02139 USA</t>
  </si>
  <si>
    <t>University of Washington; University of Washington Seattle; University of Oslo; State University System of Florida; Florida State University; Massachusetts Institute of Technology (MIT)</t>
  </si>
  <si>
    <t>Balwada, D (corresponding author), Univ Washington, Sch Oceanog, Seattle, WA 98195 USA.</t>
  </si>
  <si>
    <t>dbalwada@uw.edu</t>
  </si>
  <si>
    <t>Balwada, Dhruv/0000-0001-6632-0187</t>
  </si>
  <si>
    <t>NSF [OCE 1658479, OCE 1231803, OCE 1756882]; Rough Ocean project under the Norwegian Research Council [302743]</t>
  </si>
  <si>
    <t>NSF(National Science Foundation (NSF)); Rough Ocean project under the Norwegian Research Council(Research Council of Norway)</t>
  </si>
  <si>
    <t>DB and KS acknowledge support from NSF OCE 1658479 and NSF OCE 1231803, and DB also acknowledges additional support from NSF OCE 1756882. JHL was supported by by the Rough Ocean project number 302743 under the Norwegian Research Council. The code for all the analysis and figures is shared at https://github.com/dhruvbalwada/mesoscale_stirring_dimes_floats, the RAFOS float dataset is made publicly available by NOAA/AOML at https://www.aoml.noaa.gov/phod/float_traj/data.php, and the processed data can be made available at request to the corresponding author.</t>
  </si>
  <si>
    <t>10.1175/JPO-D-19-0243.1</t>
  </si>
  <si>
    <t>WOS:000646377800017</t>
  </si>
  <si>
    <t>Bire, S; Wolfe, CLP</t>
  </si>
  <si>
    <t>Bire, Suyash; Wolfe, Christopher L. P.</t>
  </si>
  <si>
    <t>The Role of Eddies in the Zonal and Meridional Overturning Circulations of Buoyancy-Forced Basins</t>
  </si>
  <si>
    <t>Ocean; Meridional overturning circulation; Mesoscale processes; Ocean circulation; Ocean dynamics</t>
  </si>
  <si>
    <t>THERMALLY DRIVEN CIRCULATIONS; ANTARCTIC CIRCUMPOLAR CURRENT; MODEL; STRATIFICATION; TRANSPORT; VELOCITY; TRANSFORMATION; SENSITIVITY; EXCHANGE; CLOSURE</t>
  </si>
  <si>
    <t>The zonal and meridional overturning circulations of buoyancy-forced basins are studied in an eddy-resolving model. The zonal overturning circulation (ZOC) is driven by the meridional gradient of buoyancy at the surface and stratification at the southern boundary. The ZOC, in turn, produces zonal buoyancy gradients through upwelling and downwelling at the western and eastern boundaries, respectively. The meridional overturning circulation (MOC) is driven by these zonal gradients rather than being directly driven by meridional gradients. Eddies lead to a broadening of the upwelling and downwelling limbs of the ZOC, as well as a decoupling of the locations of vertical and diapycnal transport. This broadening is more prominent on the eastern boundary, where westward-moving eddies transport warm water away from a poleward-flowing eastern boundary current. Most of the diapycnal downwelling occurs in the swash zone-the region where the isopycnals intermittently come in contact with the surface and lose buoyancy to the atmosphere. A scaling for the overturning circulations, which depends on the background stratification and the surface buoyancy gradient, is derived and found to be an excellent fit to the numerical experiments.</t>
  </si>
  <si>
    <t>[Bire, Suyash] MIT, Dept Earth Atmospher &amp; Planetary Sci, Cambridge, MA 02139 USA; [Wolfe, Christopher L. P.] SUNY Stony Brook, Sch Marine &amp; Atmospher Sci, Stony Brook, NY 11794 USA</t>
  </si>
  <si>
    <t>Massachusetts Institute of Technology (MIT); State University of New York (SUNY) System; State University of New York (SUNY) Stony Brook</t>
  </si>
  <si>
    <t>Bire, S (corresponding author), MIT, Dept Earth Atmospher &amp; Planetary Sci, Cambridge, MA 02139 USA.</t>
  </si>
  <si>
    <t>bire@mit.edu</t>
  </si>
  <si>
    <t>Bire, Suyash/JZD-4308-2024</t>
  </si>
  <si>
    <t>Bire, Suyash/0000-0001-9837-4016; Pitt Wolfe, Christopher/0000-0002-7062-2070</t>
  </si>
  <si>
    <t>NSF [OC-1559065]</t>
  </si>
  <si>
    <t>This research was funded by NSF Grant OC-1559065. This work used the Extreme Science and Engineering Discovery Environment (XSEDE) Stampede cluster at the Texas Advanced Computing Center through the allocation TG-OCE160008. The authors are thankful to the helpful and responsive team at NOAA-GFDL involved in developing MOM6 as well as to the Python community for providing free and open source tools like Jupyter, Numpy, SciPy, Matplotlib, and Xarray. The authors would also like to thank Dong-Ping Wang, Robert Hallberg, Michael Spall, and an anonymous reviewer for several helpful comments and suggestions.</t>
  </si>
  <si>
    <t>10.1175/JPO-D-20-0025.1</t>
  </si>
  <si>
    <t>WOS:000646377800018</t>
  </si>
  <si>
    <t>Matsuo, H</t>
  </si>
  <si>
    <t>Lystrup, M; Perrin, MD; Batalha, N; Siegler, N; Tong, EC</t>
  </si>
  <si>
    <t>Matsuo, Hiroshi</t>
  </si>
  <si>
    <t>Far-infrared intensity interferometry for high angular resolution imaging</t>
  </si>
  <si>
    <t>SPACE TELESCOPES AND INSTRUMENTATION 2020: OPTICAL, INFRARED, AND MILLIMETER WAVE</t>
  </si>
  <si>
    <t>Conference on Space Telescopes and Instrumentation - Optical, Infrared, and Millimeter Wave</t>
  </si>
  <si>
    <t>DEC 14-22, 2020</t>
  </si>
  <si>
    <t>Far-infrared instruments; intensity interferometry; photon bunching; aperture synthesis imaging; photon counting detectors; Antarctic interferometry; space-borne interferometry</t>
  </si>
  <si>
    <t>PHOTON-COUNTING DETECTORS; TELESCOPE</t>
  </si>
  <si>
    <t>High angular resolution astronomical observation in far-infrared better than one milli-arcsecond will open a new field of astronomy, such as imaging inner region of protoplanetary disk and broad line region of active galactic nuclei. We propose to apply intensity interferometry in far-infrared wavelengths for aperture synthesis imaging. Intensity interferometry is known by the Hanbury-Brown and Twiss experiment in 1950's, but aperture synthesis imaging was not possible because of missing phase information. Modern fast electronics enable a usage of fast photon detectors, and delay time measurements of photon bunches enable aperture synthesis imaging. There are several merits using intensity interferometry in far-infrared wavelengths. First, high sensitivity direct detectors can be used to realize background limited observations from space, not limited by quantum noise of heterodyne receivers. Second photon signal can be recorded, and correlation analysis can be made in post data analysis, and there is no need for beam combining optics. These lead to flexible telescope configuration in space; number of telescopes is not limited, attitude control of satellite can be independent, and baseline configuration is flexible. We have demonstrated the delay time measurements in microwave, some simulation studies for aperture synthesis imaging were made and developing fast photon detectors in terahertz frequencies. Experimental setup for intensity interferometry is being prepared. Prospects of far-infrared intensity interferometers on ground and in space are discussed.</t>
  </si>
  <si>
    <t>[Matsuo, Hiroshi] Natl Astron Observ Japan, 2-21-1 Osawa, Mitaka, Tokyo 1818588, Japan</t>
  </si>
  <si>
    <t>National Institutes of Natural Sciences (NINS) - Japan; National Astronomical Observatory of Japan (NAOJ)</t>
  </si>
  <si>
    <t>Matsuo, H (corresponding author), Natl Astron Observ Japan, 2-21-1 Osawa, Mitaka, Tokyo 1818588, Japan.</t>
  </si>
  <si>
    <t>h.matsuo@nao.ac.jp</t>
  </si>
  <si>
    <t>Grants-in-Aid for Scientific Research [20K20346] Funding Source: KAKEN</t>
  </si>
  <si>
    <t>Grants-in-Aid for Scientific Research(Ministry of Education, Culture, Sports, Science and Technology, Japan (MEXT)Japan Society for the Promotion of ScienceGrants-in-Aid for Scientific Research (KAKENHI))</t>
  </si>
  <si>
    <t>978-1-5106-3674-3</t>
  </si>
  <si>
    <t>114431N</t>
  </si>
  <si>
    <t>10.1117/12.2562373</t>
  </si>
  <si>
    <t>BR3FT</t>
  </si>
  <si>
    <t>WOS:000646193100023</t>
  </si>
  <si>
    <t>Barnes, TC; Candy, SG; Johnson, DD</t>
  </si>
  <si>
    <t>Barnes, Thomas C.; Candy, Steven G.; Johnson, Daniel D.</t>
  </si>
  <si>
    <t>Characterising seabird vessel interactions associated with demersal ocean trawling: vessel attendance by birds depends on intrinsic and extrinsic predictors</t>
  </si>
  <si>
    <t>Albatross; Petrels; Generalised additive mixed models; Zero inflated; Trawling</t>
  </si>
  <si>
    <t>COMMERCIAL FISHERIES; ZERO-INFLATION; MORTALITY; CONSERVATION; ALBATROSSES; DISCARDS; TRAWLERS; SELECTION; BYCATCH</t>
  </si>
  <si>
    <t>Seabirds are declining on a global scale, and this trend is concerning as they play an important role in the marine ecosystem. The decline is due to multiple reasons, but harvest fisheries are a major contributor. The impact of fisheries, however, appears to vary; demersal trawlers cause mortality of many birds in some areas and very few in others. Fishery-dependent monitoring is required to understand this impact on seabirds, and particularly to better understand the variable impact of demersal trawling. We employed a targeted observer program to gather data on seabird assemblages, catastrophic interactions with trawl vessels and predictors of vessel attendance by the seabirds. The latter is a useful proxy for catastrophic interactions and provides information on potential mitigation. Throughout the program period, 104 992 seabirds from similar to 21 species attended New South Wales (NSW) ocean demersal trawlers. These species included 7 species of petrel and albatross listed by the IUCN, including the flesh footed shearwater Ardenna carneipes and wandering albatross Diomedea exulans. Two catastrophic interactions were recorded, and intrinsic and extrinsic predictors of vessel attendance (e.g. offal discharge and wind, respectively) were characterised. The results of the study will provide information to managers, with the goal of ensuring the sustainability of NSW ocean trawling- in particular its coexistence with threatened seabirds. The NSW Ocean Trawl fishery appears to directly harm very few seabirds which is not always the case when considering worldwide trawl fisheries. Predictors of attendance such as space, time and offal discharge can potentially be used to mitigate the attractiveness of trawlers to seabirds.</t>
  </si>
  <si>
    <t>[Barnes, Thomas C.; Johnson, Daniel D.] Port Stephens Fisheries Inst, New South Wales Dept Primary Ind, Locked Bag 1, Nelson Bay, NSW 2315, Australia; [Barnes, Thomas C.] Univ Tasmania, Inst Marine &amp; Antarctic Studies, Hobart, Tas 7001, Australia; [Candy, Steven G.] Scandy Stat Modelling Pty Ltd, 70 Burwood Dr, Blackmans Bay, Tas 7052, Australia</t>
  </si>
  <si>
    <t>NSW Department of Primary Industries; University of Tasmania</t>
  </si>
  <si>
    <t>Barnes, TC (corresponding author), Port Stephens Fisheries Inst, New South Wales Dept Primary Ind, Locked Bag 1, Nelson Bay, NSW 2315, Australia.;Barnes, TC (corresponding author), Univ Tasmania, Inst Marine &amp; Antarctic Studies, Hobart, Tas 7001, Australia.</t>
  </si>
  <si>
    <t>tom.barnes@dpi.nsw.gov.au</t>
  </si>
  <si>
    <t>Johnson, Daniel D/N-9305-2016</t>
  </si>
  <si>
    <t>Barnes, Thomas C./0000-0003-1493-1407</t>
  </si>
  <si>
    <t>New South Wales Commercial Fishing Trust [RDE581-1]; Marine Estate Management Strategy [PVF19/611]</t>
  </si>
  <si>
    <t>New South Wales Commercial Fishing Trust; Marine Estate Management Strategy</t>
  </si>
  <si>
    <t>Funding for this work was provided by the New South Wales Commercial Fishing Trust (Project no. RDE581-1) and the Marine Estate Management Strategy (Project no. PVF19/611). Field sampling was carried out under permit P01/0059(A)-2.0 and Animal Research Authority NSW DPI 07/03. Thanks to Mike Yates, Chris Burns and Timothy Davie of the Australian Fisheries Management Authority (AFMA) for the highly professional provision of observer services throughout the field sampling phase of the program. This project would have not been possible without a dedicated team of scientific observers who provided invaluable technical expertise and committed effort with respect to on board sampling. Dr. Barry Baker provided useful information on the ecology of large bodied seabirds. Dr. Alistair Becker is thanked for useful review and editorial comments. Finally, this project would not have been possible without the assistance of OTF vessel owners, skippers and their crews who voluntarily hosted and assisted observers during observation trips.</t>
  </si>
  <si>
    <t>10.3354/esr01100</t>
  </si>
  <si>
    <t>SA4NJ</t>
  </si>
  <si>
    <t>WOS:000649277100022</t>
  </si>
  <si>
    <t>Trewin, B; Cazenave, A; Howell, S; Huss, M; Isensee, K; Palmer, MD; Tarasova, O; Vermeulen, A</t>
  </si>
  <si>
    <t>Trewin, Blair; Cazenave, Anny; Howell, Stephen; Huss, Matthias; Isensee, Kirsten; Palmer, Matthew D.; Tarasova, Oksana; Vermeulen, Alex</t>
  </si>
  <si>
    <t>Headline Indicators for Global Climate Monitoring</t>
  </si>
  <si>
    <t>BULLETIN OF THE AMERICAN METEOROLOGICAL SOCIETY</t>
  </si>
  <si>
    <t>SEA-LEVEL RISE; GLACIER MASS-LOSS; ICE; RECORD; TEMPERATURE; HEAT; AIR</t>
  </si>
  <si>
    <t>The World Meteorological Organization has developed a set of headline indicators for global climate monitoring. These seven indicators are a subset of the existing set of essential climate variables (ECVs) established by the Global Climate Observing System and are intended to provide the most essential parameters representing the state of the climate system. These indicators include global mean surface temperature, global ocean heat content, state of ocean acidification, glacier mass balance, Arctic and Antarctic sea ice extent, global CO2 mole fraction, and global mean sea level. This paper describes how well each of these indicators are currently monitored, including the number and quality of the underlying datasets; the health of those datasets; observation systems used to estimate each indicator; the timeliness of information; and how well recent values can be linked to preindustrial conditions. These aspects vary widely between indicators. While global mean surface temperature is available in close to real time and changes from preindustrial levels can be determined with relatively low uncertainty, this is not the case for many other indicators. Some indicators (e.g., sea ice extent) are largely dependent on satellite data only available in the last 40 years, while some (e.g., ocean acidification) have limited underlying observational bases, and others (e.g., glacial mass balance) with data only available a year or more in arrears.</t>
  </si>
  <si>
    <t>[Trewin, Blair] Australian Bur Meteorol, Melbourne, Vic, Australia; [Cazenave, Anny] LEGOS, Observat Midi Pyrenees, Toulouse, France; [Howell, Stephen] Environm &amp; Climate Change Canada, Climate Res Div, Toronto, ON, Canada; [Huss, Matthias] Swiss Fed Inst Technol, Lab Hydraul Hydrol &amp; Glaciol VAW, Zurich, Switzerland; [Huss, Matthias] Swiss Fed Inst Forest, Snow &amp; Landscape Res WSL, Birmensdorf, Switzerland; [Isensee, Kirsten] UNESCO, Intergovt Oceanog Commiss, Paris, France; [Palmer, Matthew D.] Met Off Hadley Ctr, Exeter, Devon, England; [Tarasova, Oksana] World Meteorol Org, Geneva, Switzerland; [Vermeulen, Alex] Lund Univ, Lund, Sweden</t>
  </si>
  <si>
    <t>Bureau of Meteorology - Australia; Universite de Toulouse; Universite Toulouse III - Paul Sabatier; Centre National de la Recherche Scientifique (CNRS); Institut de Recherche pour le Developpement (IRD); Laboratoire d'Etudes en Geophysique et oceanographie spatiales; Environment &amp; Climate Change Canada; Swiss Federal Institutes of Technology Domain; ETH Zurich; Swiss Federal Institutes of Technology Domain; Swiss Federal Institute for Forest, Snow &amp; Landscape Research; Met Office - UK; Hadley Centre; Lund University</t>
  </si>
  <si>
    <t>Trewin, B (corresponding author), Australian Bur Meteorol, Melbourne, Vic, Australia.</t>
  </si>
  <si>
    <t>blair.trewin@bom.gov.au</t>
  </si>
  <si>
    <t>Huss, Matthias/JLL-6340-2023; Vermeulen, Alex/A-2867-2015</t>
  </si>
  <si>
    <t>Palmer, Matthew/0000-0001-7422-198X; Vermeulen, Alex/0000-0002-8158-8787</t>
  </si>
  <si>
    <t>Met Office Hadley Centre Climate Programme - BEIS; Defra (United Kingdom)</t>
  </si>
  <si>
    <t>Met Office Hadley Centre Climate Programme - BEIS; Defra (United Kingdom)(Department for Environment, Food &amp; Rural Affairs (DEFRA))</t>
  </si>
  <si>
    <t>MDP was supported by the Met Office Hadley Centre Climate Programme funded by BEIS and Defra (United Kingdom). We thank Rachel Killick for providing the EN4 timeseries of ocean heat content change.</t>
  </si>
  <si>
    <t>45 BEACON ST, BOSTON, MA 02108-3693, UNITED STATES</t>
  </si>
  <si>
    <t>0003-0007</t>
  </si>
  <si>
    <t>1520-0477</t>
  </si>
  <si>
    <t>B AM METEOROL SOC</t>
  </si>
  <si>
    <t>Bull. Amer. Meteorol. Soc.</t>
  </si>
  <si>
    <t>E20</t>
  </si>
  <si>
    <t>E37</t>
  </si>
  <si>
    <t>10.1175/BAMS-D-19-0196.1</t>
  </si>
  <si>
    <t>RW9FY</t>
  </si>
  <si>
    <t>WOS:000646825900002</t>
  </si>
  <si>
    <t>Xue, X; Suvorov, A; Fujimoto, S; Dilman, AR; Adams, BJ</t>
  </si>
  <si>
    <t>Xue, Xia; Suvorov, Anton; Fujimoto, Stanley; Dilman, Adler R.; Adams, Byron J.</t>
  </si>
  <si>
    <t>Genome analysis of Plectus murrayi, a nematode from continental Antarctica</t>
  </si>
  <si>
    <t>G3-GENES GENOMES GENETICS</t>
  </si>
  <si>
    <t>gene loss; genome architecture; genome assembly; genome decay; Plectus murrayi</t>
  </si>
  <si>
    <t>GENE ONTOLOGY; LIFE-HISTORY; EVOLUTION; ANNOTATION; DECAY; STOICHIOMETRY; PARASITISM; ADAPTATION; DIVERSITY; TRANSCRIPTION</t>
  </si>
  <si>
    <t>Plectus murrayi is one of the most common and locally abundant invertebrates of continental Antarctic ecosystems. Because it is readily cultured on artificial medium in the laboratory and highly tolerant to an extremely harsh environment, P. murrayi is emerging as a model organism for understanding the evolutionary origin and maintenance of adaptive responses to multiple environmental stressors, including freezing and desiccation. The de novo assembled genome of P. murrayi contains 225.741 million base pairs and a total of 14,689 predicted genes. Compared to Caenorhabditis elegans, the architectural components of P. murrayi are characterized by a lower number of protein-coding genes, fewer transposable elements, but more exons, than closely related taxa from less harsh environments. We compared the transcriptomes of lab-reared P. murrayi with wild-caught P. murrayi and found genes involved in growth and cellular processing were up-regulated in lab-cultured P. murrayi, while a few genes associated with cellular metabolism and freeze tolerance were expressed at relatively lower levels. Preliminary comparative genomic and transcriptomic analyses suggest that the observed constraints on P. murrayi genome architecture and functional gene expression, including genome decay and intron retention, may be an adaptive response to persisting in a biotically simplified, yet consistently physically harsh environment.</t>
  </si>
  <si>
    <t>[Xue, Xia] Zhengzhou Univ, Acad Med Sci, Precis Med Ctr, Zhengzhou 450000, Peoples R China; [Xue, Xia; Suvorov, Anton; Adams, Byron J.] Brigham Young Univ, Dept Biol, Evolutionary Ecol Labs, Provo, UT 84602 USA; [Xue, Xia; Suvorov, Anton; Adams, Byron J.] Brigham Young Univ, Monte L Bean Museum, Provo, UT 84602 USA; [Fujimoto, Stanley] Brigham Young Univ, Dept Comp Sci, Provo, UT 84602 USA; [Dilman, Adler R.] Univ Calif Riverside, Dept Nematol, Riverside, CA 92521 USA; [Suvorov, Anton] Univ N Carolina, Dept Genet, Chapel Hill, NC 27515 USA</t>
  </si>
  <si>
    <t>Zhengzhou University; Brigham Young University; Brigham Young University; Brigham Young University; University of California System; University of California Riverside; University of North Carolina; University of North Carolina Chapel Hill</t>
  </si>
  <si>
    <t>Xue, X (corresponding author), Zhengzhou Univ, Acad Med Sci, Precis Med Ctr, Zhengzhou 450000, Peoples R China.;Xue, X (corresponding author), Brigham Young Univ, Dept Biol, Evolutionary Ecol Labs, Provo, UT 84602 USA.;Xue, X (corresponding author), Brigham Young Univ, Monte L Bean Museum, Provo, UT 84602 USA.</t>
  </si>
  <si>
    <t>xue-xiasophia@hotmail.com</t>
  </si>
  <si>
    <t>Suvorov, Anton/AAB-1774-2019; Adams, Byron J/C-3808-2009; XUE, XIA/HJZ-1573-2023</t>
  </si>
  <si>
    <t>Suvorov, Anton/0000-0003-3898-9195; xue, xia/0000-0002-5783-1281</t>
  </si>
  <si>
    <t>National Science Foundation [OPP-1637708, 1115245, 0423595]</t>
  </si>
  <si>
    <t>This material is based on work supported by the National Science Foundation Grants #OPP-1637708, 1115245, and 0423595 for Long Term Ecological Research.</t>
  </si>
  <si>
    <t>OXFORD UNIV PRESS INC</t>
  </si>
  <si>
    <t>CARY</t>
  </si>
  <si>
    <t>JOURNALS DEPT, 2001 EVANS RD, CARY, NC 27513 USA</t>
  </si>
  <si>
    <t>2160-1836</t>
  </si>
  <si>
    <t>G3-GENES GENOM GENET</t>
  </si>
  <si>
    <t>G3-Genes Genomes Genet.</t>
  </si>
  <si>
    <t>jkaa045</t>
  </si>
  <si>
    <t>10.1093/g3journal/jkaa045</t>
  </si>
  <si>
    <t>SE1RG</t>
  </si>
  <si>
    <t>WOS:000651851700028</t>
  </si>
  <si>
    <t>Nikolaeva, VD; Gordeev, EI; Rogov, DD; Nikolaev, AV</t>
  </si>
  <si>
    <t>Nikolaeva, V. D.; Gordeev, E., I; Rogov, D. D.; Nikolaev, A., V</t>
  </si>
  <si>
    <t>AURORAL IONOSPHERE MODEL (AIM-E) ADJUSTMENT FOR THE REGULAR E LAYER</t>
  </si>
  <si>
    <t>SOLAR-TERRESTRIAL PHYSICS</t>
  </si>
  <si>
    <t>high-latitude ionosphere; auroral oval; E layer; numerical simulation; EUV; photoionization; electron density</t>
  </si>
  <si>
    <t>SOLAR; FLUX</t>
  </si>
  <si>
    <t>The E-Region Auroral Ionosphere Model (AIM-E) was developed to determine the chemical composition and electron density in the auroral zone at E-layer heights (90-150 km). Solar and magnetic activity input parameters for AIM-E are the three-hour A(p) index and the daily solar radio flux at a wavelength of 10.7 cm (index F10.7). In this paper, we compare AIM-E calculations of the electron density for the daytime with EUV radiation spectrum specified in two different ways: 1) the EUV spectrum theoretically calculated using the F10.7 index as an input parameter; 2) using TIMED satellite direct measurements of the EUV spectrum. We have corrected the EUVAC EUV radiation model to specify a photoionization source in AIM-E. Calculations of regular E-region critical frequencies show good agreement with the vertical sounding data from Russian high-latitude stations. Results we obtained make it possible to do a quick on-line assessment of the regular E layer, using the daily index F10.7 as an input parameter.</t>
  </si>
  <si>
    <t>[Nikolaeva, V. D.; Rogov, D. D.; Nikolaev, A., V] Arctic &amp; Antarctic Res Inst, St Petersburg, Russia; [Nikolaeva, V. D.; Rogov, D. D.] RAS, Pushkov Inst Terr Magnetism Ionosphere &amp; Radio Wa, Moscow, Russia; [Gordeev, E., I] St Petersburg State Univ, St Petersburg, Russia</t>
  </si>
  <si>
    <t>Arctic &amp; Antarctic Research Institute; Russian Academy of Sciences; Pushkov Institute of Terrestrial Magnetism, Ionosphere &amp; Radio Wave Propagation; Saint Petersburg State University</t>
  </si>
  <si>
    <t>Nikolaeva, VD (corresponding author), Arctic &amp; Antarctic Res Inst, St Petersburg, Russia.;Nikolaeva, VD (corresponding author), RAS, Pushkov Inst Terr Magnetism Ionosphere &amp; Radio Wa, Moscow, Russia.</t>
  </si>
  <si>
    <t>vera_nik@list.ru; evgeny.i.gordeev@spbu.ru; rogovdenis@mail.ru; demosfen.spb@gmail.com</t>
  </si>
  <si>
    <t>Gordeev, Evgeny I/H-8222-2013; Nikolaev, Alexander/M-8355-2016</t>
  </si>
  <si>
    <t>Nikolaev, Alexander/0000-0001-5558-9615; Nikolaeva, Vera/0000-0003-4987-6452</t>
  </si>
  <si>
    <t>RSF [19-77-10016]; Russian Science Foundation [19-77-10016] Funding Source: Russian Science Foundation</t>
  </si>
  <si>
    <t>RSF(Russian Science Foundation (RSF)); Russian Science Foundation(Russian Science Foundation (RSF))</t>
  </si>
  <si>
    <t>V.D. Nikolaeva and D.D. Rogov were financially supported by RSF (Grant No. 20-72-10023). E.I. Gordeev was supported by RSF (Grant No. 19-77-10016).</t>
  </si>
  <si>
    <t>NAUCNO-IZDATELSKIJ CENTR INFRAM</t>
  </si>
  <si>
    <t>MOSKVA</t>
  </si>
  <si>
    <t>NAUCNO-IZDATELSKIJ CENTR INFRAM, MOSKVA, 00000, RUSSIA</t>
  </si>
  <si>
    <t>2500-0535</t>
  </si>
  <si>
    <t>SOL-TERR PHYS</t>
  </si>
  <si>
    <t>Sol.-Terr. Phys.</t>
  </si>
  <si>
    <t>10.12737/szf-71202106</t>
  </si>
  <si>
    <t>RT9TX</t>
  </si>
  <si>
    <t>WOS:000644797400006</t>
  </si>
  <si>
    <t>Rumyantsev, VA; Izmailova, AV; Makarov, AS</t>
  </si>
  <si>
    <t>Rumyantsev, V. A.; Izmailova, A., V; Makarov, A. S.</t>
  </si>
  <si>
    <t>Status of the Lake Fund of the Arctic Zone of the Russian Federation</t>
  </si>
  <si>
    <t>HERALD OF THE RUSSIAN ACADEMY OF SCIENCES</t>
  </si>
  <si>
    <t>Arctic zone; AZRF Development Strategy; environmental protection; environmental safety; lakes</t>
  </si>
  <si>
    <t>In the context of the active development of the Arctic zone of the Russian Federation (AZRF), it is extremely important to analyze the status of its lake fund and potential changes in the ecological state of lake ecosystems that are expected in connection with the existing plans for the development of the northern territories. This analysis will make it possible to form a program for studying and monitoring lakes aimed at the rational use of their natural potential, including providing the population with water of adequate quality and preventing water-caused environmental disasters, which could be fraught with negative environmental changes and a decrease in biodiversity. The AZRF contains similar to 2/3 of the country's bodies of water. The regional evaluation of the status of the lake ecosystems of the Russian Arctic indicates that significant changes currently cover no more than half of the lakes and only some water bodies can be characterized as extremely dangerous. However, as the Arctic is being developed, the number of regions with a deteriorating ecological situation is steadily growing, and many problems arising in water ecosystems are not solved because of a lack of data. Proposals are put forward by the authors of this article that seem to them of paramount importance in forming the AZRF development program. It is emphasized that its implementation without the proper environmental component will lead to a significant expansion of the pollution geography of Arctic water bodies.</t>
  </si>
  <si>
    <t>[Rumyantsev, V. A.; Izmailova, A., V] Russian Acad Sci, Inst Limnol, St Petersburg Fed Res Ctr, St Petersburg, Russia; [Rumyantsev, V. A.; Makarov, A. S.] Arctic &amp; Antarctic Res Inst, St Petersburg, Russia</t>
  </si>
  <si>
    <t>Russian Academy of Sciences; St. Petersburg Scientific Centre of the Russian Academy of Sciences; St. Petersburg Federal Research Center of the Russian Academy of Sciences; Arctic &amp; Antarctic Research Institute</t>
  </si>
  <si>
    <t>Rumyantsev, VA (corresponding author), Russian Acad Sci, Inst Limnol, St Petersburg Fed Res Ctr, St Petersburg, Russia.</t>
  </si>
  <si>
    <t>rum.ran@mail.ru; ianna64@mail.ru; makarov@aari.ru</t>
  </si>
  <si>
    <t>Rumyantsev, Vladislav/K-2463-2018</t>
  </si>
  <si>
    <t>Izmailova, Anna/0000-0003-1705-6863</t>
  </si>
  <si>
    <t>[0154-2019-0004]</t>
  </si>
  <si>
    <t>This study was supported within a State Assignment for the RAS IL no. 0154-2019-0004 for the topic Regularities of the Distribution of Lakes across Eurasia and Assessment of Their Water Resources.</t>
  </si>
  <si>
    <t>MAIK NAUKA/INTERPERIODICA/SPRINGER</t>
  </si>
  <si>
    <t>233 SPRING ST, NEW YORK, NY 10013-1578 USA</t>
  </si>
  <si>
    <t>1019-3316</t>
  </si>
  <si>
    <t>1555-6492</t>
  </si>
  <si>
    <t>HER RUSS ACAD SCI+</t>
  </si>
  <si>
    <t>Her. Russ. Acad. Sci.</t>
  </si>
  <si>
    <t>10.1134/S101933162101007X</t>
  </si>
  <si>
    <t>History &amp; Philosophy Of Science; Multidisciplinary Sciences</t>
  </si>
  <si>
    <t>History &amp; Philosophy of Science; Science &amp; Technology - Other Topics</t>
  </si>
  <si>
    <t>RS1VU</t>
  </si>
  <si>
    <t>WOS:000643572700004</t>
  </si>
  <si>
    <t>Meneghello, G; Marshall, J; Lique, C; Isachsen, PE; Doddridge, E; Campin, JM; Regan, H; Talandier, C</t>
  </si>
  <si>
    <t>Meneghello, Gianluca; Marshall, John; Lique, Camille; Isachsen, Pal Erik; Doddridge, Edward; Campin, Jean-Michel; Regan, Heather; Talandier, Claude</t>
  </si>
  <si>
    <t>Genesis and Decay of Mesoscale Baroclinic Eddies in the Seasonally Ice-Covered Interior Arctic Ocean</t>
  </si>
  <si>
    <t>Arctic; Baroclinic flows; Eddies; Ocean circulation; In situ oceanic observations; Quasigeostrophic models</t>
  </si>
  <si>
    <t>CANADA BASIN; NORDIC SEAS; EDDY FIELD; WATER; CIRCULATION; STABILITY; DYNAMICS; VARIABILITY; INSTABILITY; RESOLUTION</t>
  </si>
  <si>
    <t>Observations of ocean currents in the Arctic interior show a curious, and hitherto unexplained, vertical and temporal distribution of mesoscale activity. A marked seasonal cycle is found close to the surface: strong eddy activity during summer, observed from both satellites and moorings, is followed by very quiet winters. In contrast, subsurface eddies persist all year long within the deeper halocline and below. Informed by baroclinic instability analysis, we explore the origin and evolution of mesoscale eddies in the seasonally ice-covered interior Arctic Ocean. We find that the surface seasonal cycle is controlled by friction with sea ice, dissipating existing eddies and preventing the growth of new ones. In contrast, subsurface eddies, enabled by interior potential vorticity gradients and shielded by a strong stratification at a depth of approximately 50 m, can grow independently of the presence of sea ice. A high-resolution pan-Arctic ocean model confirms that the interior Arctic basin is baroclinically unstable all year long at depth. We address possible implications for the transport of water masses between the margins and the interior of the Arctic basin, and for climate models' ability to capture the fundamental difference in mesoscale activity between ice-covered and ice-free regions.</t>
  </si>
  <si>
    <t>[Meneghello, Gianluca; Marshall, John; Doddridge, Edward; Campin, Jean-Michel] MIT, 77 Massachusetts Ave, Cambridge, MA 02139 USA; [Lique, Camille; Regan, Heather; Talandier, Claude] Univ Brest, Lab Oceanog Phys &amp; Spatiale, IUEM, Ifremer,IRD,INRS, Brest, France; [Isachsen, Pal Erik] Univ Oslo, Oslo, Norway; [Isachsen, Pal Erik] Norwegian Meteorol Inst, Oslo, Norway; [Doddridge, Edward] Univ Tasmania, Inst Marine &amp; Antarctic Studies, Hobart, Tas, Australia</t>
  </si>
  <si>
    <t>Massachusetts Institute of Technology (MIT); Universite de Bretagne Occidentale; Institut Universitaire Europeen de la Mer (IUEM); Institut de Recherche pour le Developpement (IRD); Ifremer; University of Oslo; Norwegian Meteorological Institute; University of Tasmania</t>
  </si>
  <si>
    <t>Meneghello, G (corresponding author), MIT, 77 Massachusetts Ave, Cambridge, MA 02139 USA.</t>
  </si>
  <si>
    <t>mgl@mit.edu</t>
  </si>
  <si>
    <t>Doddridge, Edward/GRJ-6149-2022; Lique, Camille/L-5543-2015</t>
  </si>
  <si>
    <t>Lique, Camille/0000-0002-8357-4928; Regan, Heather/0000-0002-2823-2175; Doddridge, Edward/0000-0002-6097-5729; Talandier, Claude/0000-0002-9468-7418</t>
  </si>
  <si>
    <t>National Science Foundation Division of Polar Programs [1603557, 1543366]; French ANR through the project ImMEDIAT [ANR-18-CE01-0010]; KeyClim project - Research Council of Norway [295046]; MIT-France MISTI Global Seed Funds for the project The Arctic in a Warming World; GENCI-CINES [2018-A0050107420]; Agence Nationale de la Recherche (ANR) [ANR-18-CE01-0010] Funding Source: Agence Nationale de la Recherche (ANR); Directorate For Geosciences; Office of Polar Programs (OPP) [1603557] Funding Source: National Science Foundation; Office of Polar Programs (OPP); Directorate For Geosciences [1543366] Funding Source: National Science Foundation</t>
  </si>
  <si>
    <t>National Science Foundation Division of Polar Programs(National Science Foundation (NSF)); French ANR through the project ImMEDIAT(Agence Nationale de la Recherche (ANR)); KeyClim project - Research Council of Norway(Research Council of Norway); MIT-France MISTI Global Seed Funds for the project The Arctic in a Warming World; GENCI-CINES; Agence Nationale de la Recherche (ANR)(Agence Nationale de la Recherche (ANR)); Directorate For Geosciences; Office of Polar Programs (OPP)(National Science Foundation (NSF)NSF - Directorate for Geosciences (GEO)); Office of Polar Programs (OPP); Directorate For Geosciences(National Science Foundation (NSF)NSF - Directorate for Geosciences (GEO))</t>
  </si>
  <si>
    <t>G.M, J.M., E.D., and J-M. C. thankfully acknowledge support from the National Science Foundation Division of Polar Programs under Awards 1603557 and 1543366. C.L., H.R., and C.T. thankfully acknowledge support from the French ANR through the project ImMEDIAT under Award ANR-18-CE01-0010. P.E.I. was partially funded by the KeyClim project, funded by the Research Council of Norway (Award 295046). Our collaboration has been made possible by funding from the MIT-France MISTI Global Seed Funds for the project The Arctic in a Warming World. The Pan-Arctic simulation was performed using HPC resources from GENCI-CINES, Award 2018-A0050107420.</t>
  </si>
  <si>
    <t>10.1175/JPO-D-20-0054.1</t>
  </si>
  <si>
    <t>RW2RI</t>
  </si>
  <si>
    <t>Green Submitted, Green Accepted, Green Published</t>
  </si>
  <si>
    <t>WOS:000646374900008</t>
  </si>
  <si>
    <t>Cabalín, C; Iturriaga, C; Pérez-Mateluna, G; Echeverría, D; Camargo, CA Jr; Borzutzky, A</t>
  </si>
  <si>
    <t>Cabalin, Carolina; Iturriaga, Carolina; Perez-Mateluna, Guillermo; Echeverria, Denise; Camargo Jr, Carlos A.; Borzutzky, Arturo</t>
  </si>
  <si>
    <t>Vitamin D status and supplementation in Antarctica: a systematic review and meta- analysis</t>
  </si>
  <si>
    <t>INTERNATIONAL JOURNAL OF CIRCUMPOLAR HEALTH</t>
  </si>
  <si>
    <t>Vitamin D; Vitamin D deficiency; 25-hydroxyvitamin D; Antarctica; meta-analysis</t>
  </si>
  <si>
    <t>SUNLIGHT DEPRIVATION; UV-RADIATION; D DEFICIENCY; METABOLISM; LATITUDE</t>
  </si>
  <si>
    <t>Living at high latitudes is associated with vitamin D (VD) deficiency. An ideal setting to study this is the Antarctic continent, which has temporary inhabitants, but the magnitude of the effect of living in Antarctica and the effects of VD supplementation on this population remain unclear. We performed a systematic review and meta-analysis to assess the effect of temporary residence in Antarctica and impact of VD supplementation on VD status of this population. Random-effects meta-analyses were performed to assess serum 25-hydroxyvitamin D (25(OH)D) concentration changes after Antarctic residence (13 studies, 294 subjects) and after VD supplementation (5 studies, 213 subjects). Serum 25(OH)D mean difference after temporary residence in Antarctica was -15.0 nmol/L (95%CI: -25.9, -4.2; I-2=92%). Subgroup meta-analyses of studies evaluating Antarctic summer and winter stays showed 25(OH)D only decreases when overwintering (winter 25(OH)D change -17.0 nmol/L [95%CI: -24.1, -9.8; I-2=83%] vs. summer 25(OH)D change 1.3 nmol/L [95%CI: -14.6, 17.1; I-2=86%]). The meta-analysis of VD supplementation studies in Antarctica showed a mean 25(OH)D increase after supplementation of 10.8 nmol/L (95%CI: 3.3, 18.3; I-2=88%). In conclusion, VD status significantly worsens after inhabiting Antarctica, particularly when over-wintering. VD supplementation can prevent worsening of VD status and should be considered in this population.</t>
  </si>
  <si>
    <t>[Cabalin, Carolina; Iturriaga, Carolina; Perez-Mateluna, Guillermo; Borzutzky, Arturo] Pontificia Univ Catolica Chile, Sch Med, Dept Pediat Infect Dis &amp; Immunol, Santiago, Chile; [Echeverria, Denise] Fuerza Aerea Chile, Grp Sanidad Brigada 4, Punta Arenas, Chile; [Camargo Jr, Carlos A.] Harvard Med Sch, Massachusetts Gen Hosp, Dept Emergency Med, Boston, MA 02115 USA; [Borzutzky, Arturo] Pontificia Univ Catolica Chile, Millennium Inst Immunol &amp; Immunotherapy, Sch Med, Santiago, Chile</t>
  </si>
  <si>
    <t>Pontificia Universidad Catolica de Chile; Harvard University; Massachusetts General Hospital; Harvard Medical School; Pontificia Universidad Catolica de Chile</t>
  </si>
  <si>
    <t>Borzutzky, A (corresponding author), Lab Inmunol &amp; Alergia Traslac, Diagonal Paraguay 362 Of 807, Santiago 8330077, Chile.</t>
  </si>
  <si>
    <t>drarturo@gmail.com</t>
  </si>
  <si>
    <t>Cabalin, Carolina/AAM-8147-2021; Camargo, Carlos A./C-2145-2008</t>
  </si>
  <si>
    <t>Cabalin, Carolina/0000-0001-6344-3966; Camargo, Carlos A./0000-0002-5071-7654; Echeverria, Denise/0000-0002-3581-0404; Borzutzky, Arturo/0000-0002-7904-262X; Perez-Mateluna, Guillermo/0000-0001-8926-8756</t>
  </si>
  <si>
    <t>Instituto Antartico Chileno [RT_28-15]</t>
  </si>
  <si>
    <t>Instituto Antartico Chileno</t>
  </si>
  <si>
    <t>Instituto Antartico Chileno project number RT_28-15; Instituto Antartico Chileno [RT_28-15];</t>
  </si>
  <si>
    <t>1239-9736</t>
  </si>
  <si>
    <t>2242-3982</t>
  </si>
  <si>
    <t>INT J CIRCUMPOL HEAL</t>
  </si>
  <si>
    <t>Int. J. Circumpolar Health</t>
  </si>
  <si>
    <t>10.1080/22423982.2021.1926133</t>
  </si>
  <si>
    <t>Public, Environmental &amp; Occupational Health</t>
  </si>
  <si>
    <t>SB4AQ</t>
  </si>
  <si>
    <t>WOS:000649939700001</t>
  </si>
  <si>
    <t>Hájek, J; Hojdová, A; Trnková, K; Váczi, P; Bednariková, M; Barták, M</t>
  </si>
  <si>
    <t>Hajek, J.; Hojdova, A.; Trnkova, K.; Vaczi, P.; Bednarikova, M.; Bartak, M.</t>
  </si>
  <si>
    <t>Responses of thallus anatomy and chlorophyll fluorescence-based photosynthetic characteristics of two Antarctic species of genus Usnea to low temperature</t>
  </si>
  <si>
    <t>PHOTOSYNTHETICA</t>
  </si>
  <si>
    <t>cross-sections; lichen; temperature effects; Usnea aurantiaco-atra; Usnea sphacelata</t>
  </si>
  <si>
    <t>ICE NUCLEATION ACTIVITY; ELECTRON-TRANSPORT; WATER RELATIONS; LICHEN; PARMELIACEAE; ASCOMYCOTA; GROWTH; ISLAND; PENINSULA; STRESS</t>
  </si>
  <si>
    <t>Biometrical parameters of two fruticose lichens from Antarctica (Usnea aurantiaco-atra, U. sphacelata) were studied using thallus cross-sections at basal, middle, and apical parts of thallus. The thallus diameter (TD), the thickness of the upper cortex (UCT), distribution of symbiotic alga (Trebouxia sp.) in the algal layer, the thickness of medulla (MT), central cord diameter, and area (CCD, CCA) were measured. U. sphacelata had comparable relative UCT (0.080-0.110, relative to diameter) to U. aurantiaco-atra (0.085-0.130). The relative MT was higher in U. sphacelata (0.240-0.300) than U. aurantiaco-atra (0.080-0.180). In U. aurantiaco-atra, the CCA was two times larger than that in U. sphacelata. Rapid freezing of thalli in liquid nitrogen led to an increase in TD, UCT, CCD because of intrathalline ice crystals formation. Cultivation of symbiotic alga at different temperatures (1.5, 6.0, 15.0, 22.0, and 28.0 degrees C) with repetitive chlorophyll fluorescence parameters measurements showed growth optimum of 15.0 degrees C for potential and effective quantum yield.</t>
  </si>
  <si>
    <t>[Hajek, J.; Hojdova, A.; Trnkova, K.; Vaczi, P.; Bednarikova, M.; Bartak, M.] Masaryk Univ, Fac Sci, Dept Expt Biol, Lab Photosynthet Proc, Kamenice 5, Brno 62500, Czech Republic</t>
  </si>
  <si>
    <t>Barták, M (corresponding author), Masaryk Univ, Fac Sci, Dept Expt Biol, Lab Photosynthet Proc, Kamenice 5, Brno 62500, Czech Republic.</t>
  </si>
  <si>
    <t>mbartak@sci.muni.cz</t>
  </si>
  <si>
    <t>Hájek, Josef/F-4694-2019; Barták, Miloš/F-4714-2019</t>
  </si>
  <si>
    <t>Hájek, Josef/0000-0002-2679-1707;</t>
  </si>
  <si>
    <t>CzechPolar-I, II projects [CZ.02.1.01/0.0/0.0/16_013/0001708, LM2010009, LM2015078]</t>
  </si>
  <si>
    <t>CzechPolar-I, II projects</t>
  </si>
  <si>
    <t>The authors thank the ECOPOLARIS and CzechPolar-I, II projects (CZ.02.1.01/0.0/0.0/16_013/0001708, LM2010009, and LM2015078) for providing facilities and the infrastructure used in the research reported in this study.</t>
  </si>
  <si>
    <t>ACAD SCIENCES CZECH REPUBLIC, INST EXPERIMENTAL BOTANY</t>
  </si>
  <si>
    <t>6 PRAGUE</t>
  </si>
  <si>
    <t>NA KARLOVCE 1A,, 6 PRAGUE, 160 00, CZECH REPUBLIC</t>
  </si>
  <si>
    <t>0300-3604</t>
  </si>
  <si>
    <t>1573-9058</t>
  </si>
  <si>
    <t>Photosynthetica</t>
  </si>
  <si>
    <t>10.32615/ps.2021.002</t>
  </si>
  <si>
    <t>RU9BJ</t>
  </si>
  <si>
    <t>WOS:000645434700010</t>
  </si>
  <si>
    <t>Fernández, MJ</t>
  </si>
  <si>
    <t>Jara Fernandez, Mauricio</t>
  </si>
  <si>
    <t>ALEJANDRO ALVAREZ JOFRE AND THE AMERICAN ANTARCTICA IN 1908. INTRODUCTORY NOTE AND DOCUMENT THE INTERNATIONAL SITUATION OF THE AMERICAN ANTARCTIC AND THE RIGHTS THAT CHILE COULD ASSERT TO IT</t>
  </si>
  <si>
    <t>REVISTA NOTAS HISTORICAS Y GEOGRAFICAS</t>
  </si>
  <si>
    <t>Chilean Antarctic Policy; South Shetland; Falkland Islands Impositions; Chilean-Argentine Antarctic negotiations</t>
  </si>
  <si>
    <t>The article provides a valuable and original documentary piece by the jurist Alejandro Alvarez on Chile and the Antarctic question, prepared at the request of Foreign Minister Federico Puga in 1907 and, preceded, by an introductory context note that seeks to vindicate his visionary legal and political analysis by not to be present, incomprehensibly, in early studies of national Antarctic policy.</t>
  </si>
  <si>
    <t>[Jara Fernandez, Mauricio] Univ Playa Ancha, Valparaiso, Chile</t>
  </si>
  <si>
    <t>Universidad de Playa Ancha</t>
  </si>
  <si>
    <t>Fernández, MJ (corresponding author), Univ Playa Ancha, Valparaiso, Chile.</t>
  </si>
  <si>
    <t>mjara@upla.cl</t>
  </si>
  <si>
    <t>UNIV PLAYA ANCHA CIENCIAS EDUCACION</t>
  </si>
  <si>
    <t>VALPARAISO</t>
  </si>
  <si>
    <t>AVENIDA PLAYA ANCHA 850, VALPARAISO, 00000, CHILE</t>
  </si>
  <si>
    <t>0717-036X</t>
  </si>
  <si>
    <t>0719-4404</t>
  </si>
  <si>
    <t>REV NOTAS HIST GEOGR</t>
  </si>
  <si>
    <t>Rev. Notas Hist. Geogr.</t>
  </si>
  <si>
    <t>Humanities, Multidisciplinary</t>
  </si>
  <si>
    <t>Arts &amp; Humanities - Other Topics</t>
  </si>
  <si>
    <t>RQ3AQ</t>
  </si>
  <si>
    <t>WOS:000642294000002</t>
  </si>
  <si>
    <t>Zinkovskyi, AV; Dykyy, IV; Trokhymets, VM</t>
  </si>
  <si>
    <t>Zinkovskyi, A., V; Dykyy, I., V; Trokhymets, V. M.</t>
  </si>
  <si>
    <t>Allocation of the diet of the Argentine Islands' inshore ichthyofauna</t>
  </si>
  <si>
    <t>South Ocean; Antarctic Peninsula; Antarctic fish fauna; Notothenia coriiceps; Notothenioidei</t>
  </si>
  <si>
    <t>TREMATOMUS-BERNACCHII PISCES; NOTOTHENIOID FISH; CHAENOCEPHALUS-ACERATUS; MULTIPLE COMPARISONS; DANCO COAST; POTTER COVE; ECOLOGY; ASSEMBLAGE; CORIICEPS; ROSSII</t>
  </si>
  <si>
    <t>Fish diets are important indicators of ecosystem change. This aspect of the ichthyofauna of the coast of the Argentine Islands has been insufficiently studied in comparison with other regions. This article presents the results of comparison of dietary and somatic parameters of the dominant species Notothenia coriiceps depending on the point, depth and season of catch. The sample was collected between February 2006 and February 2007. In the year of study, N. coriiceps, Trematomus bemacchii, Chaenocephalus aceratus (common species), Harpagifer antamticus and Pagotherda borchgrevinki (rare species in this region) were caught The average fish size in this region does not differ from other places in the Southern Ocean. In Cornice Channel and Stella Creek, N. coriiceps was smaller than at other points due to the narrowness and shallow depth of these places. In winter, large individuals apparently migrated from the coast. The diet of N. coriiceps consisted mainly of crustaceans and seaweeds, with a small number of mollusks (especially limpets), which are common. The number offish in the diet of N. coriiceps is relatively low for this region. Access to food was relatively the same at different points and depths of the catch. The lowest amount of food was in the fall, the highest amount of food was in the spring and summer. The condition and hepatosomatic index also did not change depending on the point and depth of the catch, but they were low in spring and high in summer. Perhaps this is due to the low energy value of food, which is not compensated by the amount It is necessary to conduct studies of the diet of N. coriiceps in other years to clarify the specificity of fish in the diet and phenological changes in somatic parameters. Similar studies are needed for other species in the region if catches are sufficient to collect a representative sample.</t>
  </si>
  <si>
    <t>[Zinkovskyi, A., V; Trokhymets, V. M.] Taras Shevchenko Natl Univ Kyiv, Volodymyrska St 64, UA-03022 Kiev, Ukraine; [Dykyy, I., V] Ivan Franko Natl Univ Lviv, Univ Ska St 1, UA-79000 Lvov, Ukraine</t>
  </si>
  <si>
    <t>Ministry of Education &amp; Science of Ukraine; Taras Shevchenko National University of Kyiv; Ministry of Education &amp; Science of Ukraine; Ivan Franko National University Lviv</t>
  </si>
  <si>
    <t>Zinkovskyi, AV (corresponding author), Taras Shevchenko Natl Univ Kyiv, Volodymyrska St 64, UA-03022 Kiev, Ukraine.</t>
  </si>
  <si>
    <t>zinkovskyi@ua.fm; i.dykyy@gmail.com</t>
  </si>
  <si>
    <t>Zinkovskyi, Artem/0000-0002-6424-5854; Trokhymets, Vladlen/0000-0001-6367-1897</t>
  </si>
  <si>
    <t>National Antarctic Research Center of Ukraine (Ministry of Education and Science of Ukraine)</t>
  </si>
  <si>
    <t>The authors of this study express their gratitude to the National Antarctic Research Center of Ukraine (Ministry of Education and Science of Ukraine) for funding and organizing the Ukrainian Antarctic Expedition, during which the samples were collected. The authors are also grateful for the full support of the original study. In addition, the authors are grateful to the Educational and Scientific Center Institute of Biology and Medicine of Taras Shevchenko National University of Kyiv for providing laboratory conditions. The authors would like to thank SCAR Antarctic Digital Database for the opportunity to freely use and edit detailed maps of Antarctica.</t>
  </si>
  <si>
    <t>2310-0842</t>
  </si>
  <si>
    <t>2312-301X</t>
  </si>
  <si>
    <t>10.15421/012109</t>
  </si>
  <si>
    <t>RT9FJ</t>
  </si>
  <si>
    <t>WOS:000644759300009</t>
  </si>
  <si>
    <t>Dorokhova, EV; Krechik, VA; Ponomarenko, EP; Dudkov, IY; Shakhovskoy, IB; Napreenko-Dorokhova, TN; Ezhov, VE; Malafeev, GV; Kuleshova, LA; Glazkova, TA</t>
  </si>
  <si>
    <t>Dorokhova, E., V; Krechik, V. A.; Ponomarenko, E. P.; Dudkov, I. Yu; Shakhovskoy, I. B.; Napreenko-Dorokhova, T. N.; Ezhov, V. E.; Malafeev, G., V; Kuleshova, L. A.; Glazkova, T. A.</t>
  </si>
  <si>
    <t>Integrated Oceanographic Research of Discovery Gap (Eastern North Atlantic) during the Cruise 43 of the R/V Akademik Nikolaj Strakhov</t>
  </si>
  <si>
    <t>OCEANOLOGY</t>
  </si>
  <si>
    <t>Discovery Gap; eastern North Atlantic; Antarctic Bottom Water; hydrology; digital elevation model of the bottom relief; subbottom profiling; sediment cores; biology; aeolian suspended matter</t>
  </si>
  <si>
    <t>During cruise 43 of the R/V Akademik Nikolaj Strakhov (September 21-October 9, 2019), new data were obtained on the bottom relief, sedimentation, and hydrological regime of the Discovery Gap (eastern North Atlantic). It was shown that the upper limit of the Antarctic Bottom Water in the study area follows the 2.05 degrees C isotherm and 34.91 PSU isohaline at depths of 4400-4700 m. A digital elevation model of the Discovery Gap relief was obtained. Three acoustic facies have been identified, which characterize dense bottom sediments and low sedimentation rates. Sediment cores ANS-43003, ANS-43004, and ANS-43006 are represented by light brown silty clays with foraminiferal sands and bioturbation. Strong dissolution of foraminifera was found in core ANS-43006, which indicates the formation of sediments below the calcium carbonate compensation depth.</t>
  </si>
  <si>
    <t>[Dorokhova, E., V; Krechik, V. A.; Ponomarenko, E. P.; Dudkov, I. Yu; Shakhovskoy, I. B.; Napreenko-Dorokhova, T. N.; Ezhov, V. E.; Malafeev, G., V; Kuleshova, L. A.] Russian Acad Sci, Shirshov Inst Oceanol, Moscow, Russia; [Dudkov, I. Yu] Immanuel Kant Baltic Fed Univ, Kaliningrad, Russia; [Glazkova, T. A.] Royal Holloway Univ London, Egham, Surrey, England</t>
  </si>
  <si>
    <t>Russian Academy of Sciences; Shirshov Institute of Oceanology; Immanuel Kant Baltic Federal University; University of London; Royal Holloway University London</t>
  </si>
  <si>
    <t>Dorokhova, EV (corresponding author), Russian Acad Sci, Shirshov Inst Oceanol, Moscow, Russia.</t>
  </si>
  <si>
    <t>zhdorokhova@gmail.com</t>
  </si>
  <si>
    <t>Kuleshova, Liubov A/L-2672-2016; Dorokhova, Evgenia V/L-3075-2016; Krechik, Viktor/J-9941-2016; Napreenko-Dorokhova, Tatiana/L-3361-2016</t>
  </si>
  <si>
    <t>Kuleshova, Liubov A/0000-0002-8511-225X; Dudkov, Ivan/0000-0002-1102-6973; Krechik, Viktor/0000-0001-6440-060X; Dorokhova, Evgenia/0000-0002-0079-7342; Napreenko-Dorokhova, Tatiana/0000-0002-4883-3250</t>
  </si>
  <si>
    <t>Russian Science Foundation [0149-2019-0013, 0149-2019-0009]; [19-17-00246]; Russian Science Foundation [19-17-00246] Funding Source: Russian Science Foundation</t>
  </si>
  <si>
    <t>Russian Science Foundation(Russian Science Foundation (RSF)); ; Russian Science Foundation(Russian Science Foundation (RSF))</t>
  </si>
  <si>
    <t>Lithological and biological studies were carried out under the state assignments of IO RAS no. 0149-2019-0013 and no. 0149-2019-0009. The bottom relief, acoustic structure of the sedimentary cover, hydrophysical and micropaleontological studies were supported by Russian Science Foundation project no. 19-17-00246.</t>
  </si>
  <si>
    <t>0001-4370</t>
  </si>
  <si>
    <t>1531-8508</t>
  </si>
  <si>
    <t>OCEANOLOGY+</t>
  </si>
  <si>
    <t>Oceanology</t>
  </si>
  <si>
    <t>10.1134/S000143702006003X</t>
  </si>
  <si>
    <t>RM2BP</t>
  </si>
  <si>
    <t>WOS:000639464100016</t>
  </si>
  <si>
    <t>Ren, XT; Jiang, PQ; Liu, ZY; Liang, YZ; Li, J</t>
  </si>
  <si>
    <t>Ren, Xingtao; Jiang, Peiqiang; Liu, Zuoyang; Liang, Yuzi; Li, Jing</t>
  </si>
  <si>
    <t>Kaistella gelatinilytica sp. nov., a flavobacterium isolated from Antarctic soil</t>
  </si>
  <si>
    <t>Flavobacteria; Antarctic soil; Kaistella gelatinilytica; polyphasic taxonomy</t>
  </si>
  <si>
    <t>GEN. NOV.; CHRYSEOBACTERIUM-HAIFENSE; EMENDED DESCRIPTION; MEMBER; EMPEDOBACTER; KOREENSIS; STRAINS</t>
  </si>
  <si>
    <t>A Gram-stain-negative, aerobic, non-spore-forming, rod-shaped, non-motile, yellow-pigmented bacteria, designated strain G5-32(T), belonging to the genus Kaistella was isolated from soil collected in the Antarctic. The strain was identified using a polyphasic taxonomic approach. The strain grew in the presence of 0-5% (w/v) NaCl (optimum, 1%), at pH 6.0-9.0 (optimum, pH 8.0) and at 4-28 degrees C (optimum, 20 degrees C). The predominant menaquinone was MK-6 (99.4%). The major fatty acids were anteiso-C-15:0 (28.2%), iso-C-15:0 (16.4%), summed feature 9 (comprising iso-C-17:1 omega 9c and/or 10-methyl C-16:0; 10.6%) and iso-C-16:0 (5.9%). A phylogenetic tree based on 16S rRNA gene sequences showed that strain G5-32(T) formed a lineage within the genus Kaistella with the closest phylogenetic neighbours Kaistella yonginensis HMD1043(T), Kaistella chaponensis DSM 23145(T), Kaistella jeonii DSM 17048(T) and Kaistella carnis NCTC 13525(T) (97.9, 97.8, 97.8 and 98.0 % 16S rRNA gene sequence similarity, respectively). The ANI values between strain G5-32(T) and K. jeonii DSM 17048(T), K. chaponensis DSM 23145(T), K. carnis NCTC 13525(T) and K. yonginensis HMD1043(T) were 90.9, 82.6, 77.1 and 76.3%. Concurrently, digital DNA-DNA hybridization values of strain G5-32(T) assessed against K. jeonii DSM 17048(T), K. chaponensis DSM 23145(T), K. carnis NCTC 13525(T) and K. yonginensis HMD1043(T) were 42.3, 25.9, 21.7 and 21.3%, respectively. Based on phenotypic, phylogenetic and genotypic data, a novel species, Kaistella gelatinilytica sp. nov., is proposed. The type strain is G5-32(T) (=CCTCC AA 2019083(T)=KCTC 72766(T)).</t>
  </si>
  <si>
    <t>[Ren, Xingtao; Jiang, Peiqiang; Liu, Zuoyang; Liang, Yuzi; Li, Jing] Ocean Univ China, Coll Marine Life Sci, Qingdao 266003, Shandong, Peoples R China</t>
  </si>
  <si>
    <t>Li, J (corresponding author), Ocean Univ China, Coll Marine Life Sci, Qingdao 266003, Shandong, Peoples R China.</t>
  </si>
  <si>
    <t>lijing313@ouc.edu.cn</t>
  </si>
  <si>
    <t>Li, Jing/0000-0003-4601-3440</t>
  </si>
  <si>
    <t>National Key R&amp;D Programme of China [2018YFC1406705]</t>
  </si>
  <si>
    <t>National Key R&amp;D Programme of China</t>
  </si>
  <si>
    <t>This work was supported by the National Key R&amp;D Programme of China (grants 2018YFC1406705).</t>
  </si>
  <si>
    <t>10.1099/ijsem.0.004753</t>
  </si>
  <si>
    <t>RL7IT</t>
  </si>
  <si>
    <t>WOS:000639142700051</t>
  </si>
  <si>
    <t>Tahon, G; Lebbe, L; Willems, A</t>
  </si>
  <si>
    <t>Tahon, Guillaume; Lebbe, Liesbeth; Willems, Anne</t>
  </si>
  <si>
    <t>Spirosoma utsteinense sp. nov. isolated from Antarctic ice-free soils from the Utsteinen region, East Antarctica</t>
  </si>
  <si>
    <t>Spirosoma; Antarctica; ice-free soil</t>
  </si>
  <si>
    <t>GENOME; DATABASE; PHOSPHATE</t>
  </si>
  <si>
    <t>Between 2014 and 2016, 16 Gram-stain-negative, aerobic, rod-shaped and yellow-orange pigmented bacteria were isolated from exposed soils from the Utsteinen region, Sor Rondane Mountains, East Antarctica. Analysis of their 16S rRNA gene sequences revealed that the strains form a separate cluster in the genus Spirosoma, with Spirosoma rigui KCTC 12531(T) as its closest neighbour (97.8 % sequence similarity). Comparative genome analysis of two representative strains (i.e. R-68523(T) and R-68079) of the new group with the type strains of Spirosoma rigui (its closest neighbour) and Spirosoma linguale (type species of the genus), yielded average nucleotide identity values of 73.9-78.7%. Digital DNA-DNA reassociation values of the two strains and these type strains ranged from 20.3 to 22.0%. The predominant cellular fatty acids of the two novel strains were summed feature 3 (i.e. C-16:1 omega 7c and/or iso-C-15 2-OH), C-16:1 omega 5c, C-16:0 and iso-C-15:0. The new Spirosoma strains grew with 0-0.5 % (w/v) NaCl, at pH 6.5-8.0 and displayed optimum growth between 15 and 25 degrees C. Based on the results of phenotypic, genomic, phylogenetic and chemotaxonomic analyses, the new strains represent a novel species of the genus Spirosoma for which the name Spirosoma utsteinense sp. nov. is proposed. The type strain is R-68523(T) (=LMG 31447(T)=CECT 9925(T)).</t>
  </si>
  <si>
    <t>[Tahon, Guillaume; Lebbe, Liesbeth; Willems, Anne] Univ Ghent, Lab Microbiol, Dept Biochem &amp; Microbiol, Ghent, Belgium; [Tahon, Guillaume] Wageningen Univ, Lab Microbiol Agrotechnol &amp; Food Sci, Wageningen, Netherlands</t>
  </si>
  <si>
    <t>Ghent University; Wageningen University &amp; Research</t>
  </si>
  <si>
    <t>Willems, A (corresponding author), Univ Ghent, Lab Microbiol, Dept Biochem &amp; Microbiol, Ghent, Belgium.</t>
  </si>
  <si>
    <t>Anne.Willems@UGent.be</t>
  </si>
  <si>
    <t>Willems, Anne/B-2872-2010</t>
  </si>
  <si>
    <t>Willems, Anne/0000-0002-8421-2881; , G/0000-0001-7020-4162</t>
  </si>
  <si>
    <t>Special Research Fund at Ghent University (BOFUGent project) [01G01911]; EMBRC Belgium (FWO project) [GOH3817N]; Belgian Science Policy Office project AMBIO [SD/BA/01]; Wellcome Trust [203141/Z/16/Z]</t>
  </si>
  <si>
    <t>Special Research Fund at Ghent University (BOFUGent project); EMBRC Belgium (FWO project)(FWO); Belgian Science Policy Office project AMBIO; Wellcome Trust(Wellcome Trust)</t>
  </si>
  <si>
    <t>This work was supported by the Special Research Fund at Ghent University (BOFUGent project 01G01911) , EMBRC Belgium (FWO project GOH3817N) and Belgian Science Policy Office project AMBIO (SD/BA/01) . We thank the Oxford Genomics Centre at the Wellcome Centre for Human Genetics (funded by Wellcome Trust grant reference 203141/Z/16/Z) for the generation and initial processing of the sequencing data.</t>
  </si>
  <si>
    <t>10.1099/ijsem.0.004754</t>
  </si>
  <si>
    <t>WOS:000639142700049</t>
  </si>
  <si>
    <t>Kim, HR</t>
  </si>
  <si>
    <t>Kim, Hyung Rae</t>
  </si>
  <si>
    <t>A Study of CHAMP Satellite Magnetic Anomalies in East Asia</t>
  </si>
  <si>
    <t>ECONOMIC AND ENVIRONMENTAL GEOLOGY</t>
  </si>
  <si>
    <t>CHAMP; satellite data processing; crustal magnetic anomaly; long wavelength; tectonism; East Asia</t>
  </si>
  <si>
    <t>GEOMAGNETIC-FIELD; JAPANESE ISLANDS; SWARM; VECTOR; MODEL; MAP</t>
  </si>
  <si>
    <t>Satellite magnetic observations reflect the magnetic properties of deep crust about the depth of Curie isotherm that is a boundary where the magnetic nature of the rocks is disappeared, showing long wavelength anomalies that are not easily detected in near-surface data from airborne and shipborne surveys. For this reason, they are important not only in the analyses on such as plate reconstruction of tectonic boundaries and deep crustal structures, but in the studies of geothermal distribution in Antarctic and Greenland crust, related to global warming issue. It is a conventional method to compute the spherical harmonic coefficients from global coverage of satellite magnetic observations but it should be noted that inclusion of erroneous data from the equator and the poles where magnetic observations are highly disturbed might mislead the global model of the coefficients. Otherwise, the reduced anomaly model can be obtained with less corruption by choosing the area of interest with proper data processing to the area. In this study, I produced a satellite crustal magnetic anomaly map over East Asia (20 degrees similar to 55 degrees N, 108 degrees similar to 150 degrees E) centered on Korean Peninsula, from CHAMP satellite magnetic measurements about mean altitude of 280 km during the last year of the mission, and compared with the one from global crustal magnetic model (MF7). Also, a comparison was made with long wavelength anomalies from EMAG2 model compiled from all near-surface data over the globe.</t>
  </si>
  <si>
    <t>[Kim, Hyung Rae] Kongju Natl Univ, Dept GeoEnvironm Sci, Gongju 32588, South Korea</t>
  </si>
  <si>
    <t>Kongju National University</t>
  </si>
  <si>
    <t>Kim, HR (corresponding author), Kongju Natl Univ, Dept GeoEnvironm Sci, Gongju 32588, South Korea.</t>
  </si>
  <si>
    <t>kimhr@kongju.ac.kr</t>
  </si>
  <si>
    <t>Kim, Hyung Rae/0000-0002-6576-9457</t>
  </si>
  <si>
    <t>KOREA SOC ECONOMIC &amp; ENVIRONMENTAL GEOLOGY</t>
  </si>
  <si>
    <t>YONSEI UNIV, 134 SINCHON-DONG, SEODAEMUN-GU, SEOUL, 120-749, SOUTH KOREA</t>
  </si>
  <si>
    <t>1225-7281</t>
  </si>
  <si>
    <t>2288-7962</t>
  </si>
  <si>
    <t>ECON ENVIRON GEOL</t>
  </si>
  <si>
    <t>Econ. Environ. Geol.</t>
  </si>
  <si>
    <t>10.9719/EEG.2021.54.1.117</t>
  </si>
  <si>
    <t>RR7RA</t>
  </si>
  <si>
    <t>WOS:000643289500010</t>
  </si>
  <si>
    <t>Han, JL; Yang, XB; Yue, W; Xu, TT; Wang, SE; Chang, L; Yang, CL</t>
  </si>
  <si>
    <t>Han, Jinliang; Yang, Xiubin; Yue, Wei; Xu, Tingting; Wang, Shaoen; Chang, Lin; Yang, Chunlei</t>
  </si>
  <si>
    <t>Image Motion of Remote Sensing Camera With Wide Field of View Over the Antarctic and Arctic</t>
  </si>
  <si>
    <t>Cameras; Imaging; Remote sensing; Earth; Optical sensors; Optical imaging; Satellites; Arctic and Antarctic; edge blur; image motion; optical remote sensing; velocity field model; wide field of view (WFV)</t>
  </si>
  <si>
    <t>Imaging by the remote sensing camera with a wide field of view (WFV) is of great significance in the issue of polar environment. However, the instability of the image motion velocity poses a huge challenge to the observation task since the direction of the earth's rotation velocity keeps changing in the polar regions. The edge blur of polar image by the camera with the WFV is usually ignored. Therefore, a specific theoretical model that the camera images over the polar region is supposed to describe the instability distinctly. Mathematical expressions of the image motion velocity field are obtained with a novel method of velocity projection and coordinate transformation. The quantitative analysis of simulation reveals that the increasing anisotropy of the instantaneous image motion velocity field gets most significant near the poles. The value of modulation transfer function at the edge of the field of view decreased by 0.33%, which results in a discrepancy of sharpness in an image. The model is capable of explaining the edge blur, of the image from BNU-1, which provides a theoretical basis for the image motion compensation strategy of cameras with the WFV.</t>
  </si>
  <si>
    <t>[Han, Jinliang; Yang, Xiubin; Yue, Wei; Xu, Tingting; Wang, Shaoen; Chang, Lin; Yang, Chunlei] Chinese Acad Sci, Changchun Inst Opt Fine Mech &amp; Phys, Changchun 130033, Peoples R China; [Han, Jinliang; Yue, Wei; Xu, Tingting; Wang, Shaoen] Univ Chinese Acad Sci, Beijing 100039, Peoples R China</t>
  </si>
  <si>
    <t>Chinese Academy of Sciences; Changchun Institute of Optics, Fine Mechanics &amp; Physics, CAS; Chinese Academy of Sciences; University of Chinese Academy of Sciences, CAS</t>
  </si>
  <si>
    <t>Yang, XB (corresponding author), Chinese Acad Sci, Changchun Inst Opt Fine Mech &amp; Phys, Changchun 130033, Peoples R China.</t>
  </si>
  <si>
    <t>240358941@qq.com; yangxiubin@ciomp.ac.cn; 2710267013@qq.com; 1422168015@qq.com; wangshaoen19961112@163.com; fanglinchang@aliyun.com; rayontheon@foxmail.com</t>
  </si>
  <si>
    <t>Xu, Tingting/AAE-8603-2022</t>
  </si>
  <si>
    <t>National Natural Science Foundation of China [62005275]; Major Projects of the Ministry of Science and Technology [2016YFB0501202]</t>
  </si>
  <si>
    <t>National Natural Science Foundation of China(National Natural Science Foundation of China (NSFC)); Major Projects of the Ministry of Science and Technology</t>
  </si>
  <si>
    <t>Manuscript received December 18, 2020; revised February 3, 2021; accepted March 12, 2021. Date of publication March 17, 2021; date of current version April 5, 2021. This work was supported in part by the National Natural Science Foundation of China under Grant 62005275 and in part by the Major Projects of the Ministry of Science and Technology under Grant 2016YFB0501202. (Corresponding author: Xiubin Yang.)</t>
  </si>
  <si>
    <t>10.1109/JSTARS.2021.3066626</t>
  </si>
  <si>
    <t>RK6JR</t>
  </si>
  <si>
    <t>WOS:000638400600003</t>
  </si>
  <si>
    <t>Völkel, J; Bens, O; Eden, M; Krauss, L; Murray, AS; Heine, K</t>
  </si>
  <si>
    <t>Voelkel, Joerg; Bens, Oliver; Eden, Marie; Krauss, Lydia; Murray, Andrew S.; Heine, Klaus</t>
  </si>
  <si>
    <t>Fluvial sediments and playa deposits of the Naukluft Mts. foreland and Tsauchab Valley, Namibia - New insights from key sections in the Late Quaternary landscape and climate change in Southern Africa</t>
  </si>
  <si>
    <t>ZEITSCHRIFT FUR GEOMORPHOLOGIE</t>
  </si>
  <si>
    <t>Slack water deposit; OSL; 14C; climate fluctuations; shifting rainfall zones</t>
  </si>
  <si>
    <t>ANTARCTIC COLD REVERSAL; SOUTHWESTERN KALAHARI; DESERT NAMIBIA; YOUNGER DRYAS; CLAY-MINERALS; KUISEB RIVER; HOMEB SILTS; NAMA GROUP; ICE-AGE; PAN</t>
  </si>
  <si>
    <t>Dryland slopes, fluvial fans and terraces are recognized as highly sensitive process-response systems and important geoarchives for the reconstruction of palaeoclimatic driven landscape development in Southern Africa. The aim of this study is to study a dryland drainage system with a clearly limited regional catchment area, whose drainage and sedimentation behavior is unaffected by distant meteorological events or changes in climatic outside the region. Our results highlight for the first time the widespread occurrence of fluvial and lacustrine sediments in the Naukluft Mts. foreland as part of the Great Escarpment and their potential as Late Quaternary geoarchives. The region's special interest and overarching value lies (i) in the bounded catchments of both the lacustrine BtillsPort Playa and the ephemeral rivers Tsauchab and Tsondab within the South African Great Escarpment and (ii) in the rivers' endorheic character and dead ends within the Namib Sand Sea to the West. All these lacustrine and fluvial systems first and foremost exclude supra-regional influences within the flow regime. Uniquely, the key palaeoclimatic question of periodical shifts of the rainfall zones during Holocene and Late Glacial times can be studied in both these catchments. This study also combines new data from the semi-desert environment of the Naukluft Mts. with data from the terminus sites Sossusvlei and Tsondabvlei within the Namib dunes. From our interpretation of the desert flash flood series, the drainage history from pre-LGM times within MIS 3 up to modem times is represented in our data. The Late Tennination I was the period with the highest flow rates post MES3, raising the Urikos Terrace. This must have been caused by strong monsoonal rainfall events from summer TTT, giving rise to extreme flash floods. Little Ice Age sediments have filled the entire thalweg, with the exception of remnant Holocene to MIS 3 terraces to the sides and provide a unique framework for ecological conditions.</t>
  </si>
  <si>
    <t>[Voelkel, Joerg; Eden, Marie; Krauss, Lydia] Tech Univ Munich TUM, Geomorphol &amp; Soil Sci GEoBoKu, Munich, Germany; [Bens, Oliver] Helmholtz Ctr Potsdam GFZ German Res Ctr Geosci, Potsdam, Germany; [Eden, Marie] Leibniz Univ Hannover, Hannover, Germany; [Krauss, Lydia] Bundesanstalt Geowissensch &amp; Rohstoffe BGR, Hannover, Germany; [Murray, Andrew S.] Aarhus Univ, Dept Geol, Nordic Lab Luminescence Dating, DTU Riso Campus, Aarhus, Denmark; [Heine, Klaus] Univ Regensburg, Regensburg, Germany</t>
  </si>
  <si>
    <t>Technical University of Munich; Helmholtz Association; Helmholtz-Center Potsdam GFZ German Research Center for Geosciences; Leibniz University Hannover; Technical University of Denmark; Aarhus University; University of Regensburg</t>
  </si>
  <si>
    <t>Völkel, J (corresponding author), Tech Univ Munich TUM, Geomorphol &amp; Soil Sci GEoBoKu, Munich, Germany.</t>
  </si>
  <si>
    <t>joerg.voelkel@tum.de</t>
  </si>
  <si>
    <t>Murray, Andrew S/A-4388-2012</t>
  </si>
  <si>
    <t>Bens, Oliver/0000-0003-3872-0081; Murray, Andrew/0000-0001-5559-1862</t>
  </si>
  <si>
    <t>German Federal Ministry of Education and Research BMBF out of the research program SPACES - Science Partnerships for the Assessment of Complex Earth System Processes [03G0838A-C, 03G0861A-D]</t>
  </si>
  <si>
    <t>German Federal Ministry of Education and Research BMBF out of the research program SPACES - Science Partnerships for the Assessment of Complex Earth System Processes</t>
  </si>
  <si>
    <t>The research project was supported by the German Federal Ministry of Education and Research BMBF out of the research program SPACES -Science Partnerships for the Assessment of Complex Earth System Processes under file no. 03G0838A-C (2013-2016) and 03G0861A-D (2016-2018) joint project GeoArchives Signals of Climate and Landscape Change preserved in Southern African Geoarchives (Coordinator: Jorg Volkel, TUM). We would like to thank former group members Sarah Betz, Teresa Gra beta l, Sebastian Scheck and Daniel Schwindt for common field work. We thank Johan and Nicky Steyn, owners of the Urikos Farm, Irmi Forster, owner of the Hauchabfontein Farm, and Ernst and Johanna Sauber, owners of the BullsPort Farm, for granting us access to their farmlands.</t>
  </si>
  <si>
    <t>GEBRUDER BORNTRAEGER</t>
  </si>
  <si>
    <t>STUTTGART</t>
  </si>
  <si>
    <t>JOHANNESSTR 3A, D-70176 STUTTGART, GERMANY</t>
  </si>
  <si>
    <t>0372-8854</t>
  </si>
  <si>
    <t>1864-1687</t>
  </si>
  <si>
    <t>Z GEOMORPHOL</t>
  </si>
  <si>
    <t>Z. Geomorphol.</t>
  </si>
  <si>
    <t>10.1127/zfg/2021/0705</t>
  </si>
  <si>
    <t>RG4XX</t>
  </si>
  <si>
    <t>WOS:000635544300004</t>
  </si>
  <si>
    <t>Claybourn, TM; Skovsted, CB; Betts, MJ; Holmer, LE; Bassett-Butt, L; Brock, GA</t>
  </si>
  <si>
    <t>Claybourn, Thomas M.; Skovsted, Christian B.; Betts, Marissa J.; Holmer, Lars E.; Bassett-Butt, Lucy; Brock, Glenn A.</t>
  </si>
  <si>
    <t>Camenellan tommotiids from the Cambrian Series 2 of East Antarctica: Biostratigraphy, palaeobiogeography, and systematics</t>
  </si>
  <si>
    <t>Tommotiida; Dailyatia; biostratigraphy; palaeobiogeography; Cambrian; Central Transantarctic Mountains</t>
  </si>
  <si>
    <t>CENTRAL TRANSANTARCTIC MOUNTAINS; SMALL SHELLY FOSSILS; KING GEORGE ISLAND; ROSS OROGEN; SHACKLETON LIMESTONE; DELAMERIAN OROGENY; SOUTH-AUSTRALIA; SCLERITOME; GONDWANA; FAUNA</t>
  </si>
  <si>
    <t>Cambrian Series 2 shelly fossils from thick carbonate successions in East Antarctica have received limited systematic treatment through the 20th century. Described here are the East Antarctic camenellan tommotiids from the Shackleton Limestone in the Central Transantarctic Mountains and the Schneider Hills limestone in the Argentina Range. This material comes from both newly sampled collections and incompletely described material from older collections. The assemblage supports correlation to the Dailyatia odyssei Zone and Pararaia janeae Trilobite Zone of South Australia, with the newly examined specimens of Dailyatia decobruta from the Shackleton Limestone providing direct correlation to the Mernmerna Formation of the Ikara-Flinders Ranges and White Point Conglomerate of Kangaroo Island. These East Antarctic assemblages include five species referred to Dailyatia, in addition to an undetermined kennardiid species and fragments of the problematic Shetlandia multiplicata. The results further corroborate the notion that fossiliferous carbonate clasts found on King George Island were sourced from the same carbonate shelf as the Shackleton Limestone, with the taxon S. multiplicata found in both units. The Schneider Hills limestone in the Argentina Range has yielded sclerites of Dailyatia icari sp. nov., currently only known from this location.</t>
  </si>
  <si>
    <t>[Claybourn, Thomas M.; Holmer, Lars E.; Bassett-Butt, Lucy] Uppsala Univ, Dept Earth Sci, Palaeobiol, Villav 16, SE-75236 Uppsala, Sweden; [Claybourn, Thomas M.; Brock, Glenn A.] Macquarie Univ, Dept Biol Sci, Sydney, NSW 2109, Australia; [Skovsted, Christian B.] Swedish Museum Nat Hist, Dept Palaeobiol, Box 50007, SE-10405 Stockholm, Sweden; [Skovsted, Christian B.; Betts, Marissa J.; Holmer, Lars E.; Brock, Glenn A.] Northwest Univ, Early Life Inst, Xian 710069, Peoples R China; [Skovsted, Christian B.; Betts, Marissa J.; Holmer, Lars E.; Brock, Glenn A.] Northwest Univ, Dept Geol, State Key Lab Continental Dynam, Xian 710069, Peoples R China; [Betts, Marissa J.] Univ New England, Palaeosci Res Ctr, Sch Environm &amp; Rural Sci, Armidale, NSW 2351, Australia</t>
  </si>
  <si>
    <t>Uppsala University; Macquarie University; Swedish Museum of Natural History; Northwest University Xi'an; Northwest University Xi'an; University of New England</t>
  </si>
  <si>
    <t>Claybourn, TM (corresponding author), Uppsala Univ, Dept Earth Sci, Palaeobiol, Villav 16, SE-75236 Uppsala, Sweden.;Claybourn, TM (corresponding author), Macquarie Univ, Dept Biol Sci, Sydney, NSW 2109, Australia.</t>
  </si>
  <si>
    <t>thomas.claybourn@hdr.mqu.edu.au; christian.skovsted@nrm.se; marissa.betts@une.edu.au; lars.holmer@pal.uu.se; lbassettbutt@gmail.com; glenn.brock@mq.edu.au</t>
  </si>
  <si>
    <t>Betts, Marissa/0000-0002-4884-825X; Brock, Glenn/0000-0002-2277-7350</t>
  </si>
  <si>
    <t>Swedish Research Council [VR 2009-4395, 2012-1658]; RFI Polar [VR 2010-6176]; Swedish Polar Secretariat; United States Antarctic Program; US National Science Foundation (NSF); Antarctica by the Trans-Antarctic Association</t>
  </si>
  <si>
    <t>Swedish Research Council(Swedish Research Council); RFI Polar; Swedish Polar Secretariat; United States Antarctic Program; US National Science Foundation (NSF)(National Science Foundation (NSF)); Antarctica by the Trans-Antarctic Association</t>
  </si>
  <si>
    <t>Paul M. Myrow (Colorado College, Colorado Springs, USA), G. Dylan Taylor (Chamonix, France), and Lars Stemmerik (Geological Survey of Denmark and Greenland, Copenhagen, Denmark) were integral parts of the fieldwork team in Antarctica. The manuscript was improved by reviews from Bing Pan (Chinese Academy of Sciences, Nanjing, China), Lea Devaere (Museum fur Naturkunde, Berlin, Germany), and Duncan J.E. Murdock (University of Oxford, UK). Processing of rock samples was performed by David Mathieson (Macquarie University, Sydney, Australia) and Therese Hultgren (Uppsala University, Sweden). Staff at the Macquarie University Facility of Science and Engineering Microscope Facility (MQFoSE MF) are thanked for their assistance with scanning electron microscopy. We also thank Albert J. Rowell (formerly University of Kansas, Lawrence, USA) who collected the material and Bruce S. Lieberman (University of Kansas, Lawrence, USA) for arranging its study. Una C. Farrell, Julien Kimmig, and Natalia Lopez-Carranza (all University of Kansas, Lawrence, USA) are thanked for facilitating access to the material and processing the loan. The work by Lars E. Holmer was supported by grants from the Swedish Research Council (VR 2009-4395, 2012-1658). The field work in Antarctica was supported by operational support for polar research (RFI Polar VR 2010-6176) and the Swedish Polar Secretariat in collaboration with the United States Antarctic Program and US National Science Foundation (NSF). Glenn A. Brock was supported in Antarctica by the Trans-Antarctic Association.</t>
  </si>
  <si>
    <t>10.4202/app.00758.2020</t>
  </si>
  <si>
    <t>RA6OL</t>
  </si>
  <si>
    <t>WOS:000631536100012</t>
  </si>
  <si>
    <t>Wells, DA; Cant, MA; Thompson, FJ; Marshall, HH; Vitikainen, EIK; Hoffman, JI; Nichols, HJ</t>
  </si>
  <si>
    <t>Wells, David A.; Cant, Michael A.; Thompson, Faye J.; Marshall, Harry H.; Vitikainen, Emma I. K.; Hoffman, Joseph, I; Nichols, Hazel J.</t>
  </si>
  <si>
    <t>Extra-group paternity varies with proxies of relatedness in a social mammal with high inbreeding risk</t>
  </si>
  <si>
    <t>BEHAVIORAL ECOLOGY</t>
  </si>
  <si>
    <t>banded mongoose; behavioral plasticity; cooperative breeder; extra-group paternity; extrapair paternity; inbreeding avoidance; personality; repeatability</t>
  </si>
  <si>
    <t>LINEAR MIXED MODELS; NAKED MOLE-RAT; PAIR PATERNITY; MATING-BEHAVIOR; SCENT MARKING; AVOIDANCE; EVOLUTION; CARE; REPEATABILITY; CONSEQUENCES</t>
  </si>
  <si>
    <t>Behavioral mechanisms for avoiding inbreeding are common in the natural world and are believed to have evolved as a response to the negative consequences of inbreeding. However, despite a fundamental role in fitness, we have a limited understanding of the cues that individuals use to assess inbreeding risk, as well as the extent to which individual inbreeding behavior is repeatable. We used piecewise structural equation modeling of 24 years of data to investigate the causes and consequences of within- versus extra-group paternity in banded mongooses. This cooperatively breeding mammal lives in tight-knit social groups that often contain closely related opposite-sex breeders, so inbreeding can be avoided through extra-group mating. We used molecular parentage assignments to show that, despite extra-group paternity resulting in outbred offspring, within-group inbreeding occurs frequently, with around 16% litters being moderately or highly inbred. Additionally, extra-group paternity appears to be plastic, with females mating outside of their social group according to individual proxies (age and immigration status) and societal proxies (group size and age) of within-group inbreeding risk but not in direct response to levels of within-group relatedness. While individual repeatability in extra-group paternity was relatively low, female cobreeders showed high repeatability, suggesting a strong constraint arising from the opportunities for extra-group mating. The use of extra-group paternity as an inbreeding avoidance strategy is, therefore, limited by high costs, opportunity constraints, and the limited reliability of proxies of inbreeding risk.</t>
  </si>
  <si>
    <t>[Wells, David A.; Hoffman, Joseph, I; Nichols, Hazel J.] Univ Bielefeld, Dept Anim Behav, Postfach 100131, D-33501 Bielefeld, Germany; [Wells, David A.] Liverpool John Moores Univ, Sch Nat Sci &amp; Psychol, Liverpool L3 3AF, Merseyside, England; [Cant, Michael A.; Thompson, Faye J.] Univ Exeter, Coll Life &amp; Environm Sci, Penryn TR10 9FE, England; [Marshall, Harry H.] Univ Roehampton, Ctr Res Ecol Evolut &amp; Behav, Dept Life Sci, London SW15 4JD, England; [Vitikainen, Emma I. K.] Univ Helsinki, Fac Biol &amp; Environm Sci, Organismal &amp; Evolutionary Biol Res Programme, POB 65 Viikinkaari 1, FIN-00014 Helsinki, Finland; [Hoffman, Joseph, I] British Antarctic Survey, Madingley Rd, Cambridge CB3 OET, Cambs, England; [Nichols, Hazel J.] Swansea Univ, Dept Biosci, Swansea SA2 8PP, W Glam, Wales</t>
  </si>
  <si>
    <t>University of Bielefeld; Liverpool John Moores University; University of Exeter; Roehampton University; University of Helsinki; UK Research &amp; Innovation (UKRI); Natural Environment Research Council (NERC); NERC British Antarctic Survey; Swansea University</t>
  </si>
  <si>
    <t>Nichols, HJ (corresponding author), Univ Bielefeld, Dept Anim Behav, Postfach 100131, D-33501 Bielefeld, Germany.;Nichols, HJ (corresponding author), Swansea Univ, Dept Biosci, Swansea SA2 8PP, W Glam, Wales.</t>
  </si>
  <si>
    <t>h.j.nichols@swansea.ac.uk</t>
  </si>
  <si>
    <t>Wells, David/AFO-3604-2022; Marshall, Harry/D-4945-2014; Wells, David/ABD-7694-2021; Hoffman, Joseph i/K-7725-2012; Vitikainen, Emma/F-2099-2010; Cant, Michael/B-1982-2009</t>
  </si>
  <si>
    <t>Wells, David/0000-0002-4531-5968; Marshall, Harry/0000-0003-2120-243X; Wells, David/0000-0002-4531-5968; Vitikainen, Emma/0000-0003-3718-0941; Thompson, Faye/0000-0001-7581-2204; Cant, Michael/0000-0002-1530-3077</t>
  </si>
  <si>
    <t>Deutsche Forschungsgemeinschaft standard grant [HO 5122/5-1]; Liverpool John Moores University; Natural Environment Research Council [NE/J010278/1]; Leverhulme International Fellowship - Leverhulme Trust [IAF-2018-006]; Alexander von Humboldt-Stiftung; NERC [NE/J010278/1, NE/S009914/1] Funding Source: UKRI</t>
  </si>
  <si>
    <t>Deutsche Forschungsgemeinschaft standard grant(German Research Foundation (DFG)); Liverpool John Moores University; Natural Environment Research Council(UK Research &amp; Innovation (UKRI)Natural Environment Research Council (NERC)); Leverhulme International Fellowship - Leverhulme Trust(Leverhulme Trust); Alexander von Humboldt-Stiftung(Alexander von Humboldt Foundation); NERC(UK Research &amp; Innovation (UKRI)Natural Environment Research Council (NERC))</t>
  </si>
  <si>
    <t>This work was supported by a Deutsche Forschungsgemeinschaft standard grant (HO 5122/5-1) awarded to J.I.H., a dual PhD studentship from Liverpool John Moores University awarded to D.A.W., a Natural Environment Research Council Standard Grant (NE/J010278/1) awarded to M.A.C., a Leverhulme International Fellowship (IAF-2018-006) awarded by the Leverhulme Trust to H.J.N., and a Humboldt Research Fellowship for Experienced Researchers from Alexander von Humboldt-Stiftung awarded to H.J.N.</t>
  </si>
  <si>
    <t>1045-2249</t>
  </si>
  <si>
    <t>1465-7279</t>
  </si>
  <si>
    <t>BEHAV ECOL</t>
  </si>
  <si>
    <t>Behav. Ecol.</t>
  </si>
  <si>
    <t>10.1093/beheco/araa105</t>
  </si>
  <si>
    <t>Behavioral Sciences; Biology; Ecology; Zoology</t>
  </si>
  <si>
    <t>Behavioral Sciences; Life Sciences &amp; Biomedicine - Other Topics; Environmental Sciences &amp; Ecology; Zoology</t>
  </si>
  <si>
    <t>RI6JQ</t>
  </si>
  <si>
    <t>WOS:000637013400015</t>
  </si>
  <si>
    <t>Yastrebova, A; Höyhtyä, M; Boumard, S; Lohan, ES; Ometov, A</t>
  </si>
  <si>
    <t>Yastrebova, Anastasia; Hoyhtya, Marko; Boumard, Sandrine; Lohan, Elena Simona; Ometov, Aleksandr</t>
  </si>
  <si>
    <t>Positioning in the Arctic Region: State-of-the-Art and Future Perspectives</t>
  </si>
  <si>
    <t>IEEE ACCESS</t>
  </si>
  <si>
    <t>Arctic; Global navigation satellite system; Satellites; Satellite broadcasting; Radar tracking; Global Positioning System; Earth; Marine navigation; Arctic; global positioning system; aerospace simulation; unmanned autonomous vehicles</t>
  </si>
  <si>
    <t>GNSS; AVAILABILITY; ACCURACY; GPS</t>
  </si>
  <si>
    <t>The positioning systems' high accuracy and reliability are crucial enablers for various future applications, including autonomous shipping worldwide. It is especially challenging for the Arctic region due to the lower number of visible satellites, severe ionospheric disturbances, scintillation effects, and higher delays than in the non-Arctic and non-Antarctic regions. In regions up North, conventional satellite positioning systems are generally proposed to be utilized, together with other situational awareness systems, to achieve the necessary level of accuracy. This paper provides a detailed review of the current state-of-the-art, satellite-based positioning systems' availability and performance and reports high-level positioning requirements for the oncoming applications. In particular, the comparative study between three Global Navigation Satellite System (GNSS) constellations is executed to determine whether they are suitable for autonomous vessel navigation in the Arctics' complex environment as the two most significant drivers for a reevaluation of the related satellite constellations. This work analyzes the ongoing research executed in different (inter-) national projects focused on Galileo, Global Positioning System (GPS), and GLObal NAvigation Satellite System (GLONASS). Based on the literature review and the simulation campaign, we conclude that all the convectional constellations achieve an accuracy of fewer than three meters in the analyzed Arctic scenarios. It is postulated that other complementary positioning methods should be utilized to improve accuracy beyond this limit. Finally, the study emphasizes existing challenges in the Arctic region regarding the localization and telecommunication capabilities and provides future research directions.</t>
  </si>
  <si>
    <t>[Yastrebova, Anastasia; Hoyhtya, Marko; Boumard, Sandrine] VTT Tech Res Ctr Finland Ltd, Oulu 90570, Finland; [Lohan, Elena Simona; Ometov, Aleksandr] Tampere Univ, Elect Engn, Tampere 33720, Finland</t>
  </si>
  <si>
    <t>VTT Technical Research Center Finland; Tampere University</t>
  </si>
  <si>
    <t>Yastrebova, A (corresponding author), VTT Tech Res Ctr Finland Ltd, Oulu 90570, Finland.</t>
  </si>
  <si>
    <t>anastasia.yastrebova@vtt.fi</t>
  </si>
  <si>
    <t>Ometov, Aleksandr/A-9443-2015; Lohan, Elena Simona/L-5449-2013</t>
  </si>
  <si>
    <t>Ometov, Aleksandr/0000-0003-3412-1639; Yastrebova, Anastasia/0000-0002-8245-8204; Lohan, Elena Simona/0000-0003-1718-6924; Boumard, Sandrine/0000-0002-9864-022X; Hoyhtya, Marko/0000-0001-9088-1566</t>
  </si>
  <si>
    <t>2169-3536</t>
  </si>
  <si>
    <t>IEEE Access</t>
  </si>
  <si>
    <t>10.1109/ACCESS.2021.3069315</t>
  </si>
  <si>
    <t>Computer Science, Information Systems; Engineering, Electrical &amp; Electronic; Telecommunications</t>
  </si>
  <si>
    <t>Computer Science; Engineering; Telecommunications</t>
  </si>
  <si>
    <t>RO4EE</t>
  </si>
  <si>
    <t>WOS:000640997500001</t>
  </si>
  <si>
    <t>Shin, S; Lee, H; So, H</t>
  </si>
  <si>
    <t>Shin, Sanghun; Lee, Heewon; So, Hongyun</t>
  </si>
  <si>
    <t>Photocurrents Recovery in GaN UV Sensors Using Microheaters at Low Temperatures</t>
  </si>
  <si>
    <t>Temperature measurement; Temperature sensors; Heating systems; Sensors; Photoconductivity; Photodetectors; Gallium nitride; Gallium nitride; ultraviolet sensors; photocurrent; microheater; low temperature</t>
  </si>
  <si>
    <t>At various low-temperature conditions, it is difficult to obtain an accurate sensing response due to temperature-dependent material properties such as bandgap and resistivity of semiconductors. In this study, a gallium nitride (GaN)-based ultraviolet (UV) photodetector with a microheater was demonstrated to compensate for the low-temperature effects. A parallel-type platinum microheater array was fabricated to supply thermal energy by Joule heating. In addition, a silicon oxide layer was deposited between the heater and the GaN surface, allowing an independent voltage supply. Therefore, the change in the signal level was successfully recovered to the initial state in the temperature range of -27.4 - 11.5 degrees C within similar to 0.64% error without electrical interference. This study supports an active, accurate, and reliable method for the stable measurement of UV signals in various low-temperature environments such as freezer warehouses, Antarctic research stations, and in space.</t>
  </si>
  <si>
    <t>[Shin, Sanghun; Lee, Heewon; So, Hongyun] Hanyang Univ, Dept Mech Engn, Seoul 04763, South Korea; [So, Hongyun] Hanyang Univ, Inst Nano Sci &amp; Technol, Seoul 04763, South Korea</t>
  </si>
  <si>
    <t>Hanyang University; Hanyang University</t>
  </si>
  <si>
    <t>So, H (corresponding author), Hanyang Univ, Dept Mech Engn, Seoul 04763, South Korea.;So, H (corresponding author), Hanyang Univ, Inst Nano Sci &amp; Technol, Seoul 04763, South Korea.</t>
  </si>
  <si>
    <t>hyso@hanyang.ac.kr</t>
  </si>
  <si>
    <t>Shin, Sanghun/AGS-2219-2022</t>
  </si>
  <si>
    <t>Shin, Sanghun/0000-0003-1683-4141; Lee, Heewon/0000-0002-2776-3249</t>
  </si>
  <si>
    <t>Korea Institute of Energy Technology Evaluation and Planning (KETEP); Ministry of Trade, Industry and Energy of the Republic of Korea [20202000000010]</t>
  </si>
  <si>
    <t>Korea Institute of Energy Technology Evaluation and Planning (KETEP); Ministry of Trade, Industry and Energy of the Republic of Korea</t>
  </si>
  <si>
    <t>This work was supported by the Korea Institute of Energy Technology Evaluation and Planning (KETEP), granted financial resource from the Ministry of Trade, Industry and Energy of the Republic of Korea under Grant 20202000000010.</t>
  </si>
  <si>
    <t>10.1109/ACCESS.2021.3070916</t>
  </si>
  <si>
    <t>RO4DT</t>
  </si>
  <si>
    <t>WOS:000640996400001</t>
  </si>
  <si>
    <t>Liao, L; Su, SY; Zhang, YJ; Liu, H; Zhang, XY; Zhang, J; Wen, J; Chen, B; Yu, Y</t>
  </si>
  <si>
    <t>Liao, Li; Su, Shi-Yuan; Zhang, Yan-Jiao; Liu, Huan; Zhang, Xi-Ying; Zhang, Jin; Wen, Jiao; Chen, Bo; Yu, Yong</t>
  </si>
  <si>
    <t>Pseudopuniceibacterium antarcticum sp. nov., isolated from an Antarctic marine sponge</t>
  </si>
  <si>
    <t>Pseudopuniceibacterium antarcticum sp.; nov; Rhodobacteraceae; Antarctic; Sponge</t>
  </si>
  <si>
    <t>GENOME; DATABASE; DNA; SEQUENCES; GENES</t>
  </si>
  <si>
    <t>A Gram-negative, aerobic, rod-shaped, non-motile bacterium, designated strain HQ09(T), was isolated from a marine sponge off the coast of Fields Peninsula, West Antarctica. Strain HQ09(T) grew at 4-35 degrees C (optimum, 25 degrees C), pH 5-9 (optimum, pH 7.0), and with 1-10% NaCl (optimum, 2%). Phylogenetic analysis based on the 16S rRNA gene sequences showed that strain HQ09(T) was affiliated with the genus Pseudopuniceibacterium in the family Rhodobacteraceae, sharing 99.64% identity with the type strain of Pseudopuniceibacterium sediminis, the only known species in the genus. However, the low digital DNA-DNA hybridization (dDDH) (27.2%) and average nucleotide identity (ANI) (83.63 %) values between strain HQ09(T) and the type strain of Pseudopuniceibacterium sediminis indicated that they did not belong to the same species. Strain HQ09(T) could also be differentiated from Pseudopuniceibacterium sediminis by many phenotypic characteristics. The major fatty acids (&gt;5%) of strain HQ09(T) were summed feature 8 (C-18:1 omega 7c/C-18:1 omega 6c), 11-methyl C-18:1 omega 7c, C-16:0 and C19:0 cyclo omega 8c. The polar lipids included phosphatidylglycerol, phosphatidylcholine, two unidentified aminolipids and one unidentified phospholipid. The predominant respiratory quinone was ubiquinone 10 (Q-10). The genomic DNA G+C content was 62.63 mol%. Four secondary metabolite biosynthetic gene clusters were detected in the genome, potentially producing ectoine and three types of unknown compounds. On the basis of the polyphasic evidences obtained in this study, strain HQ09(T) represents a novel species of the genus Pseudopuniceibacterium, for which the name Pseudopuniceibacterium antarcticum sp. nov. is proposed, with the type strain being HQ09(T) (=KCTC 52229(T)=CGMCC 1.15538(T)).</t>
  </si>
  <si>
    <t>[Liao, Li; Su, Shi-Yuan; Liu, Huan; Zhang, Jin; Wen, Jiao; Chen, Bo; Yu, Yong] Polar Res Inst China, MNR, Key Lab Polar Sci, Shanghai 200136, Peoples R China; [Liao, Li] Southern Marine Sci &amp; Engn Guangdong Lab Zhuhai, Zhuhai 519000, Peoples R China; [Zhang, Yan-Jiao] Qingdao Agr Univ, Sch Life Sci, Shandong Prov Key Lab Appl Mycol, Qingdao 266109, Peoples R China; [Zhang, Xi-Ying] Shandong Univ, Marine Biotechnol Res Ctr, State Key Lab Microbial Technol, Qingdao 266237, Peoples R China</t>
  </si>
  <si>
    <t>Polar Research Institute of China; Southern Marine Science &amp; Engineering Guangdong Laboratory; Southern Marine Science &amp; Engineering Guangdong Laboratory (Zhuhai); Qingdao Agricultural University; Shandong University</t>
  </si>
  <si>
    <t>Liao, L (corresponding author), Polar Res Inst China, MNR, Key Lab Polar Sci, Shanghai 200136, Peoples R China.;Liao, L (corresponding author), Southern Marine Sci &amp; Engn Guangdong Lab Zhuhai, Zhuhai 519000, Peoples R China.</t>
  </si>
  <si>
    <t>liaoli@pric.org.cn</t>
  </si>
  <si>
    <t>Zhang, Xi/HJH-1211-2023</t>
  </si>
  <si>
    <t>Liao, Li/0000-0002-8548-1928</t>
  </si>
  <si>
    <t>National Key Research and Development Programme of China [2018YFC1406702, 2018YFC1406701]; National Natural Science Foundation of China [41976224]</t>
  </si>
  <si>
    <t>National Key Research and Development Programme of China; National Natural Science Foundation of China(National Natural Science Foundation of China (NSFC))</t>
  </si>
  <si>
    <t>This work was supported by the National Key Research and Development Programme of China (Grant No. 2018YFC1406702 and 2018YFC1406701) , the National Natural Science Foundation of China (Grant No.41976224) .</t>
  </si>
  <si>
    <t>10.1099/ijsem.0.004605</t>
  </si>
  <si>
    <t>RH8AE</t>
  </si>
  <si>
    <t>WOS:000636433500017</t>
  </si>
  <si>
    <t>Valbonesi, A; Di Giuseppe, G; Vallesi, A; Luporini, P</t>
  </si>
  <si>
    <t>Valbonesi, Alessandro; Giuseppe, Graziano Di; Vallesi, Adriana; Luporini, Pierangelo</t>
  </si>
  <si>
    <t>Two new species of Euplotes with cirrotype-9, Euplotes foissneri sp. nov. and Euplotes warreni sp. nov. (Ciliophora, Spirotrichea, Euplotida), from the coasts of Patagonia: implications from their distant, early and late branching in the Euplotes phylogenetic tree</t>
  </si>
  <si>
    <t>Ciliate taxonomy; Euplotes phylogeny; cirrotype pattern; Euplotopsis; sub-Antarctic biodiversity</t>
  </si>
  <si>
    <t>Two new Euplotes species have been isolated from cold shallow sandy sediments of the extreme Southern Chilean coasts: Euplotes foissneri sp. nov., from a low-salinity site at Puerto Natales on the Pacific coast, and Euplotes warreni sp. nov., from a marine site at Punta Arenas on the Atlantic coast. Euplotes foissneri has a medium body size (53?36 ?m in vivo), a dorsal surface marked by six prominent ridges, a double dargyrome, six dorsal and two ventrolateral kineties, a buccal field extending to about 3/4 of the body length, an adoral zone composed of 28?32 membranelles, and nine fronto-ventral, five transverse and two or three caudal cirri. The bulky, hook-, horseshoe-or 3-shaped macronucleus is associated with one sub-spherical micronucleus. The central body region hosts taxonomically unidentified endosymbiotic eubacteria. Euplotes warreni has a small body size (39?27 ?m in vivo), a smooth dorsal surface marked by three deep grooves, a double dargyrome, four dorsal and two ventrolateral kineties, a buccal field extending to about 2/3 of the body length, an adoral zone composed of 23?25 adoral membranelles, and nine fronto-ventral, five transverse and three caudal cirri. The macronucleus is hook-or C-shaped and associated with one spherical micronucleus. Endosymbiotic bacteria belonging to the genus Francisella reside preferentially in the anterior cell region. Both species lack the fronto-ventral cirrus numbered ?V/2?, whereby their cirrotype-9 conforms to the so-called ?pattern I?, which is the basic distinctive trait of the genus Euplotopsis Borror and Hill, 1995. Phylogenetic analyses of small subunit rRNA gene sequences, however, classify E. warreni into its own early branching clade and E. foissneri into a late branching clade. This indicates a polyphyletic nature and taxonomic inconsistency of the genus Euplotopsis, which was erected to include Euplotes species with cirrotype-9 pattern I.</t>
  </si>
  <si>
    <t>[Valbonesi, Alessandro; Vallesi, Adriana; Luporini, Pierangelo] Univ Camerino, Sch Biosci &amp; Vet Med, Lab Eukaryot Microbiol &amp; Anim Biol, Camerino, Italy; [Giuseppe, Graziano Di] Univ Pisa, Dept Biol, Pisa, Italy</t>
  </si>
  <si>
    <t>University of Camerino; University of Pisa</t>
  </si>
  <si>
    <t>Vallesi, A; Luporini, P (corresponding author), Univ Camerino, Sch Biosci &amp; Vet Med, Lab Eukaryot Microbiol &amp; Anim Biol, Camerino, Italy.</t>
  </si>
  <si>
    <t>adriana.vallesi@unicam.it; piero.luporini@unicam.it</t>
  </si>
  <si>
    <t>Vallesi, Adriana/I-9933-2016</t>
  </si>
  <si>
    <t>Vallesi, Adriana/0000-0002-4127-090X</t>
  </si>
  <si>
    <t>PNRA (Programma Nazionale di Ricerca in Antartide); Italian Ministry of University and Research (MIUR)</t>
  </si>
  <si>
    <t>PNRA (Programma Nazionale di Ricerca in Antartide); Italian Ministry of University and Research (MIUR)(Ministry of Education, Universities and Research (MIUR))</t>
  </si>
  <si>
    <t>This work was financially supported by the PNRA (Programma Nazionale di Ricerca in Antartide) and the Italian Ministry of University and Research (MIUR) .</t>
  </si>
  <si>
    <t>CHARLES DARWIN HOUSE, 12 ROGER ST, LONDON WC1N 2JU, ERKS, ENGLAND</t>
  </si>
  <si>
    <t>10.1099/ijsem.0.004568</t>
  </si>
  <si>
    <t>WOS:000636433500029</t>
  </si>
  <si>
    <t>Karahalil, M; Özsoy, B</t>
  </si>
  <si>
    <t>Karahalil, Meric; Ozsoy, Burcu</t>
  </si>
  <si>
    <t>Assessment of Arctic and Antarctic Sea Ice Condition Differences in the Scope of the Polar Code</t>
  </si>
  <si>
    <t>JOURNAL OF ETA MARITIME SCIENCE</t>
  </si>
  <si>
    <t>Polar regions; Sea ice change; Maritime activities; Polar Code; Maritime safety</t>
  </si>
  <si>
    <t>Polar regions face increasing challenges resulting from the interactions between global climate change, human activities, and economic and political pressures. As the sea ice extent trends diminish, maritime operations have started increasing in these regions. In this respect, an international concern has arisen for the shrinking of sea ice, preserving the environment, and passengers' and seafarers' safety. The International Maritime Organization has enforced the Polar Code (PC) for the ships navigating in these challenging Arctic and Antarctic waters. Polar regions are similar in some aspects but exhibit significant differences in geographical conditions, maritime activities, and legal status. Therefore, the PC that applies to both regions should be reconsidered, accounting for the differences between the areas for further development. This study considers the Arctic and Antarctic geographical differences relevant to the PC's scope. The emphasis is placed on the changes regarding the sea ice extent and sea ice condition differences in the two regions, which are essential in maritime safety. This study also addresses the aspects of the PC that need improvement.</t>
  </si>
  <si>
    <t>[Karahalil, Meric; Ozsoy, Burcu] Istanbul Tech Univ, Dept Maritime Transportat Engn, Istanbul, Turkey; [Ozsoy, Burcu] Polar Res Inst KARE, Sci &amp; Technol Res Council Turkey TUBITAK MAM, Istanbul, Turkey</t>
  </si>
  <si>
    <t>Istanbul Technical University</t>
  </si>
  <si>
    <t>Karahalil, M (corresponding author), Istanbul Tech Univ, Dept Maritime Transportat Engn, Istanbul, Turkey.</t>
  </si>
  <si>
    <t>merickthll@gmail.com</t>
  </si>
  <si>
    <t>Ozsoy, Burcu/AAH-5348-2020</t>
  </si>
  <si>
    <t>Ozsoy, Burcu/0000-0003-4320-1796</t>
  </si>
  <si>
    <t>Republic of Turkey - Ministry of Industry and Technology</t>
  </si>
  <si>
    <t>This study was carried under the auspices of the Presidency of the Republic of Turkey, supported by the Ministry of Industry and Technology and coordinated by TUBITAK MRC Polar Research Institute.</t>
  </si>
  <si>
    <t>GALENOS PUBL HOUSE</t>
  </si>
  <si>
    <t>ISTANBUL</t>
  </si>
  <si>
    <t>Kacamak Sokak 21/1, ISTANBUL, Findikzade, TURKEY</t>
  </si>
  <si>
    <t>2148-9386</t>
  </si>
  <si>
    <t>J ETA MARIT SCI</t>
  </si>
  <si>
    <t>J. Eta Marit. Sci.</t>
  </si>
  <si>
    <t>10.4274/jems.2021.32448</t>
  </si>
  <si>
    <t>Engineering, Marine; Transportation; Transportation Science &amp; Technology</t>
  </si>
  <si>
    <t>Engineering; Transportation</t>
  </si>
  <si>
    <t>RH2KB</t>
  </si>
  <si>
    <t>WOS:000636053100005</t>
  </si>
  <si>
    <t>Moreno-Ibanez, M; Laprise, R; Gachon, P</t>
  </si>
  <si>
    <t>Moreno-Ibanez, Marta; Laprise, Rene; Gachon, Philippe</t>
  </si>
  <si>
    <t>Recent advances in polar low research: current knowledge, challenges and future perspectives</t>
  </si>
  <si>
    <t>TELLUS SERIES A-DYNAMIC METEOROLOGY AND OCEANOGRAPHY</t>
  </si>
  <si>
    <t>polar low; severe weather; marine cold air outbreak; Arctic; Antarctic</t>
  </si>
  <si>
    <t>ARCTIC SYSTEM REANALYSIS; COLD-AIR OUTBREAKS; 21 JANUARY 1997; NORDIC SEAS; JAPAN-SEA; LABRADOR SEA; CLIMATOLOGY; RESOLUTION; ATLANTIC; OCEAN</t>
  </si>
  <si>
    <t>Polar lows (PLs) are high-latitude intense maritime mesoscale weather systems that develop over open water near the sea ice margin or near snow-covered continents during cold air outbreaks. PLs pose a threat to coastal and island communities, transportation and offshore drilling platforms. PLs mainly develop during the cold season and their frequency exhibits a large interannual variability. Observations from polar-orbiting satellites are the main source of observational data to study PLs since conventional observations are sparse and unevenly distributed in high latitudes. PL forecasting has long remained a challenge due to the small size and short lifetime of these systems. Nevertheless, the representation of PLs in numerical models has significantly improved with the advent of high-resolution atmospheric models. Several studies have shown that baroclinic instability and convection play an important role in the development of PLs, but a thorough understanding of the physical mechanisms involved in the formation and intensification of PLs is yet to be developed. The relevant role of surface sensible heat flux and latent heat release in PL development has often been highlighted. The diabatic fluxes from the oceanic surface and associated with PLs can cause a decrease in the sea surface temperature (SST), whereas the strong wind speeds can lead to upper-ocean mixing in regions where an ocean temperature inversion is present. It is expected that global warming associated with anthropogenic climate changes may lead to an increase in the static stability of the atmosphere, thus affecting the climatology of PLs. In the North Atlantic the regions of PL activity will shift northwards as seasonal sea-ice margins migrate towards higher latitudes areas, and the frequency of PLs will decrease. Although our knowledge about PLs has significantly increased during the last decades, the are still many unanswered questions. Among the most pressing issues in PL research are the need to determine the objective criteria that define PLs and to devise an international intercomparison project of PL detection and tracking.</t>
  </si>
  <si>
    <t>[Moreno-Ibanez, Marta; Laprise, Rene; Gachon, Philippe] Univ Quebec Montreal UQAM, Ctr Study &amp; Simulat Reg Scale Climate ESCER, Montreal, PQ, Canada; [Moreno-Ibanez, Marta; Laprise, Rene] Univ Quebec Montreal UQAM, Dept Earth &amp; Atmospher Sci, Montreal, PQ, Canada; [Gachon, Philippe] Univ Quebec Montreal UQAM, Dept Geog, Montreal, PQ, Canada</t>
  </si>
  <si>
    <t>University of Quebec; University of Quebec Montreal; University of Quebec; University of Quebec Montreal; University of Quebec; University of Quebec Montreal</t>
  </si>
  <si>
    <t>Moreno-Ibanez, M (corresponding author), Univ Quebec Montreal UQAM, Ctr Study &amp; Simulat Reg Scale Climate ESCER, Montreal, PQ, Canada.;Moreno-Ibanez, M (corresponding author), Univ Quebec Montreal UQAM, Dept Earth &amp; Atmospher Sci, Montreal, PQ, Canada.</t>
  </si>
  <si>
    <t>marta.moreno-ibanez@outlook.com</t>
  </si>
  <si>
    <t>Moreno Ibanez, Marta/JTV-5214-2023</t>
  </si>
  <si>
    <t>Moreno Ibanez, Marta/0000-0001-5703-4699; Gachon, Philippe/0000-0002-0711-0822</t>
  </si>
  <si>
    <t>Natural Sciences and Engineering Research Council of Canada (NSERC) [707337]; project Marine Environmental Observation, Prediction and Response(MEOPAR) of the Networks of Centres of Excellence (NCE) of Canada; UQAM; UQAM's Faculty of Sciences</t>
  </si>
  <si>
    <t>Natural Sciences and Engineering Research Council of Canada (NSERC)(Natural Sciences and Engineering Research Council of Canada (NSERC)); project Marine Environmental Observation, Prediction and Response(MEOPAR) of the Networks of Centres of Excellence (NCE) of Canada; UQAM; UQAM's Faculty of Sciences</t>
  </si>
  <si>
    <t>This work was supported by the Natural Sciences and Engineering Research Council of Canada (NSERC) under Grant 707337, by the project Marine Environmental Observation, Prediction and Response(MEOPAR; http://meopar.ca) of the Networks of Centres of Excellence (NCE; http://www.nce-rce.gc.ca) of Canada, by the UQAM under the scholarship for the exemption of additional tuition fees for foreign students, and by the UQAM's Faculty of Sciences under the programme faculty financial support.</t>
  </si>
  <si>
    <t>STOCKHOLM UNIV PRESS</t>
  </si>
  <si>
    <t>STOCKHOLM</t>
  </si>
  <si>
    <t>STOCKHOLM UNIV LIBRARY, UNIVERSITETSVAGEN 14 D, STOCKHOLM, SE-106 91, SWEDEN</t>
  </si>
  <si>
    <t>1600-0870</t>
  </si>
  <si>
    <t>TELLUS A</t>
  </si>
  <si>
    <t>Tellus Ser. A-Dyn. Meteorol. Oceanogr.</t>
  </si>
  <si>
    <t>10.1080/16000870.2021.1890412</t>
  </si>
  <si>
    <t>QR0RS</t>
  </si>
  <si>
    <t>WOS:000624923800001</t>
  </si>
  <si>
    <t>Esposito, C; Bichet, O; Petit, M</t>
  </si>
  <si>
    <t>Esposito, Charlotte; Bichet, Orphe; Petit, Matthieu</t>
  </si>
  <si>
    <t>First Sightings of Antarctic Minke Whale (Balaenoptera bonaerensis) Mother-Calf Pairs in French Polynesia</t>
  </si>
  <si>
    <t>[Esposito, Charlotte; Bichet, Orphe] Assoc Oceania, BP 1636 Papetoai, F-98729 Moorea, French Polynesi, France; [Bichet, Orphe] CECHO, BP 71462 Taravao, F-98719 Tahiti, French Polynesi, France; [Petit, Matthieu] Moorea Ocean Adventures, BP 1671 Papetoai, F-98729 Moorea, French Polynesi, France</t>
  </si>
  <si>
    <t>Esposito, C (corresponding author), Assoc Oceania, BP 1636 Papetoai, F-98729 Moorea, French Polynesi, France.</t>
  </si>
  <si>
    <t>charlotte.oceania@gmail.com</t>
  </si>
  <si>
    <t>10.1578/AM.47.2.2021.175</t>
  </si>
  <si>
    <t>QX3JA</t>
  </si>
  <si>
    <t>WOS:000629241000007</t>
  </si>
  <si>
    <t>Winston, JE; Migotto, AE</t>
  </si>
  <si>
    <t>Schwaha, T</t>
  </si>
  <si>
    <t>Winston, Judith E.; Migotto, Alvaro E.</t>
  </si>
  <si>
    <t>Behavior</t>
  </si>
  <si>
    <t>PHYLUM BRYOZOA</t>
  </si>
  <si>
    <t>Handbook of Zoology</t>
  </si>
  <si>
    <t>FEEDING CURRENT VELOCITY; CORAL-REEF COMMUNITIES; AMBIENT FLOW VELOCITY; PARTICLE CAPTURE; ENCRUSTING BRYOZOANS; MEMBRANIPORA-MEMBRANACEA; BUGULA-NERITINA; OVERGROWTH INTERACTIONS; UPSTREAM COLONIES; SELENARIA BRYOZOA</t>
  </si>
  <si>
    <t>[Winston, Judith E.] Smithsonian Marine Stn, 701 Seaway Dr, Ft Pierce, FL 34949 USA; [Migotto, Alvaro E.] Univ Sao Paulo, Ctr Marine Biol, BR-11600000 Sao Sebastao, SP, Brazil</t>
  </si>
  <si>
    <t>Smithsonian Institution; Smithsonian National Museum of Natural History; Universidade de Sao Paulo</t>
  </si>
  <si>
    <t>Winston, JE (corresponding author), Smithsonian Marine Stn, 701 Seaway Dr, Ft Pierce, FL 34949 USA.</t>
  </si>
  <si>
    <t>judithewinston@gmail.com; aemigott@usp.br</t>
  </si>
  <si>
    <t>Migotto, Alvaro E/D-3748-2011</t>
  </si>
  <si>
    <t>NSF: Behavioral and Chemical Ecology of Antarctic Bryozoans [DPP-8318457]; Phylogeny, Distribution and Functional Morphology of Bryozoan Avicularia (NSF) [BSR-8401456]; National Geographic Society: Defensive Behavior in Bryozoan Colonies: Solving the riddle of Avicularia [3704-87]; Smithsonian National Museum of Natural History's CCRE program for research at Carrie Bow Cay in Belize; CNPq-Conselho Nacional de Desenvolvimento Cientifice Tecnologico [308056/2015-9]</t>
  </si>
  <si>
    <t>NSF: Behavioral and Chemical Ecology of Antarctic Bryozoans; Phylogeny, Distribution and Functional Morphology of Bryozoan Avicularia (NSF); National Geographic Society: Defensive Behavior in Bryozoan Colonies: Solving the riddle of Avicularia(National Geographic Society); Smithsonian National Museum of Natural History's CCRE program for research at Carrie Bow Cay in Belize; CNPq-Conselho Nacional de Desenvolvimento Cientifice Tecnologico(Conselho Nacional de Desenvolvimento Cientifico e Tecnologico (CNPQ)Fundacao de Apoio a Pesquisa do Distrito Federal (FAPDF))</t>
  </si>
  <si>
    <t>J. E. Winston thanks the Smithsonian Marine Station, Fort Pierce, FL, for the facilities to prepare this review. Much appreciated support for Winston's long-term research on feeding and avicularian behavior came from NSF: Behavioral and Chemical Ecology of Antarctic Bryozoans (NSF grant no. DPP-8318457; 1984); Phylogeny, Distribution and Functional Morphology of Bryozoan Avicularia (NSF grant no. BSR-8401456; 1984); and the National Geographic Society: Defensive Behavior in Bryozoan Colonies: Solving the riddle of Avicularia (research grant no. 3704-87; 1987), as well as financial and logistical support from the Smithsonian National Museum of Natural History's CCRE program for research at Carrie Bow Cay in Belize. A.E. Migotto thanks CNPq-Conselho Nacional de Desenvolvimento Cientifice Tecnologico (grant no. 308056/2015-9) for their support. This is contribution no. 1119 from the Smithsonian Marine Station.</t>
  </si>
  <si>
    <t>2193-4231</t>
  </si>
  <si>
    <t>978-3-11-058631-2; 978-3-11-058540-7</t>
  </si>
  <si>
    <t>HBK ZOOL</t>
  </si>
  <si>
    <t>10.1515/9783110586312-006</t>
  </si>
  <si>
    <t>10.1515/9783110586312</t>
  </si>
  <si>
    <t>BR0KG</t>
  </si>
  <si>
    <t>WOS:000629350600007</t>
  </si>
  <si>
    <t>Haugland, BT; Armitage, CS; Kutti, T; Husa, V; Skogen, MD; Bekkby, T; Carvajalino-Fernández, MA; Bannister, RJ; White, CA; Norderhaug, KM; Fredriksen, S</t>
  </si>
  <si>
    <t>Haugland, Barbro Taraldset; Armitage, Caroline S.; Kutti, Tina; Husa, Vivian; Skogen, Morten D.; Bekkby, Trine; Carvajalino-Fernandez, Marcos A.; Bannister, Raymond J.; White, Camille Anna; Norderhaug, Kjell Magnus; Fredriksen, Stein</t>
  </si>
  <si>
    <t>Large-scale salmon farming in Norway impacts the epiphytic community of Laminaria hyperborea</t>
  </si>
  <si>
    <t>AQUACULTURE ENVIRONMENT INTERACTIONS</t>
  </si>
  <si>
    <t>Laminaria hyperborea; Kelp; Epiphytes; Epiphytic community; Salmo salar; Atlantic salmon; Norway; Bryozoa</t>
  </si>
  <si>
    <t>MACROALGAL ASSEMBLAGES; HABITAT ARCHITECTURE; FUCUS-VESICULOSUS; DELTA-N-15 VALUES; KELP; NUTRIENT; FOREST; NITROGEN; FAUNA; PATTERNS</t>
  </si>
  <si>
    <t>Large-scale finfish farms are increasingly located in dispersive hard-bottom environments where Laminaria hyperborea forests dominate; however, the interactions between farm effluents and kelp forests are poorly understood. Effects of 2 levels of salmonid fish-farming effluents (high and low) on L. hyperborea epiphytic communities were studied by sampling canopy plants from 12 sites in 2 high-energy dispersive environments. Specifically, we assessed if farm effluents stimulated fast-growing epiphytic algae and faunal species on L. hyperborea stipes- as this can impact the kelp forest community composition- and/or an increased lamina epiphytic growth, which could negatively impact the kelp itself. We found that bryozoan biomass on the stipes was significantly higher at high-effluent farm sites compared to low-effluent farm and reference sites, resulting in a significantly different epiphytic community. Macroalgal biomass also increased with increasing effluent levels, including opportunistic Ectocarpus spp., resulting in a less heterogeneous macroalgae community at high-effluent farm sites. This habitat heterogeneity was further reduced by the high bryozoan biomass at the high-effluent sites. Such changes in the epiphyte community could have implications for the faunal community that relies on the epiphytes for food and refuge. On the kelp lamina, no clear response to farm effluents was found.</t>
  </si>
  <si>
    <t>[Haugland, Barbro Taraldset; Armitage, Caroline S.; Kutti, Tina; Husa, Vivian; Skogen, Morten D.; Carvajalino-Fernandez, Marcos A.; Bannister, Raymond J.; Norderhaug, Kjell Magnus; Fredriksen, Stein] Inst Marine Res, POB 1870, N-5817 Bergen, Norway; [Haugland, Barbro Taraldset; Norderhaug, Kjell Magnus; Fredriksen, Stein] Sect Aquat Biol &amp; Toxicol, Dept Biosci, POB 1066, N-0316 Oslo, Norway; [Bekkby, Trine] Norwegian Inst Water Res, Sect Marine Biol, N-0349 Oslo, Norway; [White, Camille Anna] Univ Tasmania, Inst Marine &amp; Antarctic Studies, Taroona, Tas 7053, Australia</t>
  </si>
  <si>
    <t>Institute of Marine Research - Norway; Norwegian Institute for Water Research (NIVA); University of Tasmania</t>
  </si>
  <si>
    <t>Haugland, BT (corresponding author), Inst Marine Res, POB 1870, N-5817 Bergen, Norway.;Haugland, BT (corresponding author), Sect Aquat Biol &amp; Toxicol, Dept Biosci, POB 1066, N-0316 Oslo, Norway.</t>
  </si>
  <si>
    <t>barbro.haugland@gmail.com</t>
  </si>
  <si>
    <t>Bekkby, Trine/GRY-2922-2022; Armitage, Caroline/AAG-8023-2019</t>
  </si>
  <si>
    <t>Armitage, Caroline/0000-0003-2826-5935; Skogen, Morten D./0000-0002-6304-7282; Norderhaug, Kjell Magnus/0000-0001-6374-4275; Kutti, Tina/0009-0007-1242-474X; Husa, Vivian/0000-0001-7008-456X; Taraldset Haugland, Barbro/0000-0003-3948-5247</t>
  </si>
  <si>
    <t>Norwegian Research Council [228871]</t>
  </si>
  <si>
    <t>This study was financially supported by the Norwegian Research Council (Project number 228871) with additional in-kind support from SalMar ASA. We are grateful for field assistance provided by Siri Olsen and lab assistance by Marita Larsen, and thank the 4 anonymous reviewers for comments that greatly improved this manuscript.</t>
  </si>
  <si>
    <t>1869-215X</t>
  </si>
  <si>
    <t>1869-7534</t>
  </si>
  <si>
    <t>AQUACULT ENV INTERAC</t>
  </si>
  <si>
    <t>Aquac. Environ. Interact.</t>
  </si>
  <si>
    <t>10.3354/aei00392</t>
  </si>
  <si>
    <t>RF5AV</t>
  </si>
  <si>
    <t>WOS:000634852000001</t>
  </si>
  <si>
    <t>Fukui, K; Sone, T; Strelin, JA; Mori, J</t>
  </si>
  <si>
    <t>Fukui, Kotaro; Sone, Toshio; Strelin, Jorge A.; Mori, Junko</t>
  </si>
  <si>
    <t>Surface Elevation Variations on Lachman II Debris-covered Glacier (Ice-cored Rock Glacier), James Ross Island, Antarctic Peninsula, and Its Responses to Recent Climate Change</t>
  </si>
  <si>
    <t>JOURNAL OF GEOGRAPHY-CHIGAKU ZASSHI</t>
  </si>
  <si>
    <t>Japanese</t>
  </si>
  <si>
    <t>debris-covered glacier; ice-cored rock glacier; Antarctic peninsula; climate change; James Ross Island</t>
  </si>
  <si>
    <t>NEPAL HIMALAYA; SHELF; DYNAMICS; IMPACTS; RETREAT; VALLEY; AREA</t>
  </si>
  <si>
    <t>James Ross Island, Antarctic Peninsula, has recently experienced severe climate change: warming from the 1970s until the early 2000s and cooling from the early 2000s until around 2014. Lachman II, a 2-km long debris-covered glacier (ice-cored rock glacier) , is located at the northern part of James Ross Island. On Lachman II, the surface elevation lowered at a rate of 1.1 and 0.7 m a(-1) at the center of the upper stream of the debris-covered area from 1992 until 1995. However, in response to the cooling trend from the early 2000s until around 2014, the surface lowering rate temporarily slowed to 0.2 and 0.4 m a(-1) for at least seven years from 2008 to 2015 at the center of the upper stream of the debris-covered area. In response to extremely high air temperatures in 2016, the glacier surface lowered again, accelerating to 0.5 and 0.6 m a(-1) from 2015 to 2017. A ground penetrating radar (GPR) image displayed a reflection plane along the longitudinal section of the glacier, which indicates that a debris-rich ice layer was thrusting up from the glacier bottom. The origin of the upward thrust is supported by the fact that the surface rock debris consists mainly of sandstone and mudstone derived from the bottom of the glacier.</t>
  </si>
  <si>
    <t>[Fukui, Kotaro] Tateyama Caldera Sabo Museum, Toyama 9301405, Japan; [Sone, Toshio] Hokkaido Univ, Inst Low Temp Sci, Sapporo, Hokkaido 0600819, Japan; [Strelin, Jorge A.] Inst Antartico Argentino, Villa Lynch, Buenos Aires, Argentina; [Strelin, Jorge A.] Univ Nacl Cordoba, Fac Ciencias Exactas Fis &amp; Nat, Cordoba, Argentina; [Mori, Junko] Meteorol Res Inst Technol Co Ltd, Tokyo 1130033, Japan</t>
  </si>
  <si>
    <t>Hokkaido University; Instituto Antartico Argentino; National University of Cordoba</t>
  </si>
  <si>
    <t>Fukui, K (corresponding author), Tateyama Caldera Sabo Museum, Toyama 9301405, Japan.</t>
  </si>
  <si>
    <t>TOKYO GEOGRAPHICAL SOC</t>
  </si>
  <si>
    <t>12-2 NIBANCHO, CHIYODAKU-KU, TOKYO, 102-0084, JAPAN</t>
  </si>
  <si>
    <t>0022-135X</t>
  </si>
  <si>
    <t>1884-0884</t>
  </si>
  <si>
    <t>J GEOGR-TOKYO</t>
  </si>
  <si>
    <t>J. Geogr.</t>
  </si>
  <si>
    <t>10.5026/jgeography.130.27</t>
  </si>
  <si>
    <t>RA0RG</t>
  </si>
  <si>
    <t>WOS:000631125900002</t>
  </si>
  <si>
    <t>An, JC; Zhang, BJ; Ai, ST; Wang, ZM; Feng, Y</t>
  </si>
  <si>
    <t>An, Jiachun; Zhang, Baojun; Ai, Songtao; Wang, Zemin; Feng, Yu</t>
  </si>
  <si>
    <t>Evaluation of vertical crustal movements and sea level changes around Greenland from GPS and tide gauge observations</t>
  </si>
  <si>
    <t>ACTA OCEANOLOGICA SINICA</t>
  </si>
  <si>
    <t>Greenland ice sheet; GPS; vertical crustal movement; tide gauge; sea level change</t>
  </si>
  <si>
    <t>GLACIAL ISOSTATIC-ADJUSTMENT; ICE-SHEET; MODEL; DEGLACIATION; DISPLACEMENTS; CONSTRAINTS; MAXIMUM; SURFACE; RECORD; GRACE</t>
  </si>
  <si>
    <t>To better monitor the vertical crustal movements and sea level changes around Greenland, multiple data sources were used in this paper, including global positioning system (GPS), tide gauge, satellite gravimetry, satellite altimetry, glacial isostatic adjustment (GIA). First, the observations of more than 50 GPS stations from the international GNSS service (IGS) and Greenland network (GNET) in 2007-2018 were processed and the common mode error (CME) was eliminated with using the principal component analysis (PCA). The results show that all GPS stations show an uplift trend and the stations in southern Greenland have a higher vertical speed. Second, by deducting the influence of GIA, the impact of current GrIS mass changes on GPS stations was analysed, and the GIA-corrected vertical velocity of the GPS is in good agreement with the vertical velocity obtained by gravity recovery and climate experiment (GRACE). Third, the absolute sea level change around Greenland at 4 gauge stations was obtained by combining relative sea level derived from tide gauge observations and crustal uplift rates derived from GPS observations, and was validated by sea level products of satellite altimetry. The results show that although the mass loss of GrIS can cause considerable global sea level rise, eustatic movements along the coasts of Greenland are quite complex under different mechanisms of sea level changes.</t>
  </si>
  <si>
    <t>[An, Jiachun; Zhang, Baojun; Ai, Songtao; Wang, Zemin; Feng, Yu] Wuhan Univ, Chinese Antarctic Ctr Surveying &amp; Mapping, Wuhan 430079, Peoples R China; [Zhang, Baojun] Wuhan Univ, State Key Lab Informat Engn Surveying Mapping &amp; R, Wuhan 430079, Peoples R China; [Feng, Yu] Moutai Inst, Dept Brewing Engn, Renhuai 564507, Peoples R China</t>
  </si>
  <si>
    <t>Wuhan University; Wuhan University; Moutai Institute</t>
  </si>
  <si>
    <t>Zhang, BJ; Ai, ST (corresponding author), Wuhan Univ, Chinese Antarctic Ctr Surveying &amp; Mapping, Wuhan 430079, Peoples R China.;Zhang, BJ (corresponding author), Wuhan Univ, State Key Lab Informat Engn Surveying Mapping &amp; R, Wuhan 430079, Peoples R China.</t>
  </si>
  <si>
    <t>bjzhang@whu.edu.cn; ast@whu.edu.cn</t>
  </si>
  <si>
    <t>Zhang, Baojun/0000-0001-5438-8723</t>
  </si>
  <si>
    <t>0253-505X</t>
  </si>
  <si>
    <t>1869-1099</t>
  </si>
  <si>
    <t>ACTA OCEANOL SIN</t>
  </si>
  <si>
    <t>Acta Oceanol. Sin.</t>
  </si>
  <si>
    <t>10.1007/s13131-021-1719-0</t>
  </si>
  <si>
    <t>QY4QU</t>
  </si>
  <si>
    <t>WOS:000630026800002</t>
  </si>
  <si>
    <t>Wang, ZM; Yan, BY; Ai, ST; Holmén, K; An, JC; Ma, HM</t>
  </si>
  <si>
    <t>Wang, Zemin; Yan, Boya; Ai, Songtao; Holmen, Kim; An, Jiachun; Ma, Hongmei</t>
  </si>
  <si>
    <t>Quantitative analysis of Arctic ice flow acceleration with increasing temperature</t>
  </si>
  <si>
    <t>ice flow velocity; Arctic temperature rising; Pedersenbreen; Elmer; Ice; meltwater</t>
  </si>
  <si>
    <t>This study explores the ice flow acceleration (21.1%) of Pedersenbreen during 2016-2017 after the extremely warm winter throughout the whole Arctic in 2015/2016 using in situ data and quantitatively analyses the factors contributing to this acceleration. Several data sets, including 2008-2018 air temperature data from Ny-angstrom lesund, ten-year in situ GPS measurements and Elmer/Ice ice flow modelling under different ice temperature scenarios, suggest that the following factors contributed to the ice flow acceleration: the softened glacier ice caused by an increase in the air temperature (1.5 degrees C) contributed 2.7%-30.5%, while basal lubrication contributed 69.5%-97.3%. The enhanced basal sliding was mostly due to the increased surface meltwater penetrating to the bedrock under the rising air temperature conditions; consequently, the glacier ice flow acceleration was caused mainly by an increase in subglacial water. For Pedersenbreen, there was an approximately one-year time lag between the change in air temperature and the change in glacier ice flow velocity.</t>
  </si>
  <si>
    <t>[Wang, Zemin; Yan, Boya; Ai, Songtao; An, Jiachun] Wuhan Univ, Chinese Antarctic Ctr Surveying &amp; Mapping, Wuhan 430079, Peoples R China; [Holmen, Kim] Norwegian Polar Res Inst, N-9170 Longyearbyen, Norway; [Ma, Hongmei] Polar Res Inst China, Shanghai 200136, Peoples R China</t>
  </si>
  <si>
    <t>Wuhan University; Norwegian Polar Institute; Polar Research Institute of China</t>
  </si>
  <si>
    <t>Ai, ST; An, JC (corresponding author), Wuhan Univ, Chinese Antarctic Ctr Surveying &amp; Mapping, Wuhan 430079, Peoples R China.</t>
  </si>
  <si>
    <t>ast@whu.edu.cn; jcan@whu.edu.cn</t>
  </si>
  <si>
    <t>10.1007/s13131-021-1718-1</t>
  </si>
  <si>
    <t>WOS:000630026800004</t>
  </si>
  <si>
    <t>Ji, Q; Liu, Y; Pang, XP; Pan, Y; Zhao, X</t>
  </si>
  <si>
    <t>Ji, Qing; Liu, Ying; Pang, Xiaoping; Pan, Yue; Zhao, Xi</t>
  </si>
  <si>
    <t>Characterization of sea ice and its snow cover in the Arctic Pacific sector during the summer of 2016</t>
  </si>
  <si>
    <t>sea ice; snow cover; melt pond fraction; snow grain size; Arctic Pacific sector</t>
  </si>
  <si>
    <t>MELT POND FRACTION; GRAIN-SIZE; RETRIEVAL; ALBEDO; DEPTH</t>
  </si>
  <si>
    <t>A comprehensive analysis of sea ice and its snow cover during the summer in the Arctic Pacific sector was conducted using the observations recorded during the 7th Chinese National Arctic Research Expedition (CHIANRE-2016) and the satellite-derived parameters of the melt pond fraction (MPF) and snow grain size (SGS) from MODIS data. The results show that there were many low-concentration ice areas in the south of 78 degrees N, while the ice concentration and thickness increased significantly with the latitude above the north of 78 degrees N during CHIANRE-2016. The average MPF presented a trend of increasing in June and then decreasing in early September for 2016. The average snow depth on sea ice increased with latitude in the Arctic Pacific sector. We found a widely developed depth hoar layer in the snow stratigraphic profiles. The average SGS generally increased from June to early August and then decreased from August to September in 2016, and two valley values appeared during this period due to snowfall incidents.</t>
  </si>
  <si>
    <t>[Ji, Qing; Pang, Xiaoping; Zhao, Xi] Wuhan Univ, Chinese Antarctic Ctr Surveying &amp; Mapping, Wuhan 430079, Peoples R China; [Ji, Qing; Pang, Xiaoping; Zhao, Xi] Minist Nat Resources, Key Lab Polar Surveying &amp; Mapping, Wuhan 430079, Peoples R China; [Liu, Ying; Pang, Xiaoping; Pan, Yue] Wuhan Univ, Sch Resource &amp; Environm Sci, Wuhan 430079, Peoples R China</t>
  </si>
  <si>
    <t>Wuhan University; Ministry of Natural Resources of the People's Republic of China; Wuhan University</t>
  </si>
  <si>
    <t>Zhao, X (corresponding author), Wuhan Univ, Chinese Antarctic Ctr Surveying &amp; Mapping, Wuhan 430079, Peoples R China.;Zhao, X (corresponding author), Minist Nat Resources, Key Lab Polar Surveying &amp; Mapping, Wuhan 430079, Peoples R China.</t>
  </si>
  <si>
    <t>xi.zhao@whu.edu.cn</t>
  </si>
  <si>
    <t>zhao, xi/HJY-6017-2023</t>
  </si>
  <si>
    <t>Zhao, Xi/0000-0003-2274-891X</t>
  </si>
  <si>
    <t>10.1007/s13131-021-1716-3</t>
  </si>
  <si>
    <t>WOS:000630026800005</t>
  </si>
  <si>
    <t>Guo, ML; Chen, RY; Xu, HZ; Vetter, PA</t>
  </si>
  <si>
    <t>Guo, Manli; Chen, Ruiyi; Xu, Hongzhou; Vetter, Philip A.</t>
  </si>
  <si>
    <t>Dynamical features of near-inertial motions in global ocean based on the GDP dataset from 2000 to 2019</t>
  </si>
  <si>
    <t>near-inertial motions; frequency shift; decay timescale; surface drifter; mesoscale dynamics</t>
  </si>
  <si>
    <t>Based on the latest oceanic surface drifter dataset from the global drifter program during 2000-2019, this study investigated the global variation of relative frequency shift (RFS), near-inertial energy (NIE) and inverse excess bandwidth (IEB) of near-inertial motions, and analyzed their relations with oceanic mesoscale dynamics, relative vorticity and strain. Compared with previous works, we have some new findings in this study: (1) the RFS was high with negative values in some regions in which we found a significant blue shift of the RFS in the equatorward of 30 degrees N (S) and from 50 degrees N to 60 degrees N in the Pacific, and a red shift in the western boundary currents and their extension regions, the North Atlantic and the Antarctic Circumpolar Current regions; (2) more peak values of the NIE were found in global regions like the South Indian Ocean, the Luzon Strait and some areas of the South Ocean; (3) the global distribution of the IEB were characterized by clear zonal bands and affected by vorticity and wind field; (4) the RFS was elevated as the absolute value of the gradient of vorticity increased, the IEB did not depend on the gradient of vorticity, and the eddy kinetic energy (EKE) weakened with the decrease of the absolute value of RFS; (5) the NIE decreased with increasing absolute value of the relative vorticity and the gradient of vorticity, but it increased with increasing strain and EKE when EKE was larger than 0.003 2 m(2)/s(2).</t>
  </si>
  <si>
    <t>[Guo, Manli; Chen, Ruiyi] Ocean Univ China, Coll Ocean &amp; Atmospher Sci, Qingdao 266100, Peoples R China; [Xu, Hongzhou; Vetter, Philip A.] Chinese Acad Sci, Inst Deep Sea Sci &amp; Engn, Sanya 572000, Peoples R China</t>
  </si>
  <si>
    <t>Ocean University of China; Chinese Academy of Sciences; Institute of Deep-Sea Science &amp; Engineering, CAS</t>
  </si>
  <si>
    <t>Xu, HZ (corresponding author), Chinese Acad Sci, Inst Deep Sea Sci &amp; Engn, Sanya 572000, Peoples R China.</t>
  </si>
  <si>
    <t>hzxu@idsse.ac.cn</t>
  </si>
  <si>
    <t>xu, hz/ABG-4778-2021</t>
  </si>
  <si>
    <t>Vetter, Philip Adam/0000-0002-1986-5253</t>
  </si>
  <si>
    <t>10.1007/s13131-020-1675-0</t>
  </si>
  <si>
    <t>WOS:000630026800013</t>
  </si>
  <si>
    <t>Kang, Q; Yu, C; Zhang, Y; Cui, C; Sun, C; Xiao, J; Tang, S</t>
  </si>
  <si>
    <t>Kang, Q.; Yu, C.; Zhang, Y.; Cui, C.; Sun, C.; Xiao, J.; Tang, S.</t>
  </si>
  <si>
    <t>Astro-TS3: Time-series Subimage Search Engine for archived astronomical data</t>
  </si>
  <si>
    <t>ASTRONOMY AND COMPUTING</t>
  </si>
  <si>
    <t>Time series analysis; Data access methods; Image search; Search engine indexing; Astronomical databases; Miscellaneous</t>
  </si>
  <si>
    <t>Efficiently retrieving a subset of time series data in a specific sky region from large-scale astronomical observation data is important for some time-domain studies in astronomy, especially for research on long-term variable sources. Considering that the field of view of a telescope is generally larger than the effective sky region, the retrieval method at the full image level is relatively inefficient in terms of data transmission and storage. Therefore, this paper proposes a search engine dedicated to the efficient retrieval of time-series subimages in observed image data archives (Astro-TS3, Astronomical Time-Series Subimage Search Engine). An in situ and resilient indexing scheme is proposed, and it can build indexes for archived image data without any modification of the original files and support incremental updating with newly archived data. A subimage cutting tool is implemented to extract a part of the image according to the range specified by the user and generate a new Flexible Image Transport System (FITS) file for the extracted subimage. With Astro-TS3, users only need to submit requests including the ranges of the time and sky region to retrieve the required data and then download the time series subimages after the preview. The evaluation of Astro-TS3 is performed using actual archived data from three Antarctic Survey Telescopes (AST3). The experimental data show that the time for the index establishment and incremental update increases approximately linearly relative to the number of data files. For retrieval, the response time of the data retrieval is approximately linearly related to the number and size of the subimages. (C) 2020 Elsevier B.V. All rights reserved.</t>
  </si>
  <si>
    <t>[Kang, Q.; Yu, C.; Zhang, Y.; Sun, C.; Xiao, J.; Tang, S.] Tianjin Univ, Coll Intelligence &amp; Comp, 135 Yaguan Rd,Haihe Educ Pk, Tianjin 300350, Peoples R China; [Kang, Q.; Yu, C.; Zhang, Y.; Cui, C.; Sun, C.; Xiao, J.; Tang, S.] NAOC TJU Joint Res Ctr Astroinformat, 135 Yaguan Rd,Haihe Educ Pk, Tianjin 300350, Peoples R China; [Cui, C.] Chinese Acad Sci, Natl Astron Observ, 20 Datun Rd, Beijing 100012, Peoples R China</t>
  </si>
  <si>
    <t>Tianjin University; Chinese Academy of Sciences; National Astronomical Observatory, CAS</t>
  </si>
  <si>
    <t>Yu, C (corresponding author), Tianjin Univ, Coll Intelligence &amp; Comp, 135 Yaguan Rd,Haihe Educ Pk, Tianjin 300350, Peoples R China.</t>
  </si>
  <si>
    <t>yuce@tju.edu.cn</t>
  </si>
  <si>
    <t>National Natural Science Foundation of China (NSFC) [U1731243, U1931130, U1731125, U1531111]; Chinese Academy of Sciences (CAS) [U1731243, U1931130, U1731125, U1531111]; National Natural Science Foundation of China [11803022]</t>
  </si>
  <si>
    <t>National Natural Science Foundation of China (NSFC)(National Natural Science Foundation of China (NSFC)); Chinese Academy of Sciences (CAS)(Chinese Academy of Sciences); National Natural Science Foundation of China(National Natural Science Foundation of China (NSFC))</t>
  </si>
  <si>
    <t>This work was supported by the Joint Research Fund in Astronomy [grant numbers U1731243, U1931130, U1731125, U1531111] under the cooperative agreement of the National Natural Science Foundation of China (NSFC) and Chinese Academy of Sciences (CAS) ; as well as the National Natural Science Foundation of China [grant numbers 11803022].; Data resources are supported by the China National Astro-nomical Data Center (NADC) and the Chinese Virtual Observatory (China-VO) .</t>
  </si>
  <si>
    <t>2213-1337</t>
  </si>
  <si>
    <t>2213-1345</t>
  </si>
  <si>
    <t>ASTRON COMPUT</t>
  </si>
  <si>
    <t>Astron. Comput.</t>
  </si>
  <si>
    <t>10.1016/j.ascom.2020.100428</t>
  </si>
  <si>
    <t>Astronomy &amp; Astrophysics; Computer Science, Interdisciplinary Applications</t>
  </si>
  <si>
    <t>Astronomy &amp; Astrophysics; Computer Science</t>
  </si>
  <si>
    <t>QQ3PS</t>
  </si>
  <si>
    <t>WOS:000624436800007</t>
  </si>
  <si>
    <t>Schofield, R; Utembe, S; Gionfriddo, C; Tate, M; Krabbenhoft, D; Adeloju, S; Keywood, M; Dargaville, R; Sandiford, M</t>
  </si>
  <si>
    <t>Schofield, Robyn; Utembe, Steven; Gionfriddo, Caitlin; Tate, Michael; Krabbenhoft, David; Adeloju, Samuel; Keywood, Melita; Dargaville, Roger; Sandiford, Mike</t>
  </si>
  <si>
    <t>Atmospheric mercury in the Latrobe Valley, Australia: Case study June 2013</t>
  </si>
  <si>
    <t>ELEMENTA-SCIENCE OF THE ANTHROPOCENE</t>
  </si>
  <si>
    <t>Gaseous elemental mercury; Air mercury; Coal power generation; Soil</t>
  </si>
  <si>
    <t>Gaseous elemental mercury observations were conducted at Churchill, Victoria, in Australia from April to July, 2013, using a Tekran 2537 analyzer. A strong diurnal variation with daytime average values of 1.2-1.3 ng m(-3) and nighttime average values of 1.6-1.8 ng m(-3) was observed. These values are significantly higher than the Southern Hemisphere average of 0.85-1.05 ng m(-3). Churchill is in the Latrobe Valley, approximately 150 km East of Melbourne, where approximately 80% of Victoria's electricity is generated from low-rank brown coal from four major power stations: Loy Yang A, Loy Yang B, Hazelwood, and Yallourn. These aging generators do not have any sulfur, nitrogen oxide, or mercury air pollution controls. Mercury emitted in the 2015-2016 year in the Latrobe Valley is estimated to have had an externalized health cost of $AUD88 million. Air pollution mercury simulations were conducted using the Weather Research and Forecast model with Chemistry at 3 x 3 km resolution. Electrical power generation emissions were added using mercury emissions created from the National Energy Market's 5-min energy distribution data. The strong diurnal cycle in the observed mercury was well simulated (R-2 = .49 and P value = 0.00) when soil mercury emissions arising from several years of wet and dry deposition in a radius around the power generators was included in the model, as has been observed around aging lignite coal power generators elsewhere. These results indicate that long-term air and soil sampling in power generation regions, even after the closure of coal fired power stations, will have important implications to understanding the airborne mercury emissions sources.</t>
  </si>
  <si>
    <t>[Schofield, Robyn; Utembe, Steven; Gionfriddo, Caitlin; Dargaville, Roger; Sandiford, Mike] Univ Melbourne, Sch Earth Sci, Melbourne, Vic, Australia; [Schofield, Robyn] Univ Melbourne, ARC Ctr Excellence Climate Extremes, Melbourne, Vic, Australia; [Utembe, Steven] Environm Protect Agcy, Macleod, Vic, Australia; [Gionfriddo, Caitlin] Oak Ridge Natl Lab, Biosci Div, Oak Ridge, TN USA; [Tate, Michael; Krabbenhoft, David] US Geol Survey, Wisconsin Water Sci Ctr, Middleton, WI USA; [Adeloju, Samuel] Monash Univ, Sch Chem, Melbourne, Vic, Australia; [Adeloju, Samuel] Charles Sturt Univ, Albury, NSW, Australia; [Keywood, Melita] Federat Univ, Churchill, Vic, Australia; [Keywood, Melita] CSIRO, Oceans &amp; Atmosphere Business Unit, Aspendale, Vic, Australia; [Dargaville, Roger] Monash Univ, Dept Civil Engn, Melbourne, Vic, Australia</t>
  </si>
  <si>
    <t>University of Melbourne; Melbourne Bioinformatics; University of Melbourne; Melbourne Genomics Health Alliance; United States Department of Energy (DOE); Oak Ridge National Laboratory; United States Department of the Interior; United States Geological Survey; Melbourne Genomics Health Alliance; Monash University; Charles Sturt University; Federation University Australia; Commonwealth Scientific &amp; Industrial Research Organisation (CSIRO); Monash University</t>
  </si>
  <si>
    <t>Schofield, R (corresponding author), Univ Melbourne, Sch Earth Sci, Melbourne, Vic, Australia.;Schofield, R (corresponding author), Univ Melbourne, ARC Ctr Excellence Climate Extremes, Melbourne, Vic, Australia.</t>
  </si>
  <si>
    <t>robyn.schofield@unimelb.edu.au</t>
  </si>
  <si>
    <t>keywood, melita D/C-5139-2011; Schofield, Robyn/A-4062-2010; Gionfriddo, Caitlin/JGL-7314-2023; Sandiford, Mike/B-5020-2016</t>
  </si>
  <si>
    <t>Schofield, Robyn/0000-0002-4230-717X; Gionfriddo, Caitlin/0000-0003-0745-9255; Sandiford, Mike/0000-0002-9757-745X</t>
  </si>
  <si>
    <t>Australian Antarctic Science Grant Australian Research Council's Centre of Excellence for Climate Extremes [4032, CE170100023]; Australian Research Council [DP160101598]; Melbourne Energy Institute; CSIRO (EPA mercury grant)</t>
  </si>
  <si>
    <t>Australian Antarctic Science Grant Australian Research Council's Centre of Excellence for Climate Extremes; Australian Research Council(Australian Research Council); Melbourne Energy Institute; CSIRO (EPA mercury grant)</t>
  </si>
  <si>
    <t>Australian Antarctic Science Grant (4032) Australian Research Council's Centre of Excellence for Climate Extremes CE170100023 and Australian Research Council's Discovery Project DP160101598. The observations were supported by the Melbourne Energy Institute and CSIRO (EPA mercury grant).</t>
  </si>
  <si>
    <t>UNIV CALIFORNIA PRESS</t>
  </si>
  <si>
    <t>OAKLAND</t>
  </si>
  <si>
    <t>155 GRAND AVE, SUITE 400, OAKLAND, CA 94612-3758 USA</t>
  </si>
  <si>
    <t>2325-1026</t>
  </si>
  <si>
    <t>ELEMENTA-SCI ANTHROP</t>
  </si>
  <si>
    <t>Elementa-Sci. Anthrop.</t>
  </si>
  <si>
    <t>10.1525/elementa.2021.00072</t>
  </si>
  <si>
    <t>RC3DE</t>
  </si>
  <si>
    <t>WOS:000632683000004</t>
  </si>
  <si>
    <t>Qu, B; Gabric, AJ; Jackson, R</t>
  </si>
  <si>
    <t>Qu, Bo; Gabric, Albert J.; Jackson, Rebecca</t>
  </si>
  <si>
    <t>Simulated perturbation in the sea-to-air flux of dimethylsulfide and the impact on polar climate</t>
  </si>
  <si>
    <t>JOURNAL OF OCEANOLOGY AND LIMNOLOGY</t>
  </si>
  <si>
    <t>dimethylsulfide (DMS); sulfur dioxide; DMS sea-to-air flux; perturbation; global climate model (GCM); polar region</t>
  </si>
  <si>
    <t>Marine biogenic emission of dimethylsulfide (DMS) has been well recognized as the main natural source of reduced sulfur to the remote marine atmosphere and has the potential to affect climate, especially in the polar regions. We used a global climate model (GCM) to investigate the impact on atmospheric chemistry from a change to the contemporary DMS flux to that which has been projected for the late 21(st) century. The perturbed simulation corresponded to conditions that pertained to a tripling of equivalent CO2 , which was estimated to occur by year 2090 based on current worst-case greenhouse gas emission scenarios. The changes in zonal mean DMS flux were applied to 50 degrees S-70 degrees S Antarctic (ANT) and 65 degrees N-80 degrees N Arctic (ARC) regions. The results indicate that there are clearly different impacts after perturbation in the southern and northern polar regions. Most quantities related to the sulfur cycle show a higher increase in ANT. However, most sulfur compounds have higher peaks in ARC. The perturbation in DMS flux leads to an increase of atmospheric DMS of about 45% in ANT and 33.6% in ARC. The sulfur dioxide (SO2) vertical integral increases around 43% in ANT and 7.5% in ARC. Sulfate (SO4) vertical integral increases by 17% in ANT and increases around 6% in ARC. Sulfur emissions increases by 21% in ANT and increases by 9.7% in ARC. However, oxidation of DMS by OH increases by 38.2% in ARC and by 15.17% in ANT. Aerosol optical depth (AOD) increases by 4% in the ARC and by 17.5% in the ANT, and increases by 22.8% in austral summer. The importance of the perturbation of the biogenic source to future aerosol burden in polar regions leads to a cooling in surface temperature of 1 K in the ANT and 0.8 K in the ARC. Generally, polar regions in the Antarctic Ocean will have a higher off setting effect on warming after DMS flux perturbation.</t>
  </si>
  <si>
    <t>[Qu, Bo] Nantong Univ, Sch Sci, Nantong 226219, Peoples R China; [Gabric, Albert J.; Jackson, Rebecca] Griffith Univ, Sch Environm &amp; Sci, Brisbane, Qld 4111, Australia</t>
  </si>
  <si>
    <t>Nantong University; Griffith University</t>
  </si>
  <si>
    <t>Qu, B (corresponding author), Nantong Univ, Sch Sci, Nantong 226219, Peoples R China.</t>
  </si>
  <si>
    <t>qubo@ntu.edu.cn</t>
  </si>
  <si>
    <t>Gabric, Albert J/S-1551-2017</t>
  </si>
  <si>
    <t>16 DONGHUANGCHENGGEN NORTH ST, BEIJING, 100717, PEOPLES R CHINA</t>
  </si>
  <si>
    <t>2096-5508</t>
  </si>
  <si>
    <t>2523-3521</t>
  </si>
  <si>
    <t>J OCEANOL LIMNOL</t>
  </si>
  <si>
    <t>J. Oceanol. Limnol.</t>
  </si>
  <si>
    <t>10.1007/s00343-020-0007-8</t>
  </si>
  <si>
    <t>Limnology; Oceanography</t>
  </si>
  <si>
    <t>QV2OX</t>
  </si>
  <si>
    <t>WOS:000627817300009</t>
  </si>
  <si>
    <t>Mattern, T; Rexer-Huber, K; Parker, G; Amey, J; Green, CP; Tennyson, AJD; Sagar, PM; Thompson, DR</t>
  </si>
  <si>
    <t>Mattern, Thomas; Rexer-Huber, Kalinka; Parker, Graham; Amey, Jacinda; Green, Cara-Paige; Tennyson, Alan J. D.; Sagar, Paul M.; Thompson, David R.</t>
  </si>
  <si>
    <t>Erect-crested penguins on the Bounty Islands: population size and trends determined from ground counts and drone surveys</t>
  </si>
  <si>
    <t>NOTORNIS</t>
  </si>
  <si>
    <t>Erect-crested penguin; nest counts; drone survey; nest densities; population trends; New Zealand fur seal; subantarctic islands; Bounty Islands</t>
  </si>
  <si>
    <t>NEW-ZEALAND; EUDYPTES-PACHYRHYNCHUS; ROCKHOPPER PENGUINS; CAMPBELL-ISLAND; DECLINE; TAWAKI</t>
  </si>
  <si>
    <t>In October 2019, an expedition to the subantarctic Bounty Islands provided the opportunity to conduct comprehensive ground counts of erect-crested penguins to assess population size and compare numbers to previous surveys. The entirety of Proclamation Island, an erect-crested penguins' stronghold, was surveyed and number of active penguin nests was determined via ground counts. Drone surveys aiming at assessing seal numbers, provided high-resolution aerial photography allowing spatial analysis of penguin nest densities on four islands, i.e. Proclamation, Tunnel, Spider, and Ranfurly Islands. A total of 2,867 penguin nests were counted on Proclamation Island between 24 and 29 October. Adjusting for the earlier timing of the survey compared to counts conducted since 1997, nest numbers were only marginally lower (similar to 2.4%) than in 1997 and 2004 suggesting that the penguin population has remained stable for the past 20 years; a similar to 10% reduction in penguin numbers in 2011 seems to be related to warmer than average ocean temperatures that year. Density analysis from drone imagery showed highly heterogenous distribution of penguin nests, with birds preferring areas sheltered from prevailing south-westerly winds. This also means that a previous estimate from 1978 which relied on uniform extrapolation of nest densities to what was assumed to suitable breeding areas substantially overestimated the true population size, thereby contributing to the species current 'endangered' threat ranking.</t>
  </si>
  <si>
    <t>[Mattern, Thomas] New Zealand Penguin Initiat, POB 6319, Dunedin 9059, New Zealand; [Mattern, Thomas] Univ Otago, Dept Zool, POB 56, Dunedin 9054, New Zealand; [Mattern, Thomas] Global Penguin Soc, Marcos Zar 2716, RA-9120 Puerto Madryn, Chubut, Argentina; [Rexer-Huber, Kalinka; Parker, Graham] Parker Conservat, 126 Maryhill Terrace, Dunedin 9011, New Zealand; [Amey, Jacinda] Dept Conservat, POB 50,7 44, Awarua Haast, Haast, New Zealand; [Green, Cara-Paige] Univ Tasmania, Inst Marine &amp; Antarctic Studies IMAS, Private Bag 129, Hobart, Tas 7001, Australia; [Tennyson, Alan J. D.] Museum New Zealand Papa Tongarewa, POB 467, Wellington 6140, New Zealand; [Sagar, Paul M.] 418 Pleasant Valley Rd,RD21, Geraldine 7991, New Zealand; [Thompson, David R.] Natl Inst Water &amp; Atmospher Res, Wellington, New Zealand</t>
  </si>
  <si>
    <t>University of Otago; University of Tasmania; National Institute of Water &amp; Atmospheric Research (NIWA) - New Zealand</t>
  </si>
  <si>
    <t>Mattern, T (corresponding author), New Zealand Penguin Initiat, POB 6319, Dunedin 9059, New Zealand.;Mattern, T (corresponding author), Univ Otago, Dept Zool, POB 56, Dunedin 9054, New Zealand.;Mattern, T (corresponding author), Global Penguin Soc, Marcos Zar 2716, RA-9120 Puerto Madryn, Chubut, Argentina.</t>
  </si>
  <si>
    <t>t.mattern@eudyptes.net</t>
  </si>
  <si>
    <t>Mattern, Thomas/AAJ-6325-2020</t>
  </si>
  <si>
    <t>Mattern, Thomas/0000-0003-0745-8180</t>
  </si>
  <si>
    <t>ORNITHOLOGICAL SOC NEW ZEALAND</t>
  </si>
  <si>
    <t>NELSON</t>
  </si>
  <si>
    <t>PO BOX 834, NELSON, 7040, NEW ZEALAND</t>
  </si>
  <si>
    <t>0029-4470</t>
  </si>
  <si>
    <t>1177-7680</t>
  </si>
  <si>
    <t>QX2NM</t>
  </si>
  <si>
    <t>WOS:000629184800004</t>
  </si>
  <si>
    <t>Bakunov, NA; Bol'shiyanov, DY; Pravkin, SA; Makarov, AS</t>
  </si>
  <si>
    <t>Bakunov, N. A.; Bol'shiyanov, D. Yu.; Pravkin, S. A.; Makarov, A. S.</t>
  </si>
  <si>
    <t>Reconstruction of the Contamination and Purification of White Sea Water to Remove Global 90Sr</t>
  </si>
  <si>
    <t>RADIOCHEMISTRY</t>
  </si>
  <si>
    <t>Sr-90; sea; river water flow; purification half-period; reconstruction</t>
  </si>
  <si>
    <t>Contamination with Sr-90 of the White Sea water in migration during 50 years is reconstructed with the use of a three-component exponential model. T-1, T-2, and T-3, the periods of half-purification of White-Sea water to remove Sr-90 were 0.8, 15.4, and 29 years, respectively. During 50 years of migration, the content of Sr-90 in water decreased from 41 to 2-3 Bq/m(3). The maximum decrease in the content of Sr-90 was observed in 1965-1968. The outflow of Sr-90 in 1970 from the White Sea was 37.5, and the inflow with Barents-Sea water, 25.5 TBq. The outflow was partly compensated for by the inflow of 4 TBq of Sr-90 with water of the rivers Northern Dvina, Onega, Mezen'. The White Sea water is a weak source of Sr-90 for the Barents Sea. The inflow of global Sr-90 with the river flow makes slower the replacement of the more contaminated White Sea water with the purer water of the Barents Sea. The determinations of Sr-90 in the White Sea water (1965-2015) in terms of the exponential model have been confirmed by the results of experimental observation of Sr-90 in the sea bays. During 50 years, 1.5-2 times higher concentrations of Sr-90 were preserved in the semi-closed White Sea, compared with the Barents Sea.</t>
  </si>
  <si>
    <t>[Bakunov, N. A.; Bol'shiyanov, D. Yu.; Pravkin, S. A.; Makarov, A. S.] Arctic &amp; Antarctic Res Inst, St Petersburg 199397, Russia</t>
  </si>
  <si>
    <t>Pravkin, SA (corresponding author), Arctic &amp; Antarctic Res Inst, St Petersburg 199397, Russia.</t>
  </si>
  <si>
    <t>s.pravkin@aari.ru</t>
  </si>
  <si>
    <t>1066-3622</t>
  </si>
  <si>
    <t>1608-3288</t>
  </si>
  <si>
    <t>RADIOCHEMISTRY+</t>
  </si>
  <si>
    <t>Radiochemistry</t>
  </si>
  <si>
    <t>10.1134/S1066362221010185</t>
  </si>
  <si>
    <t>Chemistry, Analytical; Chemistry, Inorganic &amp; Nuclear</t>
  </si>
  <si>
    <t>QS7AN</t>
  </si>
  <si>
    <t>WOS:000626048600018</t>
  </si>
  <si>
    <t>Aryan, H; Bortnik, J; Meredith, NP; Horne, RB; Sibeck, DG; Balikhin, MA</t>
  </si>
  <si>
    <t>Aryan, Homayon; Bortnik, Jacob; Meredith, Nigel P.; Horne, Richard B.; Sibeck, David G.; Balikhin, Michael A.</t>
  </si>
  <si>
    <t>Multi-Parameter Chorus and Plasmaspheric Hiss Wave Models</t>
  </si>
  <si>
    <t>JOURNAL OF GEOPHYSICAL RESEARCH-SPACE PHYSICS</t>
  </si>
  <si>
    <t>Chorus waves; inner magnetosphere; multi parameter wave distribution; plasmaspheric hiss waves; Van Allen probes; wave‐ particle interactions</t>
  </si>
  <si>
    <t>The resonant interaction of energetic particles with plasma waves, such as chorus and plasmaspheric hiss waves, plays a direct and crucial role in the acceleration and loss of radiation belt electrons that ultimately affect the dynamics of the radiation belts. In this study, we use the comprehensive wave data measurements made by the Electric and Magnetic Field Instrument Suite and Integrated Science instruments on board the two Van Allen probes, to develop multi-parameter statistical chorus and plasmaspheric hiss wave models. The models of chorus and plasmaspheric hiss waves are presented as a function of combined geomagnetic activity (AE), solar wind velocity (V), and southward interplanetary magnetic field (Bs). The relatively smooth wave models reveal new features. Despite, the coupling between geomagnetic and solar wind parameters, the results show that each parameter still carries a sufficient amount of unique information to more accurately constrain the chorus and plasmaspheric hiss wave intensities. The new wave models presented here highlight the importance of multi-parameter wave models, and can improve radiation belt modeling.</t>
  </si>
  <si>
    <t>[Aryan, Homayon; Bortnik, Jacob] Univ Calif Los Angeles, Atmospher &amp; Ocean Sci, Los Angeles, CA 90095 USA; [Meredith, Nigel P.; Horne, Richard B.] British Antarctic Survey, Cambridge, England; [Sibeck, David G.] NASA, Goddard Space Flight Ctr, Greenbelt, MD USA; [Balikhin, Michael A.] Univ Sheffield, Dept Automatic Control &amp; Syst Engn, Sheffield, S Yorkshire, England</t>
  </si>
  <si>
    <t>University of California System; University of California Los Angeles; UK Research &amp; Innovation (UKRI); Natural Environment Research Council (NERC); NERC British Antarctic Survey; National Aeronautics &amp; Space Administration (NASA); NASA Goddard Space Flight Center; University of Sheffield</t>
  </si>
  <si>
    <t>Aryan, H (corresponding author), Univ Calif Los Angeles, Atmospher &amp; Ocean Sci, Los Angeles, CA 90095 USA.</t>
  </si>
  <si>
    <t>aryan.homayon@gmall.com</t>
  </si>
  <si>
    <t>Sibeck, David G/D-4424-2012; Horne, Richard B/U-3764-2019</t>
  </si>
  <si>
    <t>Horne, Richard B/0000-0002-0412-6407; Meredith, Nigel/0000-0001-5032-3463</t>
  </si>
  <si>
    <t>JHU/APL under NASA [967399, 921647, NAS5- 01072]; NERC [NE/P10738X/1, NE/R106038/1]; ISSI; NERC [bas0100031] Funding Source: UKRI</t>
  </si>
  <si>
    <t>JHU/APL under NASA; NERC(UK Research &amp; Innovation (UKRI)Natural Environment Research Council (NERC)); ISSI; NERC(UK Research &amp; Innovation (UKRI)Natural Environment Research Council (NERC))</t>
  </si>
  <si>
    <t>Homayon Aryan and Jacob Bortnik are grateful for RBSP-ECT and EMFISIS funding provided by JHU/APL Contract 967399 and 921647 under NASA's Prime Contract NAS5- 01072. Nigel P. Meredith and Richard B. Horne would like to acknowledge support from the NERC Highlight Topic Grant NE/P10738X/1 (Rad-Sat) and the NERC Grant NE/R106038/1. Michael A. Balikhin is grateful to ISSI for supporting the international team on Complex Systems Perspectives Pertaining to the Research of the Near-Earth Electromagnetic Environment.</t>
  </si>
  <si>
    <t>2169-9380</t>
  </si>
  <si>
    <t>2169-9402</t>
  </si>
  <si>
    <t>J GEOPHYS RES-SPACE</t>
  </si>
  <si>
    <t>J. Geophys. Res-Space Phys.</t>
  </si>
  <si>
    <t>e2020JA028403</t>
  </si>
  <si>
    <t>10.1029/2020JA028403</t>
  </si>
  <si>
    <t>RB2RW</t>
  </si>
  <si>
    <t>Green Accepted, hybrid</t>
  </si>
  <si>
    <t>WOS:000631963300038</t>
  </si>
  <si>
    <t>Troshichev, OA; Dolgacheva, SA; Stepanov, NA; Sormakov, DA</t>
  </si>
  <si>
    <t>Troshichev, O. A.; Dolgacheva, S. A.; Stepanov, N. A.; Sormakov, D. A.</t>
  </si>
  <si>
    <t>The PC Index Variations During 23/24 Solar Cycles: Relation to Solar Wind Parameters and Magnetospheric Disturbances</t>
  </si>
  <si>
    <t>correlation; magnetic activity; PC index; solar activity cycles; solar wind parameters; total solar irradiance TSI</t>
  </si>
  <si>
    <t>FIELD-ALIGNED CURRENTS; HIGH-SPEED STREAMS; MAGNETIC-FIELD; BIRKELAND CURRENTS; GEOMAGNETIC STORMS; LESS-THAN; PLASMA; COMPONENT; ENERGY; MAGNETOSHEATH</t>
  </si>
  <si>
    <t>The polar cap magnetic activity PC index is regarded as indicator of the solar wind energy that enters into the magnetosphere during the solar wind-magnetosphere coupling (Resolutions of XXII IAGA Assembly, 2013). This study presents the results of statistical analysis of relationships between the yearly values of PC index and such indicators as the magnetic activity indices (AE and Dst), the solar wind parameters (velocity Vsw, density Nsw, dynamic pressure Pdyn, vertical interplanetary magnetic field (IMF) component Bz, total IMF field |B|, electric field E-KL), and the solar activity parameters (sunspot number, coronal mass ejections, stream interaction regions) in course of 23-24 solar cycles. It is shown that the yearly values of the quiet daily curve magnitude (which serves as a level of reference in estimation of the PC index value) changed during 1998-2019 in remarkable agreement with variation of the Solar UV irradiation (150-200 nm) absorbed in the Earth's ionosphere. The yearly values of PC index perfectly correlate with the yearly values of Vsw and |B| and their product electric field E-KL, as well as with the yearly values of AE and Dst indices testifying that PC index serves as the ground-based indicator of the solar wind energy input into the magnetosphere. The yearly values of E-KL, PC, AE, Dst correlate with the total IMF field |B| much better that with the IMF Bz component, testifying that efficiency of the solar wind impact on the magnetosphere is defined by the total IMF value, in contrast with Dungey's concept of reconnection.</t>
  </si>
  <si>
    <t>[Troshichev, O. A.; Dolgacheva, S. A.; Stepanov, N. A.; Sormakov, D. A.] Arctic &amp; Antarctic Res Inst, Hydrometeorol Serv, St Petersburg, Russia</t>
  </si>
  <si>
    <t>Troshichev, OA (corresponding author), Arctic &amp; Antarctic Res Inst, Hydrometeorol Serv, St Petersburg, Russia.</t>
  </si>
  <si>
    <t>Никита, Степанов/AAB-8570-2022; Dolgacheva, Svetlana/ABG-5695-2021; Troshichev, Oleg/P-3848-2015; Sormakov, Dmitry/K-1695-2014</t>
  </si>
  <si>
    <t>Никита, Степанов/0000-0003-0014-5886; Dolgacheva, Svetlana/0000-0003-3661-4197; Troshichev, Oleg/0000-0002-7887-9831; Sormakov, Dmitry/0000-0003-2829-5982</t>
  </si>
  <si>
    <t>Russian Foundation for Basic Research [N 18-05-80004]</t>
  </si>
  <si>
    <t>The work was supported by grant N 18-05-80004 from the Russian Foundation for Basic Research.</t>
  </si>
  <si>
    <t>e2020JA028491</t>
  </si>
  <si>
    <t>10.1029/2020JA028491</t>
  </si>
  <si>
    <t>WOS:000631963300006</t>
  </si>
  <si>
    <t>Arnst, M; Soize, C; Bulthuis, K</t>
  </si>
  <si>
    <t>Arnst, Maarten; Soize, Christian; Bulthuis, Kevin</t>
  </si>
  <si>
    <t>COMPUTATION OF SOBOL INDICES IN GLOBAL SENSITIVITY ANALYSIS FROM SMALL DATA SETS BY PROBABILISTIC LEARNING ON MANIFOLDS</t>
  </si>
  <si>
    <t>INTERNATIONAL JOURNAL FOR UNCERTAINTY QUANTIFICATION</t>
  </si>
  <si>
    <t>global sensitivity analysis; Sobol index; probabilistic learning on manifolds; small data</t>
  </si>
  <si>
    <t>POLYNOMIAL CHAOS EXPANSION; EFFICIENT ESTIMATION; DEPENDENT-VARIABLES; ICE-SHEET; UNCERTAINTIES; VARIANCE; MODELS; DECOMPOSITION</t>
  </si>
  <si>
    <t>Global sensitivity analysis provides insight into how sources of uncertainty contribute to uncertainty in predictions of computational models. Global sensitivity indices, also called variance-based sensitivity indices and Sobol indices, are most often computed with Monte Carlo methods. However, when the computational model is computationally expensive and only a small number of samples can be generated, that is, in so-called small-data settings, usual Monte Carlo estimates may lack sufficient accuracy. As a means of improving accuracy in such small-data settings, we explore the use of probabilistic learning. The objective of the probabilistic learning is to learn from the available samples a probabilistic model that can be used to generate additional samples, from which Monte Carlo estimates of the global sensitivity indices are then deduced. We demonstrate the interest of such a probabilistic learning method by applying it in an illustration concerned with forecasting the contribution of the Antarctic ice sheet to sea level rise.</t>
  </si>
  <si>
    <t>[Arnst, Maarten; Bulthuis, Kevin] Univ Liege, Aerosp &amp; Mecan, Quartier Polytech 1,Allee Decouverte 9, B-4000 Liege, Belgium; [Soize, Christian] Univ Paris Est Marne la Vallee, Modelisat &amp; Simulat Multiechelle, MSME, UMR 8208,CNRS, Marne La Vallee, France</t>
  </si>
  <si>
    <t>University of Liege; Universite Gustave-Eiffel; Universite Paris-Est-Creteil-Val-de-Marne (UPEC); Centre National de la Recherche Scientifique (CNRS); CNRS - Institute for Engineering &amp; Systems Sciences (INSIS)</t>
  </si>
  <si>
    <t>Arnst, M (corresponding author), Univ Liege, Aerosp &amp; Mecan, Quartier Polytech 1,Allee Decouverte 9, B-4000 Liege, Belgium.</t>
  </si>
  <si>
    <t>maarten.arnst@uliege.be</t>
  </si>
  <si>
    <t>Soize, Christian/C-3704-2016; Bulthuis, Kevin/HLQ-7042-2023</t>
  </si>
  <si>
    <t>Soize, Christian/0000-0002-1083-6771; Bulthuis, Kevin/0000-0001-8706-0062</t>
  </si>
  <si>
    <t>Fund for Scientific Research (F.R.S.-FNRS); F.R.S.-FNRS; F.R.S.-FNRS [2.5020.11]; Walloon Region</t>
  </si>
  <si>
    <t>Fund for Scientific Research (F.R.S.-FNRS)(Fonds de la Recherche Scientifique - FNRS); F.R.S.-FNRS(Fonds de la Recherche Scientifique - FNRS); F.R.S.-FNRS(Fonds de la Recherche Scientifique - FNRS); Walloon Region</t>
  </si>
  <si>
    <t>M. Arnst and C. Soize acknowledge the Fund for Scientific Research (F.R.S.-FNRS) for its financial support for research stays, and K. Bulthuis acknowledges the F.R.S.-FNRS for its financial support for his F.R.S.-FNRS research fellowship. Computational resources have been provided by the Consortium des Equipements de Calcul Intensif (CECI), funded by the F.R.S.-FNRS under Grant No. 2.5020.11 and by the Walloon Region.</t>
  </si>
  <si>
    <t>BEGELL HOUSE INC</t>
  </si>
  <si>
    <t>DANBURY</t>
  </si>
  <si>
    <t>50 NORTH ST, DANBURY, CT 06810 USA</t>
  </si>
  <si>
    <t>2152-5080</t>
  </si>
  <si>
    <t>2152-5099</t>
  </si>
  <si>
    <t>INT J UNCERTAIN QUAN</t>
  </si>
  <si>
    <t>Int. J. Uncertain. Quantif.</t>
  </si>
  <si>
    <t>10.1615/Int.J.UncertaintyQuantification.2020032674</t>
  </si>
  <si>
    <t>Engineering, Multidisciplinary; Mathematics, Interdisciplinary Applications</t>
  </si>
  <si>
    <t>Engineering; Mathematics</t>
  </si>
  <si>
    <t>QW3BV</t>
  </si>
  <si>
    <t>WOS:000628530200001</t>
  </si>
  <si>
    <t>Mokhov, II; Parfenova, MR</t>
  </si>
  <si>
    <t>Mokhov, I. I.; Parfenova, M. R.</t>
  </si>
  <si>
    <t>Relationship of the Extent of Antarctic and Arctic Ice with Temperature Changes, 1979-2020</t>
  </si>
  <si>
    <t>DOKLADY EARTH SCIENCES</t>
  </si>
  <si>
    <t>Antarctic; Arctic; extent of sea ice; surface temperature; satellite and ground-based monitoring; reanalysis data; anomalies and trends; natural and anthropogenic factors</t>
  </si>
  <si>
    <t>Quantitative estimates of the relationship between interannual variations in the extent of Antarctic and Arctic sea ice and changes in the surface air temperature in the Northern and Southern hemispheres are obtained using satellite, ground-based, and reanalysis data for the past four decades (1980-2019). It is shown that the previously noted general increase in the extent of Antarctic sea ice observed until recent years from satellite data (available only since the late 1970s) over the background global warming and a rapid decrease in the extent of Arctic sea ice is associated with a regional decrease in the surface temperature at Antarctic latitudes from the end of the 1970s. This is a result of regional manifestation of natural climate variations with periods of up to several decades against the background of global secular warming with a relatively weak temperature trend over the ocean in the Southern Hemisphere. Since 2016, a sharp decrease in the extent of Antarctic sea ice in the Southern Ocean has been observed. The results of the correlation and cross-wavelet analysis indicate significant coherence and negative correlation with the surface temperature of the extent of sea ice in recent decades, not only in the Arctic, but also in the Antarctic.</t>
  </si>
  <si>
    <t>[Mokhov, I. I.; Parfenova, M. R.] Russian Acad Sci, Obukhov Inst Atmospher Phys, Moscow 119017, Russia; [Mokhov, I. I.] Moscow MV Lomonosov State Univ, Moscow 119991, Russia</t>
  </si>
  <si>
    <t>Russian Academy of Sciences; Obukhov Institute of Atmospheric Physics of Russian Academy of Sciences; Lomonosov Moscow State University</t>
  </si>
  <si>
    <t>Mokhov, II (corresponding author), Russian Acad Sci, Obukhov Inst Atmospher Phys, Moscow 119017, Russia.;Mokhov, II (corresponding author), Moscow MV Lomonosov State Univ, Moscow 119991, Russia.</t>
  </si>
  <si>
    <t>mokhov@ifaran.ru</t>
  </si>
  <si>
    <t>Ministry of Education and Science of the Russian Federation [075-15-2020-776]; Russian Foundation for Basic Research [18-05-60111, 19-35-90118]; Russian Science Foundation [19-17-00240]</t>
  </si>
  <si>
    <t>Ministry of Education and Science of the Russian Federation(Ministry of Education and Science, Russian Federation); Russian Foundation for Basic Research(Russian Foundation for Basic Research (RFBR)Spanish Government); Russian Science Foundation(Russian Science Foundation (RSF))</t>
  </si>
  <si>
    <t>Analysis of satellite data on the extent of sea ice was supported by the Ministry of Education and Science of the Russian Federation, project no. 075-15-2020-776. Analysis of the properties of regional climatic variability at polar latitudes was supported by the Russian Foundation for Basic Research, projects nos. 18-05-60111 and 19-35-90118 Postgraduates. Analysis of the relationship between the extent of the Antarctic and Arctic sea ice and the temperature regime was supported by the Russian Science Foundation, project no. 19-17-00240.</t>
  </si>
  <si>
    <t>1028-334X</t>
  </si>
  <si>
    <t>1531-8354</t>
  </si>
  <si>
    <t>DOKL EARTH SCI</t>
  </si>
  <si>
    <t>Dokl. Earth Sci.</t>
  </si>
  <si>
    <t>10.1134/S1028334X21010153</t>
  </si>
  <si>
    <t>QR8UO</t>
  </si>
  <si>
    <t>WOS:000625488500013</t>
  </si>
  <si>
    <t>Krechik, VA; Frey, DI; Morozov, EG</t>
  </si>
  <si>
    <t>Krechik, V. A.; Frey, D. I.; Morozov, E. G.</t>
  </si>
  <si>
    <t>Peculiarities of Water Circulation in the Central Part of the Bransfield Strait in January 2020</t>
  </si>
  <si>
    <t>Bransfield Strait; thermohaline structure; circulation; currents; Antarctica</t>
  </si>
  <si>
    <t>The results of measurement of the thermohaline parameters of water and currents in the Bransfield Strait in Antarctica during the expedition of the Shirshov Institute of Oceanology, Russian Academy of Sciences, in 2020 are presented. A section of nine stations across the strait located in its central part and vertical distributions of temperature and salinity are analyzed. Intrusion of deep water from the southern branch of the Antarctic Circumpolar Current was found. Estimates of the current velocity and water transport are given. The total transport to the northeast was 5.03 Sv (1 Sv = 10(6) m(3)/s).</t>
  </si>
  <si>
    <t>[Krechik, V. A.; Frey, D. I.; Morozov, E. G.] Russian Acad Sci, Shirshov Inst Oceanol, Moscow 117218, Russia</t>
  </si>
  <si>
    <t>Russian Academy of Sciences; Shirshov Institute of Oceanology</t>
  </si>
  <si>
    <t>Krechik, VA (corresponding author), Russian Acad Sci, Shirshov Inst Oceanol, Moscow 117218, Russia.</t>
  </si>
  <si>
    <t>myemail.gav@gmail.com; egmorozov@mail.ru</t>
  </si>
  <si>
    <t>Morozov, Eugene G/L-3023-2018; Krechik, Viktor/J-9941-2016</t>
  </si>
  <si>
    <t>Krechik, Viktor/0000-0001-6440-060X</t>
  </si>
  <si>
    <t>Shirshov Institute of Oceanology [0128-2019-0008]</t>
  </si>
  <si>
    <t>Shirshov Institute of Oceanology(Russian Academy of Sciences)</t>
  </si>
  <si>
    <t>This study was carried out within the framework of a State Assignment of the Shirshov Institute of Oceanology, project no. 0128-2019-0008.</t>
  </si>
  <si>
    <t>10.1134/S1028334X21010116</t>
  </si>
  <si>
    <t>WOS:000625488500018</t>
  </si>
  <si>
    <t>Ekaykin, AA; Lipenkov, VY; Tchikhatchev, KB</t>
  </si>
  <si>
    <t>Ekaykin, A. A.; Lipenkov, V. Ya; Tchikhatchev, K. B.</t>
  </si>
  <si>
    <t>Preservation of the climatic signal in the old ice layers at Dome B area (Antarctica)</t>
  </si>
  <si>
    <t>Antarctica; Dome B; old ice; paleoclimate; modeling; ice dynamics; stable water isotopes; diffusion</t>
  </si>
  <si>
    <t>In this work we have presented the results of numerical modeling of the age and temperature distribution in ice layers at Dome B site (79,02 degrees S, 93,69 degrees E, altitude 3807 m a.s.l., ice thickness about 2.5 km), located 300 km to the west from Russian Antarctic station Vostok. Dome B is situated on the onset of the ice flow line passing through deep borehole 5G, and is considered as one of the most promising places to search for and to study the Easth's oldest ice with the age of up to 1.5 Ma. According to our calculations, all realistic scenarios show the ice age at 60 m above the ice base to be considerably older than 1 Ma, and the glacier base temperature is well below the pressure melting point (-1.8 degrees. for pressure = 23 MPa). For the most likely scenario (accumulation rate 1.8 g/(cm(2) year), effective ice surface temperature -64 degrees. and geothermal heat flux 60 mW/m(2)) the ice age is 1.4 Ma and the basal temperature is about -13 degrees. that is close to the earlier predictions from a 2D-model. Maximum estimate of the diffusion length in the old ice (for the scenario in which the basal temperature reaches the melting point, and in which 30% of excess diffusion is taken into account) is 5.2 cm. In 1.4 Ma-old ice a 40-ka climatic cycle is squeezed into a 290-cm thick ice layer. For this ratio of wave length and diffusion length the climatic signal attenuation (ratio between the signal amplitude after and before the diffusive smoothing) is 0.6%. Thus, due to the relatively low ice temperature here we may expect a nearly undisturbed climatic curve in the old ice core that will be drilled one day at Dome B. At the same time shorter oscillations with the wavelengths of &lt; 1500 years will be totally erased by diffusion.</t>
  </si>
  <si>
    <t>[Ekaykin, A. A.; Lipenkov, V. Ya; Tchikhatchev, K. B.] Arctic &amp; Antarctic Res Inst, St Petersburg, Russia; [Ekaykin, A. A.] St Petersburg State Univ, Inst Earth Sci, St Petersburg, Russia</t>
  </si>
  <si>
    <t>Arctic &amp; Antarctic Research Institute; Saint Petersburg State University</t>
  </si>
  <si>
    <t>Ekaykin, AA (corresponding author), Arctic &amp; Antarctic Res Inst, St Petersburg, Russia.;Ekaykin, AA (corresponding author), St Petersburg State Univ, Inst Earth Sci, St Petersburg, Russia.</t>
  </si>
  <si>
    <t>ekaykin@aari.ru</t>
  </si>
  <si>
    <t>Ekaykin, Alexey A./K-9894-2015</t>
  </si>
  <si>
    <t>Russian Science Foundation [18-17-0010]</t>
  </si>
  <si>
    <t>Russian Science Foundation(Russian Science Foundation (RSF))</t>
  </si>
  <si>
    <t>This study was supported by Russian Science Foundation, grant No 18-17-0010.</t>
  </si>
  <si>
    <t>10.31857/S2076673421010067</t>
  </si>
  <si>
    <t>QU6FU</t>
  </si>
  <si>
    <t>WOS:000627376700001</t>
  </si>
  <si>
    <t>Bychkova, IA; Smirnov, VG</t>
  </si>
  <si>
    <t>Bychkova, I. A.; Smirnov, V. G.</t>
  </si>
  <si>
    <t>Estimation of the volume of icebergs calved from the outlet glaciers of the Severnaya Zemlya archipelago for 2014-2019</t>
  </si>
  <si>
    <t>Severnaya Zemlya; glacier; icebergs; iceberg runoff; Arctic seas; satellite monitoring; visible spectral rang</t>
  </si>
  <si>
    <t>Volume of icebergs calved from the output glaciers located on the Northern Land during 2014-2019 was estimated using the satellite information. High-resolution satellite data were obtained in the visible spectral range from the non-commercial satellites Sentinel-2 (spatial resolution 10 m) and Landsat-8 (spatial resolution 15 m). Data collection was carried out under conditions when the natural illumination in the Arctic was sufficient (March-September) to make pictures in the visible spectral range. About 100 satellite images were analyzed for each year of the above period. The technique used for the iceberg detection is based on statistical criteria for finding the gradient zones in the analysis of two-dimensional fields of satellite images. The generation of the iceberg from a particular glacier was verified by using a form template of the detected iceberg taking into consideration the following parameters of the object: the geometrical shape, dimensions, specific features of picture of the ice surface (presence and orientation of cracks, peaks, and lakelets of melt water). The iceberg height was determined by its shadow on the image. The calculated total annual volume of icebergs from the outlet glaciers was estimated 1.52-1.9 km(3). According to satellite data, the annual area reduction of the Northern Land outlet glaciers averaged 13 km(2). The greatest contribution is made by 12 outlet glaciers located on the Komsomolets and the October Revolution islands. Of these, six are from the Academy of Sciences ice dome, four - the glaciers of the Matusevich Fjord, the Vavilov Glacier and the Rusanov dome glacier. 12. Icebergs of maximum height (30-40 m) are produced by glaciers of the North-Eastern slope of the Academy of Sciences ice dome and glacier. 12 of the Rusanov dome. In general, according to satellite data of recent years, generation of icebergs from the outlet glaciers of the Northern Land shows a steady growth trend.</t>
  </si>
  <si>
    <t>[Bychkova, I. A.; Smirnov, V. G.] Arctic &amp; Antarctic Res Inst, St Petersburg, Russia; [Bychkova, I. A.; Smirnov, V. G.] Russian State Hydrometeorol Univ, St Petersburg, Russia</t>
  </si>
  <si>
    <t>Arctic &amp; Antarctic Research Institute; Russian State Hydrometeorological University</t>
  </si>
  <si>
    <t>Bychkova, IA (corresponding author), Arctic &amp; Antarctic Res Inst, St Petersburg, Russia.;Bychkova, IA (corresponding author), Russian State Hydrometeorol Univ, St Petersburg, Russia.</t>
  </si>
  <si>
    <t>bychkova@aari.ru</t>
  </si>
  <si>
    <t>Russian Science Foundation in Russian State Hydro-meteorological University (iceberg detection technique) [17-77-30019]; Russian Foundation for Basic Research [18-05-60109]</t>
  </si>
  <si>
    <t>Russian Science Foundation in Russian State Hydro-meteorological University (iceberg detection technique); Russian Foundation for Basic Research(Russian Foundation for Basic Research (RFBR)Spanish Government)</t>
  </si>
  <si>
    <t>The work under this project is supported by the Russian Science Foundation through the Project No 17-77-30019 in Russian State Hydro-meteorological University (iceberg detection technique) and Russian Foundation for Basic Research (grant No 18-05-60109, study of outlet glaciers).</t>
  </si>
  <si>
    <t>10.31857/S2076673421010068</t>
  </si>
  <si>
    <t>WOS:000627376700002</t>
  </si>
  <si>
    <t>Borisik, AL; Novikov, AL; Glazovsky, AF; Lavrentiev, II; Verkulich, SR</t>
  </si>
  <si>
    <t>Borisik, A. L.; Novikov, A. L.; Glazovsky, A. F.; Lavrentiev, I. I.; Verkulich, S. R.</t>
  </si>
  <si>
    <t>Structure and dynamics of Aldegondabreen, Spitsbergen, according to repeated GPR surveys in 1999, 2018 and 2019</t>
  </si>
  <si>
    <t>Svalbard; radio-echo sounding; polythermal glacier; Arctic</t>
  </si>
  <si>
    <t>GLACIERS; SVALBARD; ICE; LAND; COLD</t>
  </si>
  <si>
    <t>Over the last decades, glaciers on Svalbard were shrinking in response to the current climate change. Most of them decreased in size, area, and surface height with a stable negative or even accelerated changes in the mass balance. Many of them belong to the polythermal type, and as they shrink, their thermal regime can also change significantly depending on the climate and local parameters such as the ice facies distribution, the firn thickness, and others that affect the hydrology and movement of glaciers. Data from repeated GPR surveys in 1999 and 2018-2019 were used to identify changes in the thermal regime of the polythermal Aldegondabreen, Svalbard. The glacier has undergone a significant reduction of its temperate ice core, as a consequence of steadily negative mass balance, decreasing thickness, and the tongue retreat. The results show that over a 19-year period, the total area of the glacier has decreased by 23.1% (from 6.94 to 5.34 km(2)), and the total volume of ice - by 36.4% (from 0.437 to 0.278 km(3)). At the same time, the area of its temperate core has decreased by 32.7% (from 1.196 to 0.804 km(2)), and the core volume - by 42.5% (from 0.035 to 0.02 km(3)). In this way, the relative rates of internal glacier changes associated with the warm core exceeded the external changes of the entire glacier. The share of temperate ice in the total volume of the glacier ice decreased from 8% to 7%. The glacier shrinking in response to rise of the air temperature was accompanied by its gradual internal cooling. In the near future, this can result in a rapid transition of the glacier from a polythermal type into a cold one. Regular repeated geophysical surveys of the internal structure of the Svalbard polythermal glaciers can become an important element in the system of long-term monitoring of changes in climate and the natural environment of the archipelago, along with already existing observations of other sensitive natural indicators such as the size and mass balance.</t>
  </si>
  <si>
    <t>[Borisik, A. L.; Novikov, A. L.; Verkulich, S. R.] Arctic &amp; Antarctic Res Inst, St Petersburg, Russia; [Glazovsky, A. F.; Lavrentiev, I. I.] Russian Acad Sci, Inst Geog, Moscow, Russia</t>
  </si>
  <si>
    <t>Arctic &amp; Antarctic Research Institute; Institute of Geography, Russian Academy of Sciences; Russian Academy of Sciences</t>
  </si>
  <si>
    <t>Borisik, AL (corresponding author), Arctic &amp; Antarctic Res Inst, St Petersburg, Russia.</t>
  </si>
  <si>
    <t>alexborisik@gmail.com</t>
  </si>
  <si>
    <t>Glazovsky, Andrey/G-9060-2011; Borisik, Aleksandr/AAU-5126-2021</t>
  </si>
  <si>
    <t>Glazovsky, Andrey/0000-0001-6275-7517; Borisik, Aleksandr/0000-0003-4273-1111</t>
  </si>
  <si>
    <t>R&amp;D topics of Roshydromet [0148-2019-0004 (AAAA-A19-119022190172-5)]; RFBR [18-05-60067]</t>
  </si>
  <si>
    <t>R&amp;D topics of Roshydromet; RFBR(Russian Foundation for Basic Research (RFBR))</t>
  </si>
  <si>
    <t>The studies were carried out as part of the program of the Russian scientific Arctic expedition on the Spitsbergen (RAE-S) of FSBI AARI, the R&amp;D topics of Roshydromet and under the State contract. 0148-2019-0004 (AAAA-A19-119022190172-5) and with support of RFBR grant No 18-05-60067.</t>
  </si>
  <si>
    <t>10.31857/S2076673421010069</t>
  </si>
  <si>
    <t>WOS:000627376700003</t>
  </si>
  <si>
    <t>Ganyushkin, DA; Konkova, OS; Chistyakov, KV; Ekaykin, AA; Volkov, IV; Bantcev, DV; Terekhov, AV; Kunaeva, EP; Kurochkin, YN</t>
  </si>
  <si>
    <t>Ganyushkin, D. A.; Konkova, O. S.; Chistyakov, K., V; Ekaykin, A. A.; Volkov, I. V.; Bantcev, D., V; Terekhov, A., V; Kunaeva, E. P.; Kurochkin, Yu N.</t>
  </si>
  <si>
    <t>The state of the Shapshalsky glacierization center (Eastern Altai) in 2015</t>
  </si>
  <si>
    <t>recent glaciation; small glaciers; Altai-Sayan mountain region; dispersed glacierization</t>
  </si>
  <si>
    <t>ICE-AGE</t>
  </si>
  <si>
    <t>Catalogues and maps of glaciers (for 2015) of Shapshal Glacier Center, located in the eastern part of the Russian Altai, have been created based on the first field glaciological observations and space images interpretation. In total 123 glaciers with the total area of 14.07 km(2) have been allocated. In comparison with the data from the Glacier Inventory of the USSR (1955-1965), the total area of the glaciers has decreased by more than 2 times. The lower limit of glacier development is 2475 m, to the south-east of the region it rises by 1 km, the height of the firm line rises from 2860 m to 3460 m, respectively. Small glaciers prevail (70% of glaciers have an area less than 0.1 km(2), the area of the largest glacier is 0.9 km(2)). In terms of quantity and area, cirque glaciers predominate, there are no valley glaciers. The largest numbers of glaciers have northern and northeastern exposure, with the largest areas of glaciers concentrated on the north-eastern slopes. The highest glaciation intensity has been detected on the eastern slope of the Skalistiy Ridge and the northeastern slope of the southern part of the Shapshalsky Ridge in the upper reaches of the Chon-Khem River, which are optimal for glaciers by a combination of mountain heights and position relative to moisture-bearing atmospheric flows. To the west of these areas, intensity of glacierization decreases due to lower mountain heights, to the east - due to lower precipitation. In general, with low (0.1 km(-1) and less) intensity of glacierization, the Shapshal Centre is an area of dispersed glaciation, most glaciers of which are on the verge of disappearance.</t>
  </si>
  <si>
    <t>[Ganyushkin, D. A.; Konkova, O. S.; Chistyakov, K., V; Ekaykin, A. A.; Volkov, I. V.; Bantcev, D., V; Kunaeva, E. P.; Kurochkin, Yu N.] St Petersburg State Univ, St Petersburg, Russia; [Ekaykin, A. A.; Terekhov, A., V] Arctic &amp; Antarctic Res Inst, St Petersburg, Russia; [Kunaeva, E. P.] Pushkin Leningrad State Univ, Pushchino, Russia</t>
  </si>
  <si>
    <t>Terekhov, Anton/S-1329-2016; Chistyakov, Kirill V/M-8489-2013; Ganyushkin, Dmitry/M-8516-2013; Bantcev, Dmitrii/AAK-2319-2020</t>
  </si>
  <si>
    <t>Ganyushkin, Dmitry/0000-0001-6109-8652; Volkov, Ilia/0000-0001-9374-2676; Kurochkin, Yurii/0000-0002-9139-5604</t>
  </si>
  <si>
    <t>Russian Foundation for Basic Research [19-05-00535 A]</t>
  </si>
  <si>
    <t>The study was supported by the Russian Foundation for Basic Research, project No 19-05-00535 A Natural catastrophes and transformation of the landscapes of the southeastern Altai and northwestern Mongolia in the period from the maximum of the last glaciations.</t>
  </si>
  <si>
    <t>10.31857/S2076673421010070</t>
  </si>
  <si>
    <t>WOS:000627376700004</t>
  </si>
  <si>
    <t>Egorov, AG</t>
  </si>
  <si>
    <t>Egorov, A. G.</t>
  </si>
  <si>
    <t>Positions of the summer ice edge and autumn dates of stable ice formation in the Laptev, East-Siberian and Chukchi seas in 1981-2018</t>
  </si>
  <si>
    <t>dates of start of stable ice formation; multi-year variability of ice conditions; ice edge in late summer; ice cover of the Russia's Arctic seas; the Laptev Sea; the East-Siberian Sea; the Chukchi Sea</t>
  </si>
  <si>
    <t>The spatial and temporal variability of ice edge position at the end of the summer period, the dates of the beginning of stable ice formation in early autumn in the Russia's Eastern Arctic seas (Laptev, East-Siberian, and Chukchi) during 1981-2018 together with climate changes in the 21st century are analyzed. The analysis of summer and autumn ice characteristics shows certain common features occurring for many years: since the beginning of the 21st century, ice conditions have significantly improved, which is due to the more Northern position of the ice border in August-September and later dates for the beginning of stable ice formation in September-October. On average for the period 2002-2018, the ice edge at the end of the period of clearance from ice shifted (as compared to 1981-2001) in a northerly direction by about 400-500 km. Observations did show that in 2003-2018, the beginning of stable ice formation in the autumn season (as compared to 1981-2002) occurred later by about three weeks. The maximum northward shift of the ice edge was first observed (since 2002) on the aquatory to the East of the New Siberian Islands, and then (since 2011) - to the West of them. The greatest anomalies of late dates (onset) of ice formation were first observed (since 2003) in the Chukchi Sea, then (since 2008) - in the Laptev Sea, and later (since 2014) - again in the Chukchi Sea. Long-term changes in the ice conditions occur according to the similar scenario: first, an anomaly of the latitudinal position of the edge or the date of the ice formation beginning was formed in the Eastern part of the studied aquatory, and then this anomaly shifted from East to West. At the same time, the anomaly diminishes in the East that makes it possible to interpret the observed natural changes as fluctuations of the ice wave type. Taking into account the wave features of changes in summer and autumn ice indicators, we can assume that in the 2020s we should expect a similar continuation of natural fluctuations in changes in ice conditions, which will be accompanied by a spatial shift of the ice edge in the South direction and relatively earlier dates for the beginning of ice formation.</t>
  </si>
  <si>
    <t>[Egorov, A. G.] Arctic &amp; Antarctic Res Inst, St Petersburg, Russia</t>
  </si>
  <si>
    <t>Egorov, AG (corresponding author), Arctic &amp; Antarctic Res Inst, St Petersburg, Russia.</t>
  </si>
  <si>
    <t>ego@aari.ru</t>
  </si>
  <si>
    <t>10.31857/S2076673421010075</t>
  </si>
  <si>
    <t>WOS:000627376700009</t>
  </si>
  <si>
    <t>Shapkin, BS; Rubchenia, AV; Ivanov, BV; Revina, AD; Bogryantsev, MV</t>
  </si>
  <si>
    <t>Shapkin, B. S.; Rubchenia, A., V; Ivanov, B., V; Revina, A. D.; Bogryantsev, M., V</t>
  </si>
  <si>
    <t>Long-term changes in ice coverage in the area of the Svalbard (Spitsbergen) and Franz Josef Land archipelagos</t>
  </si>
  <si>
    <t>changes in ice coverage; variability; ice condition; ice extent; Franz Joseph Land; Spitsbergen</t>
  </si>
  <si>
    <t>SEA-ICE</t>
  </si>
  <si>
    <t>A comparative analysis of inter-annual changes in ice coverage and time scales of its variability in the waters surrounding the Svalbard and Franz Josef Land archipelagos has been performed. The analysis was carried out for the selected quasi-homogeneous regions. Open sources of information (satellite observations) collected by the Arctic and Antarctic Research Institute were used. Seasonal and inter-annual changes in ice coverage were studied over the period 1979-2019, since the uniform series of the satellite data were available for this period. The change of a relatively stable type of ice regime to a regime with a high level of inter-annual variability, which occurred in 2004-2006, was established. A significant negative trend in the change in ice coverage, characteristic of the waters surrounding both archipelagos, was revealed. Correlation and spectral analyses were used to estimate possible periods of cyclic fluctuations in ice coverage (taking into account the limited duration of the observation series), which amounted about 5-6 years. An efforts were made to establish possible relationships between the ice coverage fluctuations and the main atmospheric and oceanic indices. Essentially, no statistical connection with the main atmospheric indices (Arctic and North Atlantic Oscillations) was found, but the feedback with the Atlantic Multi-decadal Oscillation index had been established. The maximum correlation coefficients for Spitsbergen are observed in the winter season, while in the area of Franz-Joseph Land this takes place in summer, which may be attributed to the final velocity of the Atlantic Multidecadal Oscillation signal.</t>
  </si>
  <si>
    <t>[Shapkin, B. S.; Rubchenia, A., V; Ivanov, B., V] St Petersburg State Univ, St Petersburg, Russia; [Ivanov, B., V; Revina, A. D.] Arctic &amp; Antarctic Res Inst, St Petersburg, Russia; [Ivanov, B., V; Revina, A. D.] Russian Acad Sci, Inst Atmospher Phys, Moscow, Russia; [Bogryantsev, M., V] State Univ Maritime &amp; River Fleet, St Petersburg, Russia</t>
  </si>
  <si>
    <t>Saint Petersburg State University; Arctic &amp; Antarctic Research Institute; Russian Academy of Sciences; Obukhov Institute of Atmospheric Physics of Russian Academy of Sciences</t>
  </si>
  <si>
    <t>Shapkin, BS (corresponding author), St Petersburg State Univ, St Petersburg, Russia.</t>
  </si>
  <si>
    <t>shap99boris@gmail.com</t>
  </si>
  <si>
    <t>Revina, Anastasiia/J-6432-2015</t>
  </si>
  <si>
    <t>Ministry of Science and Higher education [05.616.21.0109 (075-15-2019-1487), RFMEFI61619X0109]; Russian-Norwegian Agreement in area of analysis of climate and sea ice data in the North part of Barents Sea (2019-2020)</t>
  </si>
  <si>
    <t>Ministry of Science and Higher education(Ministry of Science and Higher Education, Poland); Russian-Norwegian Agreement in area of analysis of climate and sea ice data in the North part of Barents Sea (2019-2020)(United States Department of Health &amp; Human ServicesNational Institutes of Health (NIH) - USA)</t>
  </si>
  <si>
    <t>This work was carried out in accordance with the Roshydromet project Monitoring of the state and pollution of the environment, including the cryosphere, in the Arctic basin and in the areas of the research base Ice Base Cape Baranova, Tiksi Hydrometeorological Observatory and the Russian Science Center at Svalbard Archipelago.This study was supported by Ministry of Science and Higher education grant. 05.616.21.0109 (075-15-2019-1487) (RFMEFI61619X0109) and Russian-Norwegian Agreement in area of analysis of climate and sea ice data in the North part of Barents Sea (2019-2020).</t>
  </si>
  <si>
    <t>10.31857/S2076673421010076</t>
  </si>
  <si>
    <t>WOS:000627376700010</t>
  </si>
  <si>
    <t>Milarska, S; Androsiuk, P; Gielwanowska, I</t>
  </si>
  <si>
    <t>Milarska, Sylwia; Androsiuk, Piotr; Gielwanowska, Irena</t>
  </si>
  <si>
    <t>Anatomy of the generative structures of the Subantarctic flowering plant Colobanthus apetalus (Labill.) Druce</t>
  </si>
  <si>
    <t>Antarctic; vascular plants; microsporangium; ovule; vivipary</t>
  </si>
  <si>
    <t>QUITENSIS KUNTH BARTL.; KING GEORGE ISLAND; POA-ANNUA L.; DESCHAMPSIA-ANTARCTICA; SOUTH SHETLAND; POLAR CARYOPHYLLACEAE; VASCULAR PLANTS; SEED BANKS; VIVIPARY; REPRODUCTION</t>
  </si>
  <si>
    <t>This study investigated the details of the morphological and anatomical structure of the generative organs of the Subantarctic flowering plant, belonging to the family Caryophyllaceae - Colobanthus apetalus (Labill.) Druce. The research material was collected in hostile natural conditions in Subantarctic regions, and also was grown in the incubators and the greenhouse of the University of Warmia and Mazury in Olsztyn (Poland). C. apetalus forms tufts with soft and grassy leaves and small greenish flowers that are more obvious than in other Colobanthus species. C. apetalus forms open (chasmogamic) flowers in greenhouse cultivation. The flowers most often form five stamens with two microsporangia. Over a dozen pollen grains are formed in each microsporangium. Studies of the plant material originated from natural conditions conducted by means of a light microscope, have shown that the ovules of the analyzed representative of the genus Colobanthus are anatropous, crassinucellar, and the monosporic embryo sac develops according to the Polygonum type (the most common type in angiosperms). C. apetalus plants underwent a full development cycle in greenhouse cultivation and produced fertile, perispermic seeds. During the C. apetalus growth in conditions at increased air humidity, the vivipary was also observed.</t>
  </si>
  <si>
    <t>[Milarska, Sylwia; Androsiuk, Piotr; Gielwanowska, Irena] Univ Warmia &amp; Mazury, Dept Plant Physiol Genet &amp; Biotechnol, Olsztyn, Poland</t>
  </si>
  <si>
    <t>University of Warmia &amp; Mazury</t>
  </si>
  <si>
    <t>Milarska, S (corresponding author), Univ Warmia &amp; Mazury, Dept Plant Physiol Genet &amp; Biotechnol, Olsztyn, Poland.</t>
  </si>
  <si>
    <t>sylwia.milarska@uwm.edu.pl</t>
  </si>
  <si>
    <t>Androsiuk, Piotr/M-6175-2019</t>
  </si>
  <si>
    <t>Androsiuk, Piotr/0000-0002-1851-3192; Milarska, Sylwia/0000-0001-7523-3974; Gielwanowska, Irena/0000-0002-9001-1285</t>
  </si>
  <si>
    <t>10.24425/ppr.2021.136513</t>
  </si>
  <si>
    <t>RB6LE</t>
  </si>
  <si>
    <t>WOS:000632220600003</t>
  </si>
  <si>
    <t>Kokun, O; Bakhmutova, L</t>
  </si>
  <si>
    <t>Kokun, Oleg; Bakhmutova, Larysa</t>
  </si>
  <si>
    <t>The impact of expeditioners' personality traits on their interpersonal interactions during long-term Antarctic expeditions</t>
  </si>
  <si>
    <t>Antarctic; Akademik Vernadsky station; long-term isolation; personality assessment</t>
  </si>
  <si>
    <t>PSYCHOLOGICAL CHANGES; EXTREME; DYNAMICS; TEAM; PERFORMANCE; CONFLICT; BEHAVIOR; COMMUNICATION; MINDFULNESS; PERSONNEL</t>
  </si>
  <si>
    <t>Interpersonal interaction performance is significantly determined by group members' personality traits. If a group lives in long-term isolation, the influence of personality traits on interpersonal interaction performance will be even stronger. The current study identified and examined the impact of the personality traits of the personnel living at the Ukrainian Antarctic Akademik Vernadsky station (N = 35) on their interpersonal interactions during long-term Antarctic expeditions. The results show that expeditioners' personality traits significantly determined their interpersonal interactions. However, the influence of personality traits on different areas of interactions can vary significantly among different groups of expeditioners, even sometimes in diametrically opposite directions. The main reason for this is a formed microclimate specific to each group and corresponding group norms for formal and informal relations due to significant differences in personality traits that are characteristic of different groups' participants. We determined that eleven indicators, out of a total of 23 examined personality traits, significantly differed among expeditioners from different groups (different expeditions). The study results can be used to enable better psychological selection of Antarctic expedition participants and to provide psychological support for these individuals.</t>
  </si>
  <si>
    <t>[Kokun, Oleg] Natl Acad Educ Sci Ukraine, GS Kostiuk Inst Psychol, Kiev, Ukraine; [Bakhmutova, Larysa] Minist Educ &amp; Sci Ukraine, Natl Antarctic Sci Ctr, Sci &amp; Org Dept, Kiev, Ukraine</t>
  </si>
  <si>
    <t>National Academy of Educational Sciences of Ukraine; G. S. Kostiuk Institute of Psychology of the National Academy of Educational Sciences of Ukraine; Ministry of Education &amp; Science of Ukraine; State Institution National Antarctic Scientific Center</t>
  </si>
  <si>
    <t>Kokun, O (corresponding author), Natl Acad Educ Sci Ukraine, GS Kostiuk Inst Psychol, Kiev, Ukraine.</t>
  </si>
  <si>
    <t>kokun@ukr.net</t>
  </si>
  <si>
    <t>Bakhmutova, Larysa/ABG-8870-2020; Oleg, Kokun/D-9496-2018</t>
  </si>
  <si>
    <t>Bakhmutova, Larysa/0000-0002-5119-236X; Oleg, Kokun/0000-0003-1793-8540</t>
  </si>
  <si>
    <t>10.24425/ppr.2021.136512</t>
  </si>
  <si>
    <t>WOS:000632220600004</t>
  </si>
  <si>
    <t>Geru, II</t>
  </si>
  <si>
    <t>Geru, I. I.</t>
  </si>
  <si>
    <t>A POSSIBLE EXPERIMENTAL MANIFESTATION OF ULTRA-HIGH ENERGY COSMIC METANEUTRINOS</t>
  </si>
  <si>
    <t>ROMANIAN REPORTS IN PHYSICS</t>
  </si>
  <si>
    <t>ANITA; cosmic neutrinos; Askaryan emission; tau-leptons; time-reversal symmetry; cosmic metaneutrinos</t>
  </si>
  <si>
    <t>The restoration of the time-reversal symmetry in a system of ultrahigh energy cosmic neutrinos involving metaneutrinos is discussed. Cosmic neutrinos reaching the Earth's surface correspond to cosmic metaneutrinos moving in the opposite direction. This can create the illusion of some radiation directed upward from the surface of the Earth. An alternative interpretation of the unusual upward-pointed cosmic-ray-like impulsive radio event recorded during Antarctic Impulsive Transient Antenna (ANITA) flights is proposed. Our approach take into account the interaction of ultra-high energy cosmic metaneutrinos with the Antarctic polar ice, which was detected in ANITA experiments by means of the Ackaryan emission.</t>
  </si>
  <si>
    <t>[Geru, I. I.] Inst Chem, Dept Phys &amp; Quantum Chem, Str Acad 3, MD-2028 Kishinev, Moldova</t>
  </si>
  <si>
    <t>Geru, II (corresponding author), Inst Chem, Dept Phys &amp; Quantum Chem, Str Acad 3, MD-2028 Kishinev, Moldova.</t>
  </si>
  <si>
    <t>iongerull@gmail.com</t>
  </si>
  <si>
    <t>National Agency for Research and Development of the Ministry of Education, Culture and Research of the Republic of Moldova</t>
  </si>
  <si>
    <t>This research did not receive any specific grant from funding agencies in the public, commercial, or not-for-profit sectors. Nevertheless, the author is grateful to the National Agency for Research and Development of the Ministry of Education, Culture and Research of the Republic of Moldova for supporting the quantum dots research within institutional project. This allowed me to be engaged in free time with fundamental research in the field of time-reversal symmetry and UHE neutrinos.</t>
  </si>
  <si>
    <t>EDITURA ACAD ROMANE</t>
  </si>
  <si>
    <t>BUCURESTI</t>
  </si>
  <si>
    <t>CALEA 13 SEPTEMBRIE NR 13, SECTOR 5, BUCURESTI 050711, ROMANIA</t>
  </si>
  <si>
    <t>1221-1451</t>
  </si>
  <si>
    <t>1841-8759</t>
  </si>
  <si>
    <t>ROM REP PHYS</t>
  </si>
  <si>
    <t>Rom. Rep. Phys.</t>
  </si>
  <si>
    <t>RA8YG</t>
  </si>
  <si>
    <t>WOS:000631705400008</t>
  </si>
  <si>
    <t>Malbeuf, J; Johnson, P; Johnson, J; Mardon, A</t>
  </si>
  <si>
    <t>Malbeuf, Jilene; Johnson, Peter; Johnson, John; Mardon, Austin</t>
  </si>
  <si>
    <t>The Plague of Athens Shedding Light on Modern Struggles with COVID-19</t>
  </si>
  <si>
    <t>JOURNAL OF CLASSICS TEACHING</t>
  </si>
  <si>
    <t>COVID-19; Plague of Athens; disease; moral decay; lockdown fatigue; pyschological impact; Peloponnesian War; Thucydides</t>
  </si>
  <si>
    <t>In 2020, we are facing unprecedented times, and as some form of lockdown continues with no signs of ending feelings of hopelessness are completely natural and understandable. Unprecedented times does not mean that these current issues and struggles have never been faced by humanity before, however. The Spanish Flu which took place after World War One and the Black Death that was rampant in Asia and Europe in the 14th century quickly come to mind as examples of past pandemics, but these are only two examples of devastating diseases throughout human history. The Plague of Athens that was raging during the beginning of the Peloponnesian War in 430 BCE is another such example. Though removed from our current situation by many centuries, its symptoms and the effects it had on the population of Athens have been meticulously recorded by the general and historian Thucydides, giving us the opportunity to compare his account to our own experiences today. The disease may be different, and the image he portrays may be more violent and desperate than our own, but nonetheless we can see similarities in how these two separate societies have reacted to unforeseen hardships. In this comparison, we can come to understand at once our own good fortune at going through a pandemic with the support of modern technology and medicine as well as how universal our reactions are to this type of suffering, thereby making it natural rather than shameful. Humanity has faced a great deal of diversity before, and COVID-19 will likely prove to be no different.</t>
  </si>
  <si>
    <t>[Malbeuf, Jilene] Univ Alberta, Edmonton, AB, Canada; Antarctic Inst Canada, Edmonton, AB, Canada</t>
  </si>
  <si>
    <t>Malbeuf, J (corresponding author), Univ Alberta, Edmonton, AB, Canada.</t>
  </si>
  <si>
    <t>jilene@ualberta.ca</t>
  </si>
  <si>
    <t>Johnson, Peter/AAU-7193-2021</t>
  </si>
  <si>
    <t>/0000-0001-6258-5831</t>
  </si>
  <si>
    <t>EDINBURGH BLDG, SHAFTESBURY RD, CB2 8RU CAMBRIDGE, ENGLAND</t>
  </si>
  <si>
    <t>1741-7627</t>
  </si>
  <si>
    <t>2058-6310</t>
  </si>
  <si>
    <t>J CLASS TEACH</t>
  </si>
  <si>
    <t>J. CLASS. TEACH.</t>
  </si>
  <si>
    <t>PII S2058631021000064</t>
  </si>
  <si>
    <t>10.1017/S2058631021000064</t>
  </si>
  <si>
    <t>Classics</t>
  </si>
  <si>
    <t>RA2YS</t>
  </si>
  <si>
    <t>WOS:000631286000006</t>
  </si>
  <si>
    <t>Isla, FI; Espinosa, M</t>
  </si>
  <si>
    <t>Isla, Federico Ignacio; Espinosa, Marcela</t>
  </si>
  <si>
    <t>Quaternary glaciolacustrine deposits around a Triple Junction site: Paleolakes at the foot of the Northern Patagonian Ice field (Argentina and Chile)</t>
  </si>
  <si>
    <t>ANDEAN GEOLOGY</t>
  </si>
  <si>
    <t>Glaciolacustrine deposits; Triple junction; Northern Patagonian Ice Field; Argentina; Chile</t>
  </si>
  <si>
    <t>LAST GLACIAL MAXIMUM; PACIFIC DRAINAGE REVERSALS; LAGO BUENOS-AIRES; RIDGE-SUBDUCTION; LATE PLEISTOCENE; GENERAL CARRERA; LAKE 46-DEGREES-48-DEGREES-S; GEOMORPHIC RECORDS; CLIMATE INFERENCES; SPREADING-RIDGE</t>
  </si>
  <si>
    <t>The area involved by the triple junction between the South American, Nazea and Antarctic plates activity was affected by Quaternary glaciations. Before 12,800 yrs BP an extended ice field occupied the top of the Patagonian Andes, irradiating glaciers towards the east and the west dominantly. Towards the east, the ice melted in piedmont lakes; towards the west, fjords melted into the Pacific Ocean. The Upper-Pleistocene climate amelioration caused the recession of those glaciers. Some piedmont lakes reversed their Atlantic outflow towards to the Pacific Ocean. The glaciers retreat caused the fluvial reactivations along crustal former faults that were located below the ice. The Patagonian ice field became therefore split into present Northern and Southern fields. At the second largest lake of South America, the Buenos Aires-General Carrera Lake, the water level dropped from about 500 m over present mean sea level to 230 m. Several glaciolacustrine deposits from this area are indicating significant variations caused by climatic changes, volcanism and tectonics, differing in spatial and temporal magnitudes. The triple junction activity involved subduction of the Chile Ridge below the continental South American plate, volcanic activity and faulting. During the glacier melting the Baker River captured three eastern-moving glacial systems towards the southwest, towards the Pacific Ocean. This rapid event is thought to occur 12,800 yrs BP. The lowering of these glaciolacustrine systems should be also interpreted in terms of the tectonic activity in the region and considering other processes operating in the lakes and within the watersheds.</t>
  </si>
  <si>
    <t>[Isla, Federico Ignacio; Espinosa, Marcela] Inst Invest Marinas &amp; Costeras UNMDP CONICET, Inst Geol Costas &amp; Cuaternario UNMDP CIC, Funes 3350, Mar Del Plata, Argentina</t>
  </si>
  <si>
    <t>Isla, FI (corresponding author), Inst Invest Marinas &amp; Costeras UNMDP CONICET, Inst Geol Costas &amp; Cuaternario UNMDP CIC, Funes 3350, Mar Del Plata, Argentina.</t>
  </si>
  <si>
    <t>fisla@mdp.edu.ar; maespin@mdp.edu.ar</t>
  </si>
  <si>
    <t>SERVICIO NACIONAL GEOLOGIA MINERVA</t>
  </si>
  <si>
    <t>AVDA SANTA MARIO 0104, CASILLA 10465, SANTIAGO, CHILE</t>
  </si>
  <si>
    <t>0718-7106</t>
  </si>
  <si>
    <t>ANDEAN GEOL</t>
  </si>
  <si>
    <t>Andean Geol.</t>
  </si>
  <si>
    <t>10.5027/andgeoV48n1-3173</t>
  </si>
  <si>
    <t>QI5NF</t>
  </si>
  <si>
    <t>WOS:000619023700005</t>
  </si>
  <si>
    <t>Singh, AK; Sinha, DK</t>
  </si>
  <si>
    <t>Singh, Ashutosh Kumar; Sinha, Devesh K.</t>
  </si>
  <si>
    <t>Northward Migration of Antarctic Polar Front during the Quaternary: Planktic Foraminiferal Record from Southeast Indian Ocean</t>
  </si>
  <si>
    <t>JOURNAL OF CLIMATE CHANGE</t>
  </si>
  <si>
    <t>Antarctic Polar Front; Planktic foraminifera; West Australian Current</t>
  </si>
  <si>
    <t>ODP SITE 763A; EARLY PLIOCENE; EXMOUTH PLATEAU; INDO-PACIFIC; CIRCULATION; HISTORY; MARGIN; MA; TEMPERATURE; EQUATORIAL</t>
  </si>
  <si>
    <t>The ODP Hole 763A is influenced by the northward-flowing cold West Australian Current (WAC) and Southward flowing warm Leeuwin Current (LC). LC is a branch of the South Equatorial Current (SEC), which brings relatively warmer waters from the tropical Pacific Ocean into the Indian Ocean via Indonesian Throughflow (ITF). The modern planktic foraminiferal fauna thrives along the western margin of Australia. It consists mainly of warm water assemblages brought by the LC. The present study provides planktic foraminiferal census data from ODP Hole 763A, influenced by the LC and WAC, to document the history of cold water influence at the site during the quaternary. The northward migration of the Antarctic Polar Front (APF) and resultant intensification of the cold West Australian Current have been inferred based on the dramatic increase in the relative abundance of temperate water species group Globoconella at Hole 763A situated in the low latitude region. The Quaternary planktic foraminiferal census data shows several episodes of invasion of Globoconella. These intervals of high abundance of Globoconella group have been attributed to the intensification of WAC, probably due to Antarctic ice volume expansion and resultant northward migration of the APF at 0.05 Ma, 0.2 Ma, 0.45 Ma, 0.7 Ma and 1.2 Ma. We have documented that the amplitude of fluctuations in cold/warm events has increased after the Mid-Pleistocene Transition (MPT). LC is a heat supplier to the higher latitudes, its weakening during such intervals might have contributed to the ice volume expansion over Antarctica. Thus, the study proposes that the Antarctic ice cap formation creates a positive feedback mechanism by lowering sea level, reduced strength of LC due to a decrease in ITF and less heat supply towards the South Pole. All these phenomena add to further cooling.</t>
  </si>
  <si>
    <t>[Singh, Ashutosh Kumar; Sinha, Devesh K.] Univ Delhi, Dept Geol, Delhi 110007, India</t>
  </si>
  <si>
    <t>University of Delhi</t>
  </si>
  <si>
    <t>Sinha, DK (corresponding author), Univ Delhi, Dept Geol, Delhi 110007, India.</t>
  </si>
  <si>
    <t>dsinha@geology.du.ac.in</t>
  </si>
  <si>
    <t>Ministry of Earth Sciences, Govt. of India [MoES/CCR/Paleo-4/2009]</t>
  </si>
  <si>
    <t>Ministry of Earth Sciences, Govt. of India</t>
  </si>
  <si>
    <t>The authors are thankful to the Ocean Drilling Programme (ODP) for providing the samples. Financial support from the Ministry of Earth Sciences, Govt. of India (Sanction No. MoES/CCR/Paleo-4/2009, dated 20.1.2020), is thankfully acknowledged. SEM photographs were taken at the Department of Geology, BHU, with JEOL 840A. The authors thank the Delhi School of Climate Change and Sustainability (DSCCS) under IoE, University of Delhi for infrastructural support.</t>
  </si>
  <si>
    <t>IOS PRESS</t>
  </si>
  <si>
    <t>NIEUWE HEMWEG 6B, 1013 BG AMSTERDAM, NETHERLANDS</t>
  </si>
  <si>
    <t>2395-7611</t>
  </si>
  <si>
    <t>2395-7697</t>
  </si>
  <si>
    <t>J CLIM CHANG</t>
  </si>
  <si>
    <t>J. Clim. Chang.</t>
  </si>
  <si>
    <t>10.3233/JCC210002</t>
  </si>
  <si>
    <t>QH8NJ</t>
  </si>
  <si>
    <t>WOS:000618528600003</t>
  </si>
  <si>
    <t>Reuter, M; Harzhauser, M; Piller, WE</t>
  </si>
  <si>
    <t>Reuter, M.; Harzhauser, M.; Piller, W. E.</t>
  </si>
  <si>
    <t>The role of sea-level and climate changes in the assembly of Sri Lankan biodiversity: A perspective from the Miocene Jaffna Limestone</t>
  </si>
  <si>
    <t>GONDWANA RESEARCH</t>
  </si>
  <si>
    <t>Western Ghats-Sri Lanka biodiversity hotspot; Palk Isthmus; Middle Miocene Climate Optimum; Depositional environment; Palaeobiogeography; Stratigraphy</t>
  </si>
  <si>
    <t>CALCAREOUS NANNOFOSSILS; ISOTOPE CURVE; INDIA; MIDDLE; BASIN; EVOLUTION; ENDEMISM; HISTORY; ARCHIVE; KERALA</t>
  </si>
  <si>
    <t>As part of the Western Ghats-Sri Lanka biodiversity hotspot, Sri Lanka harbors a rich and diverse fauna with a considerable number of endemic species, especially in the wet southwestern part of the island. Understanding the origin of this biodiversity requires consideration of the land bridge history between the island and southern Peninsular India. To examine the influence of fluctuating sea levels and dimate on island connectivity and isolation during the Miocene, we describe the lithological succession of the Jaffna Limestone in surface outcrops of north(west)ern Sri Lanka and interpret it with respect to palaeoenvironrnents and sequence stratigraphy. A stack of three marine intervals was identified, which were deposited in seagrass-, coral reef-, and nearshore silicidastic environments of a land-attached carbonate platform and are separated by caliche and palaeokarst unconformities. They represent high sea-level peaks during the long-term sea-level maximum related to the Middle Miocene Climate Optimum (MMCO). In support of divergence time from Sri Lankan and south Indian species, it is argued that the Palk Isthmus connected Sri Lanka to mainland India prior the MMCO (similar to 17-15 Ma) and after the Middle Miocene Climate Transition (similar to 15-13 Ma), whereas a marine barrier continued to persist during low sea-level stands associated with the Mi2, Mi3a and Mi3 glaciations within this period of time. The early and middle Miocene landbridge connections opened up dispersal opportunities for terrestrial animals. Species migrations via the Palk Isthmus were, however, impacted by a climatic filter, which promoted a high level of ancient endemism on Sri Lanka. Our results indicate that the Sri Lankan sub-center of biodiversity started to evolve in response to increased sea-level and climate variability associated with Antarctic ice dynamics and the initiation of the South Asian monsoon system during the early stage of the current ice house period. (C) 2020 International Association for Gondwana Research. Published by Elsevier B.V. All rights reserved.</t>
  </si>
  <si>
    <t>[Reuter, M.] Univ Leipzig, Inst Geophys &amp; Geol, Talstr 35, D-04103 Leipzig, Germany; [Harzhauser, M.] Nat Hist Museum Vienna, Dept Geol &amp; Palaeontol, Burgring 7, A-1010 Vienna, Austria; [Piller, W. E.] Karl Franzens Univ Graz, NAWI Graz Geoctr, Inst Earth Sci, Heinrichstr 26, A-8010 Graz, Austria</t>
  </si>
  <si>
    <t>Leipzig University; University of Graz</t>
  </si>
  <si>
    <t>Reuter, M (corresponding author), Univ Leipzig, Inst Geophys &amp; Geol, Talstr 35, D-04103 Leipzig, Germany.</t>
  </si>
  <si>
    <t>markus.reuter@uni-leipzig.de</t>
  </si>
  <si>
    <t>Reuter, Markus/JWO-6969-2024</t>
  </si>
  <si>
    <t>Austrian Science Fund [P 29158-N29]; Austrian Science Fund (FWF) [P29158] Funding Source: Austrian Science Fund (FWF)</t>
  </si>
  <si>
    <t>Austrian Science Fund(Austrian Science Fund (FWF)); Austrian Science Fund (FWF)(Austrian Science Fund (FWF))</t>
  </si>
  <si>
    <t>S. Jayakody and G. M. Arachchige at the Wayamba University of Sri Lanka (Department of Aquaculture and Fisheries, Makandura, Gonawila) are thanked for their help in organizing and conducting the fieldwork in Sri Lanka. L. Marasinghe (NationalMuseumof Natural History, Colombo) and K. Manameendra-Arachchi (Postgraduate Institute of Archaeology, University of Kelaniya, Colombo) kindly showed their collections of fossils from Aruwakkalu. M. Hyzny (Comenius University in Bratislava, Slovakia) helped with the identification of fossil crabs and P. Spreter (Leipzig University, Germany) is thanked for the digital elevation model. The management of the Aruwakkalu limestone quarry (Holcim Lanka Ltd.) permitted access to an abandoned excavation area and the collection of fossils exhibited in the local company museum (Eluwankulama). We also appreciate the helpful comments of two anonymous reviewers. This study was supported by the Austrian Science Fund [grant number P 29158-N29].</t>
  </si>
  <si>
    <t>1342-937X</t>
  </si>
  <si>
    <t>1878-0571</t>
  </si>
  <si>
    <t>GONDWANA RES</t>
  </si>
  <si>
    <t>Gondwana Res.</t>
  </si>
  <si>
    <t>10.1016/j.gr.2020.12.014</t>
  </si>
  <si>
    <t>QI7TR</t>
  </si>
  <si>
    <t>WOS:000619186700002</t>
  </si>
  <si>
    <t>Makarieva, OM; Nesterova, NV; Ostashov, AA; Zemlyanskova, AA; Tumskoy, VE; Gagarin, LA; Ekaykin, AA; Shikhov, AN; Olenchenkos, VV; Khristoforov, II</t>
  </si>
  <si>
    <t>Makarieva, Olga M.; Nesterova, Nataliia, V; Ostashov, Andrey A.; Zemlyanskova, Anastasia A.; Tumskoy, Vladimir E.; Gagarin, Leonid A.; Ekaykin, Alexey A.; Shikhov, Andrey N.; Olenchenkos, Vladimir V.; Khristoforov, Ivan I.</t>
  </si>
  <si>
    <t>Perspectives of the development of complex interdisciplinary hydrological geocryological research in the North-East of Russia</t>
  </si>
  <si>
    <t>VESTNIK OF SAINT PETERSBURG UNIVERSITY EARTH SCIENCES</t>
  </si>
  <si>
    <t>water exchange processes; permafrost; river runoff; active layer; talik; suprapermafrost waters; underground runoff; aufeis; geophysics; remote sensing; mathematical modeling; monitoring; isotopes; climate change; anthropogenic disturbances; North-East of Russia</t>
  </si>
  <si>
    <t>PERMAFROST; MODEL; BASIN; DYNAMICS; SOIL</t>
  </si>
  <si>
    <t>Climate warming and anthropogenic impact causes transformation of geocryological conditions in the river basins of the North-East of Russia. Changes in the thickness of the active layer, configuration of taliks, types of landscapes and other factors lead to transformation of water exchange processes between surface and groundwater runoff. This is manifested in the seasonal redistribution of the components of the water balance, accelerated melting of aufeis, change in the ratio of waters of different genesis in the structure of river runoff. As a result, natural and anthropogenic risks that affect the safe and efficient development of infrastructure and socio-economic processes are increasing. At the same time the system of observations developed in the Soviet period has been practically destroyed in the region. This paper offers a vision of organizing complex multidisciplinary research to assess and project the changes in the conditions of underground and surface water interaction in natural and disturbed river basins of the cryolithozone of the North-East of Russia, including for solving applied problems, based on permafrost, hydrology. hydrogeology, landscape science and geophysics with applications of remote sensing and field research integrated through mathematical modeling methods. To achieve the goal, the identification of natural and disturbed landscapes using remote sensing data. and key areas for detailed research will be selected. Geophysical and drilling works will be carried out within the sites to establish permafrost-hydrogeological conditions, monitoring stations will be equipped to determine hydrogeological, hydrometeorological and geocryological characteristics, including sampling for isotopic and hydrogeochemical studies. As the main key sites, it is proposed to use the area of the Kolyma water-balance station and the site on Anmangynda aufeis, for which there are long-term observation series in the 20th century. Field data will become the basis for improving the mathematical model of runoff formation, considering the relationship between groundwater and river runoff in the conditions of permafrost. Mathematical modeling will make it possible to quantitatively analyze the water balance of rivers considering various factors and project water availability both for specific industrial facilities and for the region as a whole.</t>
  </si>
  <si>
    <t>[Makarieva, Olga M.; Nesterova, Nataliia, V; Ostashov, Andrey A.; Zemlyanskova, Anastasia A.] Melnikov Permafrost Inst, North Eastern Res Permafrost Stn, 16 Portovaya St, Magadan 685000, Russia; [Makarieva, Olga M.; Nesterova, Nataliia, V; Zemlyanskova, Anastasia A.; Ekaykin, Alexey A.] St Petersburg State Univ, 33,10th Line Vasilievsky Isl, St Petersburg 199034, Russia; [Tumskoy, Vladimir E.; Gagarin, Leonid A.; Khristoforov, Ivan I.] Melnikov Permafrost Inst, 36 Merzlotnaya St, Yakutsk 677010, Russia; [Nesterova, Nataliia, V] State Hydrol Inst, 23,2nd Line Vasilievsky Isl, St Petersburg 199004, Russia; [Olenchenkos, Vladimir V.] Russian Acad Sci IPGG SB RAS, Trofimuk Inst Petr Geol &amp; Geophys, Siberian Branch, 3 Koptug Ave, Novosibirsk 630090, Russia; [Shikhov, Andrey N.] Perm State Univ, 15 Bukireva St, Russia 614990, Russia; [Tumskoy, Vladimir E.] Lomonosov Moscow State Univ, GSP-1, Moscow 119991, Russia; [Ekaykin, Alexey A.] Arctic &amp; Antarctic Res Inst, 38 Bering Str, St Petersburg 199397, Russia</t>
  </si>
  <si>
    <t>Saint Petersburg State University; Melnikov Permafrost Institute, Siberian Branch of the RAS; Russian Academy of Sciences; Trofimuk Institute of Petroleum Geology &amp; Geophysics; Perm State University; Lomonosov Moscow State University; Arctic &amp; Antarctic Research Institute</t>
  </si>
  <si>
    <t>Makarieva, OM (corresponding author), Melnikov Permafrost Inst, North Eastern Res Permafrost Stn, 16 Portovaya St, Magadan 685000, Russia.;Makarieva, OM (corresponding author), St Petersburg State Univ, 33,10th Line Vasilievsky Isl, St Petersburg 199034, Russia.</t>
  </si>
  <si>
    <t>omakarieva@gmail.com; nnesterova1994@gmail.com; andrey.ostashov@gmail.com; anastasiazemlanskova@gmail.com; vtumskoy@gmail.com; gagarinleo@yandex.ru; ekaykin@aari.ru; and3131@inbox.ru; olenchenkovv@yandex.ru; zodik@mail.ru</t>
  </si>
  <si>
    <t>Ekaykin, Alexey A./K-9894-2015; Tumskoy, Vladimir E./Y-5682-2018; Zemlianskova, Anastasiia/ADU-3435-2022; Makarieva, Olga M/G-2077-2014; Gagarin, Leonid/J-4238-2018; Olenchenko, Vladimir V/D-2760-2015; Shikhov, Andrey/M-9448-2016; Khristoforov, Ivan/P-7306-2016</t>
  </si>
  <si>
    <t>Makarieva, Olga M/0000-0002-2532-4306; Gagarin, Leonid/0000-0002-5354-084X; Zemlianskova, Anastasiia/0000-0002-2249-5708; Shikhov, Andrey/0000-0003-2489-8436; Khristoforov, Ivan/0000-0003-2478-4172</t>
  </si>
  <si>
    <t>Russian Geographical Society [26/2019-I]; Russian Fund for Basic Research [19-55-80028, 19-35-90090, 20-05-00666]</t>
  </si>
  <si>
    <t>Russian Geographical Society; Russian Fund for Basic Research(Russian Foundation for Basic Research (RFBR))</t>
  </si>
  <si>
    <t>The study is supported by Russian Geographical Society (project 26/2019-I) and Russian Fund for Basic Research (projects 19-55-80028, 19-35-90090 and 20-05-00666).</t>
  </si>
  <si>
    <t>ST PETERSBURG UNIV PRESS</t>
  </si>
  <si>
    <t>ST PETERSBURG</t>
  </si>
  <si>
    <t>6TH LINE VO, 11, ST PETERSBURG, 199004, RUSSIA</t>
  </si>
  <si>
    <t>2541-9668</t>
  </si>
  <si>
    <t>2587-585X</t>
  </si>
  <si>
    <t>VESTN ST PETER U-EAR</t>
  </si>
  <si>
    <t>Vestn. St. Petersb. Univ. Earth Sci.</t>
  </si>
  <si>
    <t>10.21638/spbu07.2021.105</t>
  </si>
  <si>
    <t>QB4XE</t>
  </si>
  <si>
    <t>WOS:000614143700010</t>
  </si>
  <si>
    <t>Ji, XW; Abakumov, E; Polyakov, V; Xie, XC</t>
  </si>
  <si>
    <t>Ji, Xiaowen; Abakumov, Evgeny; Polyakov, Vyacheslav; Xie, Xianchuan</t>
  </si>
  <si>
    <t>Mobilization of Geochemical Elements to Surface Water in the Active Layer of Permafrost in the Russian Arctic</t>
  </si>
  <si>
    <t>WATER RESOURCES RESEARCH</t>
  </si>
  <si>
    <t>DISSOLVED ORGANIC-CARBON; THERMAL STATE; THERMOKARST LAKES; YAMAL PENINSULA; TRACE-METALS; THAW; SOILS; DYNAMICS; CO2; SPECIATION</t>
  </si>
  <si>
    <t>The predicted increase of ground temperatures in the Arctic results in the deepening of the active layer and intensification of geochemical processes. Determining the responses of riparian soil systems to surrounding hydrological flows is important for understanding seasonal changes in hydrological processes. In this study, one soil core from a polygon rim (close to the Taz River, TA) and two soil cores from a riverine terrace (close to the Syoyakha River, SY and Murtyyakha River, MU) in Western Siberia, Russia, and their suprapermafrost water, adjacent surface flows, and river water were sampled for analysis of geochemical elements. Results showed that most elements above their respective detection limits began accumulating in the underlying gleyed layer during September-October in response to the deepest thaw in the active layer. This study focused on the highly mobile elements in the deepest layer; and found that the transport of organic matter in the upper layer carried these elements to both surface water ponds/flows and suprapermafrost water, and further, to the rivers. The efflux of released elements from surface soil to surrounding surface water appeared to be low. The best linear correlation for both surface flows and river water was with Mn; therefore, Mn may be a proxy for predicting the processes occurring within the active layer during the annual summer-autumn thaw. Moreover, landscapes with different ice contents may experience changes in the elements transported to surface waters. A general conceptual model for the response of elements to the thawing-freezing process of the active layer is established. Plain Language Summary The rapidly increasing atmospheric temperature in the Arctic has led to the feedback of permafrost thawing, which increases the depth of the active layer and accelerates chemical weathering. These processes may cause a further release of chemical substances to adjacent aquatic landscapes. Here, we investigated the horizontal and vertical transport of geochemical elements through surface flow and suprapermafrost water to river water from three cryogenic soil cores in the Arctic tundra. The results showed that most elements accumulated in the gleyed layer, which was deepest in the active layer during the thawing season. Mn, Ca, Mg, Al, and Ti showed the highest mobility from soil to suprapermafrost water to the surface flows/rivers, while Mn was the only element that could migrate from topsoil and suprapermafrost water to surface water and river water, indicating that Mn may be a proxy for predicting the processes occurring in the active layer during summer-autumn thawing.</t>
  </si>
  <si>
    <t>[Ji, Xiaowen; Xie, Xianchuan] Nanchang Univ, Sch Resources Environm &amp; Chem Engn, Key Lab Poyang Lake Environm &amp; Resource Utilizat, Minist Educ, Nanchang 330031, Jiangxi, Peoples R China; [Ji, Xiaowen; Abakumov, Evgeny; Polyakov, Vyacheslav] St Petersburg State Univ, Dept Appl Ecol, St Petersburg 199178, Russia; [Ji, Xiaowen] Univ Saskatchewan, Sch Environm &amp; Sustainabil, Saskatoon, SK S7N 5B3, Canada; [Abakumov, Evgeny] All Russia Res Inst Agr Microbiol ARRIAM, St Petersburg 196608, Russia; [Polyakov, Vyacheslav] Arctic &amp; Antarctic Res Inst, St Petersburg 199397, Russia; [Polyakov, Vyacheslav] St Petersburg State Agr Univ, Dept Soil Sci &amp; Agrochem, St Petersburg 19660, Russia; [Xie, Xianchuan] Nanjing Univ, Sch Environm, State Key Lab Pollut Control &amp; Resource Reuse, Nanjing 210093, Peoples R China</t>
  </si>
  <si>
    <t>Nanchang University; Saint Petersburg State University; University of Saskatchewan; Arctic &amp; Antarctic Research Institute; Nanjing University</t>
  </si>
  <si>
    <t>Xie, XC (corresponding author), Nanchang Univ, Sch Resources Environm &amp; Chem Engn, Key Lab Poyang Lake Environm &amp; Resource Utilizat, Minist Educ, Nanchang 330031, Jiangxi, Peoples R China.;Xie, XC (corresponding author), Nanjing Univ, Sch Environm, State Key Lab Pollut Control &amp; Resource Reuse, Nanjing 210093, Peoples R China.</t>
  </si>
  <si>
    <t>xchxie@nju.edu.com</t>
  </si>
  <si>
    <t>Abakumov, Evgeny/AAO-8580-2020; Xie, Xianchuan/AAK-2934-2020; Abakumov, e_abakumov@mail.ru/ADJ-1297-2022; Polyakov, Vyacheslav/H-5483-2016</t>
  </si>
  <si>
    <t>Abakumov, Evgeny/0000-0002-5248-9018; Abakumov, e_abakumov@mail.ru/0000-0002-5248-9018; Ji, Xiaowen/0000-0002-0507-7520; Polyakov, Vyacheslav/0000-0001-6171-3221; xie, xianchuan/0000-0002-0664-7193</t>
  </si>
  <si>
    <t>Russian Foundation for Basic Research [16-34-60,010, 19-416-890002, 19-05-50,107]; National Natural Science Foundation of China [52070094]; Saint-Petersburg State University Urbanized ecosystems of the Russian Arctic: dynamics; state and sustainable development [39377455]</t>
  </si>
  <si>
    <t>Russian Foundation for Basic Research(Russian Foundation for Basic Research (RFBR)Spanish Government); National Natural Science Foundation of China(National Natural Science Foundation of China (NSFC)); Saint-Petersburg State University Urbanized ecosystems of the Russian Arctic: dynamics; state and sustainable development</t>
  </si>
  <si>
    <t>The authors are grateful to the editor and three anonymous reviewers for taking their valuable time to review our manuscript and provide helpful comments that greatly contributed to the improvement of this manuscript. This work was supported by a grant from the Russian Foundation for Basic Research (16-34-60,010, 19-416-890002, and 19-05-50,107); by the National Natural Science Foundation of China (52070094); and by a grant from Saint-Petersburg State University Urbanized ecosystems of the Russian Arctic: dynamics; state and sustainable development (Grant no. 39377455). The authors would like to thank Miss Yu Su from the School of Visual Arts at BFA Computer Art for helping with data visualization, and Miss Ekaterina Kuznetsova from the School of Journalism and Communication, Tsinghua University for helping with the Russian translation.</t>
  </si>
  <si>
    <t>0043-1397</t>
  </si>
  <si>
    <t>1944-7973</t>
  </si>
  <si>
    <t>WATER RESOUR RES</t>
  </si>
  <si>
    <t>Water Resour. Res.</t>
  </si>
  <si>
    <t>e2020WR028269</t>
  </si>
  <si>
    <t>10.1029/2020WR028269</t>
  </si>
  <si>
    <t>Environmental Sciences; Limnology; Water Resources</t>
  </si>
  <si>
    <t>QH0XN</t>
  </si>
  <si>
    <t>WOS:000618001100025</t>
  </si>
  <si>
    <t>Dirscherl, M; Dietz, AJ; Kneisel, C; Kuenzer, C</t>
  </si>
  <si>
    <t>Dirscherl, Mariel; Dietz, Andreas J.; Kneisel, Christof; Kuenzer, Claudia</t>
  </si>
  <si>
    <t>A Novel Method for Automated Supraglacial Lake Mapping in Antarctica Using Sentinel-1 SAR Imagery and Deep Learning</t>
  </si>
  <si>
    <t>REMOTE SENSING</t>
  </si>
  <si>
    <t>Antarctica; Antarctic ice sheet; supraglacial lakes; ice sheet hydrology; Sentinel-1; remote sensing; machine learning; deep learning; semantic segmentation; convolutional neural network</t>
  </si>
  <si>
    <t>GREENLAND ICE-SHEET; MASS-BALANCE; SEASONAL EVOLUTION; SURFACE MELT; SEGMENTATION; ACCELERATION; AGREEMENT; MELTWATER; DRAINAGE; FRACTURE</t>
  </si>
  <si>
    <t>Supraglacial meltwater accumulation on ice sheets can be a main driver for accelerated ice discharge, mass loss, and global sea-level-rise. With further increasing surface air temperatures, meltwater-induced hydrofracturing, basal sliding, or surface thinning will cumulate and most likely trigger unprecedented ice mass loss on the Greenland and Antarctic ice sheets. While the Greenland surface hydrological network as well as its impacts on ice dynamics and mass balance has been studied in much detail, Antarctic supraglacial lakes remain understudied with a circum-Antarctic record of their spatio-temporal development entirely lacking. This study provides the first automated supraglacial lake extent mapping method using Sentinel-1 synthetic aperture radar (SAR) imagery over Antarctica and complements the developed optical Sentinel-2 supraglacial lake detection algorithm presented in our companion paper. In detail, we propose the use of a modified U-Net for semantic segmentation of supraglacial lakes in single-polarized Sentinel-1 imagery. The convolutional neural network (CNN) is implemented with residual connections for optimized performance as well as an Atrous Spatial Pyramid Pooling (ASPP) module for multiscale feature extraction. The algorithm is trained on 21,200 Sentinel-1 image patches and evaluated in ten spatially or temporally independent test acquisitions. In addition, George VI Ice Shelf is analyzed for intra-annual lake dynamics throughout austral summer 2019/2020 and a decision-level fused Sentinel-1 and Sentinel-2 maximum lake extent mapping product is presented for January 2020 revealing a more complete supraglacial lake coverage (similar to 770 km(2)) than the individual single-sensor products. Classification results confirm the reliability of the proposed workflow with an average Kappa coefficient of 0.925 and a F1-score of 93.0% for the supraglacial water class across all test regions. Furthermore, the algorithm is applied in an additional test region covering supraglacial lakes on the Greenland ice sheet which further highlights the potential for spatio-temporal transferability. Future work involves the integration of more training data as well as intra-annual analyses of supraglacial lake occurrence across the whole continent and with focus on supraglacial lake development throughout a summer melt season and into Antarctic winter.</t>
  </si>
  <si>
    <t>[Dirscherl, Mariel; Dietz, Andreas J.; Kuenzer, Claudia] German Aerosp Ctr DLR, German Remote Sensing Data Ctr DFD, Muenchener Str 20, D-82234 Wessling, Germany; [Kneisel, Christof; Kuenzer, Claudia] Univ Wurzburg, Inst Geog &amp; Geol, D-97074 Wurzburg, Germany</t>
  </si>
  <si>
    <t>Helmholtz Association; German Aerospace Centre (DLR); University of Wurzburg</t>
  </si>
  <si>
    <t>Dirscherl, M (corresponding author), German Aerosp Ctr DLR, German Remote Sensing Data Ctr DFD, Muenchener Str 20, D-82234 Wessling, Germany.</t>
  </si>
  <si>
    <t>Mariel.Dirscherl@dlr.de; Andreas.Dietz@dlr.de; kneisel@uni-wuerzburg.de; Claudia.Kuenzer@dlr.de</t>
  </si>
  <si>
    <t>Dietz, Andreas/0000-0002-5733-7136; Dirscherl, Mariel/0000-0002-3324-7646</t>
  </si>
  <si>
    <t>MDPI</t>
  </si>
  <si>
    <t>ST ALBAN-ANLAGE 66, CH-4052 BASEL, SWITZERLAND</t>
  </si>
  <si>
    <t>2072-4292</t>
  </si>
  <si>
    <t>REMOTE SENS-BASEL</t>
  </si>
  <si>
    <t>Remote Sens.</t>
  </si>
  <si>
    <t>10.3390/rs13020197</t>
  </si>
  <si>
    <t>Environmental Sciences; Geosciences, Multidisciplinary; Remote Sensing; Imaging Science &amp; Photographic Technology</t>
  </si>
  <si>
    <t>Environmental Sciences &amp; Ecology; Geology; Remote Sensing; Imaging Science &amp; Photographic Technology</t>
  </si>
  <si>
    <t>PX7UU</t>
  </si>
  <si>
    <t>WOS:000611560300001</t>
  </si>
  <si>
    <t>Calleja, JF; Muñiz, R; Fernández, S; Corbea-Pérez, A; Peón, J; Otero, J; Navarro, F</t>
  </si>
  <si>
    <t>Calleja, Javier F.; Muniz, Ruben; Fernandez, Susana; Corbea-Perez, Alejandro; Peon, Juanjo; Otero, Jaime; Navarro, Francisco</t>
  </si>
  <si>
    <t>Snow Albedo Seasonal Decay and Its Relation With Shortwave Radiation, Surface Temperature and Topography Over an Antarctic ICE Cap</t>
  </si>
  <si>
    <t>Snow; Temperature measurement; Surface topography; MODIS; Ice; Antarctica; Temperature sensors; Antarctica; digital terrain model; remote sensing; shortwave radiation; snow albedo; snow metamorphism; temperature</t>
  </si>
  <si>
    <t>LIVINGSTON ISLAND; MODEL; PENINSULA; GLACIERS; HURD</t>
  </si>
  <si>
    <t>We have characterized the snow albedo decay over Hurd Peninsula, Livingston Island, Antarctica, for the period 2000-2016. The snow albedo was obtained from the MOD10A1 product of the spaceborne MODIS sensor. A low-pass filter is applied to the data in order to eliminate short-term variations and retain the seasonal variation of albedo. The seasonal albedo was fitted to an exponential decay function to obtain the decay rate, the duration and the starting date of the decay. On average, albedo decay starts in late September and lasts for 96 +/- 20 days. Snow melting lags behind snow albedo decay. This lag is due, on the one hand, to the occurrence of dry-snow metamorphism and sublimation in the early stages of the decay, and on the other hand to persisting subsurface melting after the completion of the metamorphic processes at the surface. The albedo decay is mainly driven by the shortwave incident radiation, with air and near-surface temperatures unexpectedly playing a minor role. Near-surface-temperature controls the importance of the local topography in the albedo decay. Topography only determines the albedo decay when the snow cover is not homogeneous over the study area.</t>
  </si>
  <si>
    <t>[Calleja, Javier F.] Univ Oviedo, Remote Sensing Applicat Res Grp, Dept Phys, Oviedo 33007, Spain; [Muniz, Ruben] Univ Oviedo, Dept Comp Sci, Gijon 33271, Spain; [Fernandez, Susana] Univ Oviedo, Inst Ciencias &amp; Tecnol Espaciales Asturias, Dept Geol, Oviedo 33005, Spain; [Corbea-Perez, Alejandro] Univ Oviedo, Dept Min Exploitat &amp; Prospecting, Remote Sensing Applicat Res Grp, Oviedo 33007, Spain; [Peon, Juanjo] Univ Oviedo, Inst Ciencias &amp; Tecnol Espaciales Asturias, Oviedo 33005, Spain; [Otero, Jaime; Navarro, Francisco] Univ Politecn Madrid, Dept Appl Math, Madrid 28040, Spain</t>
  </si>
  <si>
    <t>University of Oviedo; University of Oviedo; University of Oviedo; University of Oviedo; University of Oviedo; Universidad Politecnica de Madrid</t>
  </si>
  <si>
    <t>Calleja, JF (corresponding author), Univ Oviedo, Remote Sensing Applicat Res Grp, Dept Phys, Oviedo 33007, Spain.</t>
  </si>
  <si>
    <t>jfcalleja@uniovi.es; rubenms@uniovi.es; fernandezmsusana@uniovi.es; corbeaalejandro@uniovi.es; peonjuan@uniovi.es; jaime.otero@upm.es; francisco.navarro@upm.es</t>
  </si>
  <si>
    <t>Peón, Juanjo/K-1637-2014; Otero, Jaime/L-6521-2014; Calleja, Javier/K-8230-2014; Navarro, Francisco/L-2941-2014; Pérez, Alejandro I Corbea/I-4944-2018; Fernandez, Susana/IUQ-3116-2023; Muñiz, Rubén/O-5548-2018; Fernandez, Susana/K-7969-2014</t>
  </si>
  <si>
    <t>Peón, Juanjo/0000-0001-7551-2236; Otero, Jaime/0000-0002-3518-7763; Calleja, Javier/0000-0003-0536-9934; Navarro, Francisco/0000-0002-5147-0067; Muñiz, Rubén/0000-0002-0323-6102; Fernandez, Susana/0000-0001-8267-0371</t>
  </si>
  <si>
    <t>Spanish Ministry of Science, Innovation and Universities [CTM2014-52021-R, CTM2017-84441-R]; Severo Ochoa from the Government of the Principality of Asturias [BP17-151]</t>
  </si>
  <si>
    <t>Spanish Ministry of Science, Innovation and Universities(Spanish Government); Severo Ochoa from the Government of the Principality of Asturias</t>
  </si>
  <si>
    <t>This work was supported in part by the Spanish Ministry of Science, Innovation and Universities under Grant CTM2014-52021-R and Grant CTM2017-84441-R. The work of Alejandro Corbea-Perez was supported by the Ph.D. under Grant: Severo Ochoa from the Government of the Principality of Asturias [BP17-151].</t>
  </si>
  <si>
    <t>10.1109/JSTARS.2021.3051731</t>
  </si>
  <si>
    <t>QG1UD</t>
  </si>
  <si>
    <t>WOS:000617374800001</t>
  </si>
  <si>
    <t>Kuwabara, T; Naruiwa, N; Kawabe, T; Kato, N; Sasaki, A; Ikeda, A; Otani, S; Imura, S; Watanabe, K; Ohno, G</t>
  </si>
  <si>
    <t>Kuwabara, Tomoko; Naruiwa, Nobuo; Kawabe, Tetsuya; Kato, Nanako; Sasaki, Asako; Ikeda, Atsushi; Otani, Shinji; Imura, Satoshi; Watanabe, Kentaro; Ohno, Giichiro</t>
  </si>
  <si>
    <t>Human change and adaptation in Antarctica: Psychological research on Antarctic wintering-over at Syowa station</t>
  </si>
  <si>
    <t>Antarctic Psychiatry Research; mental health in Antarctica; antarctic medicine; extreme medicine; mental health under isolation</t>
  </si>
  <si>
    <t>An Antarctic wintering-over station is a unique environment, as a small isolated society facing extreme survival margins. Psychological surveys have been done over ten years, including the Baum test, the Positive and Negative Affect Schedule (PANAS), the Coping Orientation to Problems Experienced (COPE), Subjective Health Complaints Inventory (SHC), the Two-Sided Personality Scale (TSPS) and medical consultations in Syowa Station, a Japanese Antarctic station to reveal the mental status of team members. Team members experienced fewer physical health risks in Antarctica than in Japan. Wintering-over team members reinterpreted situations positively and accepted their environment, sought instrumental social support, planned ahead, and used active coping skills and humour to overcome difficulties. They did not act out emotionally or deny problems. Individuals exhibited two types of coping, either stability through maintaining a previous lifestyle or flexible adjustment to a new way of life. Positive affect remained constant during the wintering-over period. In living through a harsh reality, team members drew support from the subjective feelings of an internal relationship with home or family in their minds. Thus, an Antarctic wintering-over station is an ideal isolated environment for psychological surveys, which can help understand future space travel and group managements in everyday societies.</t>
  </si>
  <si>
    <t>[Kuwabara, Tomoko] Kyoto Univ, Grad Sch Educ, Kyoto, Japan; [Kuwabara, Tomoko] Open Univ Japan, Fac Liberal Arts, Chiba, Japan; [Naruiwa, Nobuo] Kyoto Koka Womens Univ, Fac Hlth Sci, Dept Psychol, Kyoto, Japan; [Kawabe, Tetsuya] Osaka Prefecture Univ, Grad Sch Humanities &amp; Sustainable Syst Sci, Sakai, Osaka, Japan; [Kato, Nanako] Nara Womens Univ, Fac Human Life &amp; Environm, Dept Hlth Sci, Nara, Japan; [Sasaki, Asako] Ritsumeikan Univ, Student Support Room, Dept Student Affairs, Kyoto, Japan; [Ikeda, Atsushi] Univ Tsukuba Hosp, Dept Urol, Tsukuba, Ibaraki, Japan; [Otani, Shinji] Tottori Univ, Int Platform Dryland Res &amp; Educ, Tottori, Japan; [Imura, Satoshi; Watanabe, Kentaro] Natl Inst Polar Res, Tokyo, Japan; [Ohno, Giichiro] Tokatsu Hosp, Dept Surg, Chiba, Japan</t>
  </si>
  <si>
    <t>Kyoto University; Osaka Metropolitan University; Nara Womens University; Ritsumeikan University; University of Tsukuba; Tottori University; Research Organization of Information &amp; Systems (ROIS); National Institute of Polar Research (NIPR) - Japan</t>
  </si>
  <si>
    <t>Kuwabara, T (corresponding author), Open Univ Japan, Fac Liberal Arts, Mihama Ku, 2-11 Wakaba, Chiba 2618586, Japan.</t>
  </si>
  <si>
    <t>kuwabara.tomoko.48c@st.kyoto-u.ac.jp</t>
  </si>
  <si>
    <t>Ikeda, Atsushi/AAP-8056-2020; Otani, Shinji/B-8273-2019</t>
  </si>
  <si>
    <t>Ikeda, Atsushi/0000-0003-0934-5470; Watanabe, Kentaro/0000-0002-5177-0086; Imura, Satoshi/0000-0002-6803-6996; Otani, Shinji/0000-0002-3024-3578</t>
  </si>
  <si>
    <t>National Institute of Polar Research [KZ-32]; Global COE (Centers of Excellence] Program; JSPS KAKENHI [JP24653202, JP15K13119]</t>
  </si>
  <si>
    <t>National Institute of Polar Research(National Institute of Polar Research (NIPR) - Japan); Global COE (Centers of Excellence] Program(Ministry of Education, Culture, Sports, Science and Technology, Japan (MEXT)); JSPS KAKENHI(Ministry of Education, Culture, Sports, Science and Technology, Japan (MEXT)Japan Society for the Promotion of ScienceGrants-in-Aid for Scientific Research (KAKENHI))</t>
  </si>
  <si>
    <t>This work was supported by the National Institute of Polar Research [KZ-32, FY2007]; the Global COE (Centers of Excellence] Program and JSPS KAKENHI [JP24653202 and JP15K13119].</t>
  </si>
  <si>
    <t>10.1080/22423982.2021.1886704</t>
  </si>
  <si>
    <t>QK4UC</t>
  </si>
  <si>
    <t>WOS:000620381100001</t>
  </si>
  <si>
    <t>Przybylak, R; Svyashchennikov, PN; Uscka-Kowalkowska, J; Wyszynski, P</t>
  </si>
  <si>
    <t>Przybylak, Rajmund; Svyashchennikov, P. N.; Uscka-Kowalkowska, J.; Wyszynski, P.</t>
  </si>
  <si>
    <t>Solar Radiation in the Arctic during the Early Twentieth-Century Warming (1921-50): Presenting a Compilation of Newly Available Data</t>
  </si>
  <si>
    <t>JOURNAL OF CLIMATE</t>
  </si>
  <si>
    <t>Arctic; Shortwave radiation; Surface observations; Climate variability; Interannual variability; History</t>
  </si>
  <si>
    <t>IRRADIANCE</t>
  </si>
  <si>
    <t>The early twentieth-century warming (ETCW), defined as occurring within the period 1921-50, saw a clear increase in actinometric observations in the Arctic. Nevertheless, information on radiation balance and its components at that time is still very limited in availability, and therefore large discrepancies exist among estimates of total solar irradiance forcing. To eliminate these uncertainties, all available solar radiation data for the Arctic need to be collected and processed. Better knowledge about incoming solar radiation (direct, diffuse, and global) should allow for more reliable estimation of the magnitude of total solar irradiance forcing, which can help, in turn, to more precisely and correctly explain the reasons for the ETCW in the Arctic. The paper summarizes our research into the availability of solar radiation data for the Arctic. An important part of this work is its detailed inventory of data series (including metadata) for the period before the mid-twentieth century. Based on the most reliable data series, general solar conditions in the Arctic during the ETCW are described. The character of solar radiation changes between the ETCW and present times, in particular after 2000, is also analyzed. Average annual global solar radiation in the Russian Arctic dulling the ETCW was slightly greater than in the period 1964-90 (by about 1-2 W.m(2)) and was markedly greater than in the period 2001-19 (by about 16 W.m(-2)). Our results also reveal that in the period 1920-2019 three phases of solar radiation changes can be distinguished: a brightening phase (1921-50), a stabilization phase (1951-93), and a dimming phase (after 2000).</t>
  </si>
  <si>
    <t>[Przybylak, Rajmund; Uscka-Kowalkowska, J.; Wyszynski, P.] Nicolaus Copernicus Univ, Dept Meteorol &amp; Climatol, Fac Earth Sci &amp; Spatial Management, Torun, Poland; [Przybylak, Rajmund; Wyszynski, P.] Nicolaus Copernicus Univ, Ctr Climate Change Res, Torun, Poland; [Svyashchennikov, P. N.] St Petersburg State Univ, Climatol &amp; Environm Monitoring Dept, St Petersburg, Russia; [Svyashchennikov, P. N.] St Petersburg State Univ, Arctic &amp; Antarctic Res Inst, St Petersburg, Russia</t>
  </si>
  <si>
    <t>Nicolaus Copernicus University; Nicolaus Copernicus University; Saint Petersburg State University; Arctic &amp; Antarctic Research Institute; Saint Petersburg State University</t>
  </si>
  <si>
    <t>Wyszynski, P (corresponding author), Nicolaus Copernicus Univ, Dept Meteorol &amp; Climatol, Fac Earth Sci &amp; Spatial Management, Torun, Poland.;Wyszynski, P (corresponding author), Nicolaus Copernicus Univ, Ctr Climate Change Res, Torun, Poland.</t>
  </si>
  <si>
    <t>przemyslaw.wyszynski@umk.pl</t>
  </si>
  <si>
    <t>Przybylak, Rajmund/H-7961-2014</t>
  </si>
  <si>
    <t>Przybylak, Rajmund/0000-0003-4101-6116</t>
  </si>
  <si>
    <t>National Science Centre, Poland [2015/19/B/ST10/02933]; Research University-Initiative of Excellence: The Emerging Field Global Environmental Changes,'' Climate Change Research Unit at Nicolaus Copernicus University in Torun</t>
  </si>
  <si>
    <t>National Science Centre, Poland(National Science Centre, Poland); Research University-Initiative of Excellence: The Emerging Field Global Environmental Changes,'' Climate Change Research Unit at Nicolaus Copernicus University in Torun</t>
  </si>
  <si>
    <t>The study was carried out as a part of the scientific project titled ``Causes of the early 20th century Arctic warming,'' funded by the National Science Centre, Poland (Grant 2015/19/B/ST10/02933), and the Research University-Initiative of Excellence: The Emerging Field ``Global Environmental Changes,'' Climate Change Research Unit at Nicolaus Copernicus University in Toru~n. Doctors E. N. Rusina and V. F. Radionov are gratefully acknowledged for providing monthly totals of solar radiation data for Ostrov Dikson and Mys Chelyuskin for the period 2001-19. We also thank Professor Stephen Warren and one anonymous reviewer for constructive comments that significantly helped in improving our article. The study was designed by author Przybylak. Data collection was done by Przybylak and authors Svyashchennikov andWyszy~nski. Literature review was conducted by Przybylak, Svyashchennikov, andWyszy~nski. Statistical analysis (including plots of figures) was done by author UsckaKowalkowska and Wyszy~nski. Interpretation of results was done by Przybylak, Uscka-Kowalkowska, and Svyashchennikov. Preparation of the paper was done by Przybylak with contributions from all coauthors. The authors declare that they have no conflicts of interest.</t>
  </si>
  <si>
    <t>0894-8755</t>
  </si>
  <si>
    <t>1520-0442</t>
  </si>
  <si>
    <t>J CLIMATE</t>
  </si>
  <si>
    <t>J. Clim.</t>
  </si>
  <si>
    <t>10.1175/JCLI-D-20-0257.1</t>
  </si>
  <si>
    <t>QD4IU</t>
  </si>
  <si>
    <t>WOS:000615484800002</t>
  </si>
  <si>
    <t>Lou, JL; O'Kane, TJ; Holbrook, NJ</t>
  </si>
  <si>
    <t>Lou, Jiale; O'Kane, Terence J.; Holbrook, Neil J.</t>
  </si>
  <si>
    <t>A Linear Inverse Model of Tropical and South Pacific Climate Variability: Optimal Structure and Stochastic Forcing</t>
  </si>
  <si>
    <t>Climate variability; Inverse methods; Forecasting; ENSO; Oscillations; Pacific decadal oscillation</t>
  </si>
  <si>
    <t>A stochastically forced linear inverse model (LIM) of the combined modes of variability from the tropical and South Pacific Oceans is used to investigate the linear growth of optimal initial perturbations and to identify the spatiotemporal features of the stochastic forcing associated with the atmospheric Pacific-South American patterns 1 and 2 (PSA1 and PSA2). Optimal initial perturbations are shown to project onto El Nino-Southern Oscillation (ENSO) and South Pacific decadal oscillation (SPDO), where the inclusion of subsurface South Pacific Ocean temperature variability significantly increases the multiyear linear predictability of the deterministic system. We show that the optimal extratropical sea surface temperature (SST) precursor is associated with the South Pacific meridional mode, which takes from 7 to 9 months to linearly evolve into the final ENSO and SPDO peaks in both the observations and as simulated in an atmosphere-forced ocean model. The optimal subsurface precursor resembles its peak phase, but with a weak amplitude, representing oceanic Rossby waves in the extratropical South Pacific. The stochastic forcing is estimated as the residual by removing the deterministic dynamics from the actual tendency under a centered difference approximation. The resulting stochastic forcing time series satisfies the Gaussian white noise assumption of the LIM. We show that the PSA-like variability is strongly associated with stochastic SST forcing in the tropical and South Pacific Oceans and contributes not only to excite the optimal initial perturbations associated with ENSO and the SPDO but in general to activate the entire stochastic SST forcing, especially in austral summer.</t>
  </si>
  <si>
    <t>[Lou, Jiale; Holbrook, Neil J.] Univ Tasmania, Inst Marine &amp; Antarctic Studies, Hobart, Tas, Australia; [Lou, Jiale] Univ Tasmania, ARC Ctr Excellence Climate Syst Sci, Hobart, Tas, Australia; [O'Kane, Terence J.] CSIRO Oceans &amp; Atmosphere, Hobart, Tas, Australia; [O'Kane, Terence J.; Holbrook, Neil J.] Univ Tasmania, ARC Ctr Excellence Climate Extremes, Hobart, Tas, Australia</t>
  </si>
  <si>
    <t>University of Tasmania; ARC Centre of Excellence for Climate System Science; University of Tasmania; Commonwealth Scientific &amp; Industrial Research Organisation (CSIRO); University of Tasmania</t>
  </si>
  <si>
    <t>Lou, JL (corresponding author), Univ Tasmania, Inst Marine &amp; Antarctic Studies, Hobart, Tas, Australia.;Lou, JL (corresponding author), Univ Tasmania, ARC Ctr Excellence Climate Syst Sci, Hobart, Tas, Australia.</t>
  </si>
  <si>
    <t>jiale.lou@utas.edu.au</t>
  </si>
  <si>
    <t>O'Kane, Terence J/B-1655-2009; O'Kane, Terence/AAV-1123-2021; Holbrook, Neil/M-7544-2013</t>
  </si>
  <si>
    <t>O'Kane, Terence J/0000-0002-2137-5915; O'Kane, Terence/0000-0002-2137-5915; Holbrook, Neil/0000-0002-3523-6254; Lou, Jiale/0000-0002-4014-5242</t>
  </si>
  <si>
    <t>ARCCentre ofExcellence for Climate SystemScience [CE110001028]; CSIRO-UTAS Quantitative Marine Science top-up scholarship; Australian Commonwealth Scientific Research Organisation (CSIRO) Postgraduate scheme; CSIRO Decadal Climate Forecasting Project; ARC Centre of Excellence for Climate Extremes [CE170100023]; Australian Government National Environmental Science Programme Earth Systems and Climate Change Hub (NESP ESCC); University of Tasmania tuition fee scholarship</t>
  </si>
  <si>
    <t>ARCCentre ofExcellence for Climate SystemScience(Australian Research Council); CSIRO-UTAS Quantitative Marine Science top-up scholarship; Australian Commonwealth Scientific Research Organisation (CSIRO) Postgraduate scheme; CSIRO Decadal Climate Forecasting Project; ARC Centre of Excellence for Climate Extremes; Australian Government National Environmental Science Programme Earth Systems and Climate Change Hub (NESP ESCC); University of Tasmania tuition fee scholarship</t>
  </si>
  <si>
    <t>JL is grateful for a Ph.D. scholarship provided by theARCCentre ofExcellence for Climate SystemScience (CE110001028), a University of Tasmania tuition fee scholarship, and a CSIRO-UTAS Quantitative Marine Science top-up scholarship [including support from the Australian Commonwealth Scientific Research Organisation (CSIRO) Postgraduate scheme]. TJO was supported by the CSIRO Decadal Climate Forecasting Project (https://research.csiro.au/dfp).NJH gratefully acknowledges funding support from the ARC Centre of Excellence for Climate Extremes (CE170100023) and Australian Government National Environmental Science Programme Earth Systems and Climate Change Hub (NESP ESCC).</t>
  </si>
  <si>
    <t>10.1175/JCLI-D-19-0964.1</t>
  </si>
  <si>
    <t>WOS:000615484800009</t>
  </si>
  <si>
    <t>Hobbs, WR; Roach, C; Roy, T; Sallée, JB; Bindoff, N</t>
  </si>
  <si>
    <t>Hobbs, William R.; Roach, Christopher; Roy, Tilla; Sallee, Jean-Baptiste; Bindoff, Nathaniel</t>
  </si>
  <si>
    <t>Anthropogenic Temperature and Salinity Changes in the Southern Ocean</t>
  </si>
  <si>
    <t>Ocean; Southern Ocean; Climate change; Coupled models; Model comparison</t>
  </si>
  <si>
    <t>In this study, we compare observed Southern Ocean temperature and salinity changes with the historical simulations from 13 models from phase 5 of the Coupled Model Intercomparison Project (CMIP5), using an optimal fingerprinting framework. We show that there is an unequivocal greenhouse gas-forced warming in the Southern Ocean. This warming is strongest in the Subantarctic Mode Waters but is also detectable in denser water masses, which has not been shown in previous studies. We also find greenhouse gas-forced salinity changes, most notably a freshening of Antarctic Intermediate Waters. Our analysis also shows that non-greenhouse gas anthropogenic forcings-anthropogenic aerosols and stratospheric ozone depletion-have played an important role in mitigating the Southern Ocean's warming. However, the detestability of these responses using optimal fingerprinting is model dependent, and this result is therefore not as robust as for the greenhouse gas response.</t>
  </si>
  <si>
    <t>[Hobbs, William R.; Bindoff, Nathaniel] Univ Tasmania, Inst Marine &amp; Antarctic Studies, Australian Antarctic Program Partnership, Hobart, Tas, Australia; [Hobbs, William R.; Bindoff, Nathaniel] Univ Tasmania, ARC Ctr Excellence Climate Extremes, Inst Marine &amp; Antarctic Studies, Hobart, Tas, Australia; [Roach, Christopher; Sallee, Jean-Baptiste] Sorbonne Univ, LOCEAN IPSL Inst, CNRS, Paris, France; [Roy, Tilla] Ecole Normale Super, Dept Geosci, Paris, France; [Roy, Tilla] ECOCEANA, Paris, France; [Bindoff, Nathaniel] Univ Tasmania, Inst Marine &amp; Antarctic Studies, Hobart, Tas, Australia; [Bindoff, Nathaniel] CSIRO Oceans &amp; Atmospheres, Hobart, Tas, Australia</t>
  </si>
  <si>
    <t>University of Tasmania; University of Tasmania; Centre National de la Recherche Scientifique (CNRS); Sorbonne Universite; Universite PSL; Ecole Normale Superieure (ENS); University of Tasmania; Commonwealth Scientific &amp; Industrial Research Organisation (CSIRO)</t>
  </si>
  <si>
    <t>Hobbs, WR (corresponding author), Univ Tasmania, Inst Marine &amp; Antarctic Studies, Australian Antarctic Program Partnership, Hobart, Tas, Australia.;Hobbs, WR (corresponding author), Univ Tasmania, ARC Ctr Excellence Climate Extremes, Inst Marine &amp; Antarctic Studies, Hobart, Tas, Australia.</t>
  </si>
  <si>
    <t>whobbs@utas.edu.au</t>
  </si>
  <si>
    <t>SALLEE, Jean baptiste/HDO-5355-2022; Bindoff, Nathaniel Lee/IVV-0333-2023; Bindoff, Nathaniel Lee/C-8050-2011; Hobbs, Will/G-5116-2014</t>
  </si>
  <si>
    <t>Bindoff, Nathaniel Lee/0000-0001-5662-9519; Bindoff, Nathaniel Lee/0000-0001-5662-9519; Hobbs, Will/0000-0002-2061-0899</t>
  </si>
  <si>
    <t>Australian Research Council Antarctic Gateway Partnership; Antarctic Climate and Ecosystems Cooperative Research Centre; Australian Government's Antarctic Science Collaboration Initiative Program [ASCI000002]; Australian Government; Natural Environment Science Program through its Earth System Science and Climate Change Hub</t>
  </si>
  <si>
    <t>Australian Research Council Antarctic Gateway Partnership(Australian Research Council); Antarctic Climate and Ecosystems Cooperative Research Centre(Australian GovernmentDepartment of Industry, Innovation and ScienceCooperative Research Centres (CRC) Programme); Australian Government's Antarctic Science Collaboration Initiative Program; Australian Government(Australian Government); Natural Environment Science Program through its Earth System Science and Climate Change Hub</t>
  </si>
  <si>
    <t>The authors extend their gratitude to the two anonymous reviewers, whose constructive suggestions have improved this paper. WRH was supported in this work by the Australian Research Council Antarctic Gateway Partnership and bothWRHand NLB by the Antarctic Climate and Ecosystems Cooperative Research Centre, and the Australian Government's Antarctic Science Collaboration Initiative Program(ASCI000002). Data analysis and visualization was performed usingNCL (https://doi.org/10.5065/D6WD3XH5), and was undertaken with the assistance of resources and services from the National Computational Infrastructure (NCI), which is supported by the Australian Government. The authors acknowledge the World Climate Research Programme's Working Group on Coupled Modelling, which is responsible forCMIP, and we thank the climate modelling groups (listed in Table 1) for producing and making available their model output. Funding for Australia's contribution to CMIP5 came from the Natural Environment Science Program through its Earth System Science and Climate Change Hub, which also supported NLB's participation in this research.</t>
  </si>
  <si>
    <t>10.1175/JCLI-D-20-0454.1</t>
  </si>
  <si>
    <t>Bronze, Green Submitted, Green Published</t>
  </si>
  <si>
    <t>WOS:000615484800013</t>
  </si>
  <si>
    <t>Bublyk, O; Parnikoza, I; Kunakh, V</t>
  </si>
  <si>
    <t>Bublyk, O.; Parnikoza, I.; Kunakh, V.</t>
  </si>
  <si>
    <t>Assessing the Levels of Polymorphism and Differentiation in Iris pumila L. Populations Using Three Types of PCR Markers</t>
  </si>
  <si>
    <t>CYTOLOGY AND GENETICS</t>
  </si>
  <si>
    <t>Iris pumila L; rare species; PCR analysis; genetic polymorphism; genetic structure of populations</t>
  </si>
  <si>
    <t>GENETIC DIVERSITY; MOLECULAR MARKERS; CONSERVATION; ADAPTATION; SELECTION</t>
  </si>
  <si>
    <t>The genetic polymorphism of Iris pumila L., a rare ornamental species involved in hybridization, was studied by PCR analysis using three types of primers: those based on microsatellite sequences (ISSR), MGE sequences (IRAP and iPBS), and abiotic stress response genes (LP-PCR). High levels of intraspecific and intrapopulation genetic polymorphism were revealed, which were comparable to those in other species of the Iris genus. The main indicators of genetic polymorphism of five I. pumila populations from the territory of Ukraine were the proportion of polymorphic loci (P) of 26.5-68.5%, the Shannon index (S) of 0.105-0.285, and genetic diversity (H-e) of 0.069-0.190. The dependence of the variability level on the population size was direct in the ISSR analysis and inverse according to the other two markers. The direct relationship between genetic and geographic distances between populations was found only using ISSR markers. The highest level of genetic polymorphism was detected by LP-PCR markers, while the population identification of all individual plants was possible only using ISSR markers. The tested system of PCR markers can be used to monitor the state of the gene pool and investigate the genetic structure of populations and migration processes.</t>
  </si>
  <si>
    <t>[Bublyk, O.; Parnikoza, I.; Kunakh, V.] Natl Acad Sci Ukraine, Inst Mol Biol &amp; Genet, UA-03143 Kiev, Ukraine; [Parnikoza, I.] Minist Educ &amp; Sci Ukraine, Natl Antarctic Sci Ctr, UA-01601 Kiev, Ukraine</t>
  </si>
  <si>
    <t>National Academy of Sciences Ukraine; Institute of Molecular Biology &amp; Genetics of NASU; Ministry of Education &amp; Science of Ukraine; State Institution National Antarctic Scientific Center</t>
  </si>
  <si>
    <t>Bublyk, O (corresponding author), Natl Acad Sci Ukraine, Inst Mol Biol &amp; Genet, UA-03143 Kiev, Ukraine.</t>
  </si>
  <si>
    <t>o.m.bublyk@imbg.org.ua; ivan.parnikoza@uac.gov.ua; kunakh@imbg.org</t>
  </si>
  <si>
    <t>Parnikoza, Ivan/I-2398-2016; Kunakh, Viktor A./HKV-4993-2023; Bublyk, Olena/G-7997-2016</t>
  </si>
  <si>
    <t>Bublyk, Olena/0000-0002-9110-0271</t>
  </si>
  <si>
    <t>Targeted Comprehensive Interdisciplinary Research Program of the National Academy of Sciences of Ukraine</t>
  </si>
  <si>
    <t>This work was carried out with the financial support of the Targeted Comprehensive Interdisciplinary Research Program of the National Academy of Sciences of Ukraine Fundamentals of Molecular and Cellular Biotechnology for 2010-2014.</t>
  </si>
  <si>
    <t>0095-4527</t>
  </si>
  <si>
    <t>1934-9440</t>
  </si>
  <si>
    <t>CYTOL GENET+</t>
  </si>
  <si>
    <t>Cytol. Genet.</t>
  </si>
  <si>
    <t>10.3103/S0095452721010047</t>
  </si>
  <si>
    <t>QE6KW</t>
  </si>
  <si>
    <t>WOS:000616315600005</t>
  </si>
  <si>
    <t>Lear, CH; Anand, P; Blenkinsop, T; Foster, GL; Gagen, M; Hoogakker, B; Larter, RD; Lunt, DJ; McCave, IN; McClymont, E; Pancost, RD; Rickaby, REM; Schultz, DM; Summerhayes, C; Williams, CJR; Zalasiewicz, J</t>
  </si>
  <si>
    <t>Lear, Caroline H.; Anand, Pallavi; Blenkinsop, Tom; Foster, Gavin L.; Gagen, Mary; Hoogakker, Babette; Larter, Robert D.; Lunt, Daniel J.; McCave, I. Nicholas; McClymont, Erin; Pancost, Richard D.; Rickaby, Rosalind E. M.; Schultz, David M.; Summerhayes, Colin; Williams, Charles J. R.; Zalasiewicz, Jan</t>
  </si>
  <si>
    <t>Geological Society of London Scientific Statement: what the geological record tells us about our present and future climate</t>
  </si>
  <si>
    <t>ANTARCTIC ICE-SHEET; SEA-LEVEL; ATMOSPHERIC CO2; CARBON-DIOXIDE; POLAR AMPLIFICATION; PLIOCENE WARMTH; DEGREES-C; OCEAN; IMPACT; TEMPERATURE</t>
  </si>
  <si>
    <t>[Lear, Caroline H.; Blenkinsop, Tom] Cardiff Univ, Sch Earth &amp; Environm Sci, Main Bldg,Pk Pl, Cardiff CF10 3AT, Wales; [Anand, Pallavi] Open Univ, Sch Environm Earth &amp; Ecosyst Sci, Walton Hall, Milton Keynes MK7 6AA, Bucks, England; [Foster, Gavin L.] Univ Southampton, Natl Oceanog Ctr Southampton, European Way, Southampton SO14 3ZH, Hants, England; [Gagen, Mary] Swansea Univ, Geog Dept, Swansea SA2 8PP, W Glam, Wales; [Hoogakker, Babette] Heriot Watt Univ, Lyell Ctr, Res Ave South, Edinburgh EH14 4AP, Midlothian, Scotland; [Larter, Robert D.] British Antarctic Survey, Madingley Rd, Cambridge CB3 0ET, England; [Lunt, Daniel J.; Williams, Charles J. R.] Univ Bristol, Sch Geog Sci, Univ Rd, Bristol BS8 1SS, Avon, England; [McCave, I. Nicholas] Univ Cambridge, Dept Earth Sci, Downing St, Cambridge CB2 3EQ, England; [McClymont, Erin] Univ Durham, Dept Geog, South Rd, Durham DH1 3LE, England; [Pancost, Richard D.] Univ Bristol, Sch Earth Sci, Wills Mem Bldg,Queens Rd, Bristol BS8 1RJ, Avon, England; [Rickaby, Rosalind E. M.] Univ Oxford, Dept Earth Sci, South Parks Rd, Oxford OX1 3AN, England; [Schultz, David M.] Univ Manchester, Dept Earth &amp; Environm Sci, Oxford Rd, Manchester M13 9PL, Lancs, England; [Summerhayes, Colin] Univ Cambridge, Scott Polar Res Inst, Lensfield Rd, Cambridge CB2 1ER, England; [Zalasiewicz, Jan] Univ Leicester, Sch Geog Geol &amp; Environm, Univ Rd, Leicester LE1 7RH, Leics, England</t>
  </si>
  <si>
    <t>Cardiff University; Open University - UK; University of Southampton; NERC National Oceanography Centre; Swansea University; Heriot Watt University; UK Research &amp; Innovation (UKRI); Natural Environment Research Council (NERC); NERC British Antarctic Survey; University of Bristol; University of Cambridge; Durham University; University of Bristol; University of Oxford; University of Manchester; University of Cambridge; University of Leicester</t>
  </si>
  <si>
    <t>Lear, CH (corresponding author), Cardiff Univ, Sch Earth &amp; Environm Sci, Main Bldg,Pk Pl, Cardiff CF10 3AT, Wales.</t>
  </si>
  <si>
    <t>Learc@cardiff.ac.uk</t>
  </si>
  <si>
    <t>Foster, Gavin/CAF-4654-2022; Foster, Gavin/W-5968-2019; Lear, Caroline H/D-2582-2009; McClymont, Erin/AAX-3657-2020; McCave, Nick/G-7323-2016; Lunt, Daniel/G-9451-2011</t>
  </si>
  <si>
    <t>Foster, Gavin/0000-0003-3688-9668; McClymont, Erin/0000-0003-1562-8768; Lear, Caroline/0000-0002-7533-4430; McCave, Nick/0000-0002-4702-5489; Hoogakker, Babette/0000-0002-8171-9679; Lunt, Daniel/0000-0003-3585-6928; Williams, Charles/0000-0003-1791-2463; Rickaby, Rosalind/0000-0002-6095-8419; Anand, Pallavi/0000-0002-3159-0096; Pancost, Richard/0000-0003-0298-4026</t>
  </si>
  <si>
    <t>FLF [MR/S034293/1] Funding Source: UKRI; NERC [NE/P019048/1, bas0100030] Funding Source: UKRI</t>
  </si>
  <si>
    <t>FLF; NERC(UK Research &amp; Innovation (UKRI)Natural Environment Research Council (NERC))</t>
  </si>
  <si>
    <t>jgs2020-239</t>
  </si>
  <si>
    <t>10.1144/jgs2020-239</t>
  </si>
  <si>
    <t>PZ9OJ</t>
  </si>
  <si>
    <t>WOS:000613076200024</t>
  </si>
  <si>
    <t>Tian, H; Zhao, YQ; Luo, M; He, QQ; Han, Y; Zeng, ZL</t>
  </si>
  <si>
    <t>Tian, Hao; Zhao, Yongquan; Luo, Ming; He, Qingqing; Han, Yu; Zeng, Zhaoliang</t>
  </si>
  <si>
    <t>Estimating PM2.5 from multisource data: A comparison of different machine learning models in the Pearl River Delta of China</t>
  </si>
  <si>
    <t>URBAN CLIMATE</t>
  </si>
  <si>
    <t>PM2.5; Air pollution; Machine learning; Pearl River Delta; Point of Interest (POI)</t>
  </si>
  <si>
    <t>Air pollution with high concentrations of fine particulate matter (PM2.5) poses severe threats to human health. Accurate estimation of PM2.5 concentrations can timely assist relevant agencies to conduct air pollution treatment and provide essential data sources for epidemiological research related to PM2.5 exposure. Although China has established a network for monitoring ground-level PM2.5 concentrations over the past decades, the limited available records from the sparsely located PM2.5 monitoring sites hinder the fine-resolution research of air pollution. Many studies have been conducted to fill the data gap caused by sparsely distributed monitoring sites, but the accuracy of different models varies greatly. In recent years, machine learning models have become the preferred choices due to their high estimation accuracy. However, the estimation accuracy may differ significantly in different study areas with different models, and there are few studies on model performance evaluation regarding the Pearl River Delta (PRD) region of China. This study evaluated the performance of six machine learning models for estimating PM2.5 concentrations in PRD from August 2014 to December 2019. Moreover, multi-source data were adopted for reliable daily PM2.5 concentration estimation, including meteorology, vegetation, topography, and point of interest (POI). The results show that the tree-structured models (i.e., Random Forest (RF) and Gradient Boosting Regression Tree (GBRT)) generally produce better estimations than other models. Two neural network models (i.e., Back Propagation Neural Network (BPNN) and Elman Neural Network (ENN)) show a similar estimation accuracy. Additionally, the Generalized Additive Model (GAM) generally gives the worst performance, followed by the Support Vector Machines (SVM) model. RF is thus highly recommended based on the estimation accuracy, while GBRT is also a promising model for daily PM2.5 estimation in PRD. Our study provides a reference for selecting an appropriate model for daily PM2.5 concentration estimation in PRD and other regions with climate background.</t>
  </si>
  <si>
    <t>[Tian, Hao; Luo, Ming; Han, Yu] Sun Yat Sen Univ, Sch Geog &amp; Planning, Guangzhou, Peoples R China; [Tian, Hao; Luo, Ming; Han, Yu] Sun Yat Sen Univ, Guangdong Key Lab Urbanizat &amp; Geosimulat, Guangzhou, Peoples R China; [Zhao, Yongquan] Ohio State Univ, Dept Geog, Columbus, OH 43210 USA; [Luo, Ming; He, Qingqing] Chinese Univ Hong Kong, Inst Environm Energy &amp; Sustainabil, Sha Tin, Hong Kong, Peoples R China; [Zeng, Zhaoliang] Wuhan Univ, Chinese Antarctic Ctr Surveying &amp; Mapping, Wuhan, Peoples R China</t>
  </si>
  <si>
    <t>Sun Yat Sen University; Sun Yat Sen University; University System of Ohio; Ohio State University; Chinese University of Hong Kong; Wuhan University</t>
  </si>
  <si>
    <t>Luo, M (corresponding author), Sun Yat Sen Univ, Sch Geog &amp; Planning, Guangzhou, Peoples R China.;Luo, M (corresponding author), Sun Yat Sen Univ, Guangdong Key Lab Urbanizat &amp; Geosimulat, Guangzhou, Peoples R China.;Zhao, YQ (corresponding author), Ohio State Univ, Dept Geog, Columbus, OH 43210 USA.;Luo, M (corresponding author), Chinese Univ Hong Kong, Inst Environm Energy &amp; Sustainabil, Sha Tin, Hong Kong, Peoples R China.</t>
  </si>
  <si>
    <t>yqzhao@link.cuhk.edu.hk; luom38@mail.sysu.edu.cn</t>
  </si>
  <si>
    <t>Luo, Ming/AAE-8527-2021; Luo, Ming/IUQ-1554-2023; Zeng, Zhaoliang/AAV-8359-2021</t>
  </si>
  <si>
    <t>Luo, Ming/0000-0002-5474-3892; Luo, Ming/0000-0002-5474-3892; Zeng, Zhaoliang/0000-0002-9108-8575; Tian, Hao/0009-0003-4564-8185; Zhao, Yongquan/0000-0002-8360-6731</t>
  </si>
  <si>
    <t>National Natural Science Foundation of China [41871029]; National Key R&amp;D Program of China [2019YFC1510400]; Pearl River Talent Recruitment Program of Guangdong Province, China [2017GC010634]</t>
  </si>
  <si>
    <t>National Natural Science Foundation of China(National Natural Science Foundation of China (NSFC)); National Key R&amp;D Program of China; Pearl River Talent Recruitment Program of Guangdong Province, China</t>
  </si>
  <si>
    <t>This study is jointly funded by the National Natural Science Foundation of China (41871029) and the National Key R&amp;D Program of China (2019YFC1510400). The appointment of M. Luo at Sun Yat-sen University is partially supported by the Pearl River Talent Recruitment Program of Guangdong Province, China (2017GC010634).</t>
  </si>
  <si>
    <t>2212-0955</t>
  </si>
  <si>
    <t>URBAN CLIM</t>
  </si>
  <si>
    <t>Urban CLim.</t>
  </si>
  <si>
    <t>10.1016/j.uclim.2020.100740</t>
  </si>
  <si>
    <t>QA7QC</t>
  </si>
  <si>
    <t>WOS:000613634900001</t>
  </si>
  <si>
    <t>Nascimento, TCES; Molino, JVD; Donado, PRS; Montalvo, GSA; dos Santos, WL; Gomes, JEG; Santos, JHPM; da Silva, R; Sette, LD; Pessoa, A; Moreira, KA</t>
  </si>
  <si>
    <t>Nascimento, Talita C. E. S.; Dutra Molino, Joao Vitor; Donado, Priscila R. S.; Montalvo, Gualberto S. A.; dos Santos, Wellington L.; Gomes, Jose Erick G.; Santos, Joao H. P. M.; da Silva, Roberto; Sette, Lara Duraes; Pessoa Junior, Adalberto; Moreira, Keila Aparecida</t>
  </si>
  <si>
    <t>Antarctic fungus proteases generate bioactive peptides from caseinate</t>
  </si>
  <si>
    <t>FOOD RESEARCH INTERNATIONAL</t>
  </si>
  <si>
    <t>Antarctic microorganism; Angiotensin-converting enzyme; Antioxidant peptides; Hydrolysates; Goat milk; Cow milk; Functional food</t>
  </si>
  <si>
    <t>ANGIOTENSIN-CONVERTING ENZYME; INHIBITORY-ACTIVITY; ANTIOXIDANT ACTIVITY; MILK CASEIN; CAPRINE MILK; IDENTIFICATION; PURIFICATION; BOVINE; WHEY; HYDROLYSATE</t>
  </si>
  <si>
    <t>The extracellular serine protease produced by Acremonium sp. L1-4B isolated from the Antarctic continent, was purified and used for the proteolysis of bovine and caprine sodium caseinate. Protein hydrolysates were evaluated in vitro to determine their antioxidant and antihypertensive potential, and later characterized by mass spectrometry. Bovine and caprine hydrolysates produced over 24 h showed a higher content of copper chelation (25.8 and 31.2% respectively), also at this time the ABTS(+center dot) scavenging was 65.2% (bovine sample) and 67.5% (caprine sample), and bovine caseinate hydrolysate (8 h) exhibited higher iron chelation capacity (43.1%). Statistically (p &lt; 0.05), caprine caseinate hydrolysates showed relatively higher antioxidant potential in this study. All hydrolysates showed antihypertensive potential; however peptides released from caprine caseinate after 8 h of hydrolysis were able to inhibit 75% of angiotensin-converting enzyme (ACE) activity. Nano-ESI-Q-TOF-MS/MS analysis prospected a total of 23 different peptide sequences in the bovine hydrolysate fraction, originated from the alpha S1- and beta-casein chain, whilst in caprine hydrolysate, 31 sequences were detected, all from beta-casein. The low molecular weight bovine and caprine hydrolysates obtained in this research have the potential to act in the prevention of disorders caused by oxidative reactions and in the regulation of blood pressure. These findings support the development of new functional food and nutraceutical formulations.</t>
  </si>
  <si>
    <t>[Nascimento, Talita C. E. S.; dos Santos, Wellington L.] Univ Fed Rural Pernambuco, Dept Anim Morphol &amp; Physiol, Recife, PE, Brazil; [Dutra Molino, Joao Vitor; Santos, Joao H. P. M.; Pessoa Junior, Adalberto] Univ Sao Paulo, Sch Pharmaceut Sci, Dept Biochem &amp; Pharmaceut Technol, Sao Paulo, SP, Brazil; [Donado, Priscila R. S.] Univ Sao Paulo, Dept Agribusiness Food &amp; Nutr, ESALQ, Piracicaba, SP, Brazil; [Montalvo, Gualberto S. A.] Univ Fed Ceara, Dept Stat &amp; Appl Math, Fortaleza, Ceara, Brazil; [Gomes, Jose Erick G.; da Silva, Roberto] Sao Paulo State Univ UNESP, Dept Chem &amp; Environm Sci, IBILCE, Sao Jose Do Rio Preto, SP, Brazil; [Sette, Lara Duraes] Sao Paulo State Univ UNESP, Inst Biosci, Dept Gen &amp; Appl Biol, Rio Claro, Brazil; [Moreira, Keila Aparecida] Fed Univ Agreste Pernambuco, Garanhuns, PE, Brazil</t>
  </si>
  <si>
    <t>Universidade Federal Rural de Pernambuco (UFRPE); Universidade de Sao Paulo; Universidade de Sao Paulo; Universidade Federal do Ceara; Universidade Estadual Paulista; Universidade Estadual Paulista</t>
  </si>
  <si>
    <t>Moreira, KA (corresponding author), Fed Univ Agreste Pernambuco, Garanhuns, PE, Brazil.</t>
  </si>
  <si>
    <t>moreirakeila@hotmail.com</t>
  </si>
  <si>
    <t>Molino, João Vitor D/E-7516-2017; Sette, Lara Durães/C-8298-2013; Moreira, Keila Aparecida/M-7766-2015; Da Silva, Roberto/D-6678-2012; Pessoa-Junior, Adalberto/B-7963-2012; Santos, João H. P. M./G-8387-2017; Galindo Gomes, Jose Erick/H-8706-2014</t>
  </si>
  <si>
    <t>Sette, Lara Durães/0000-0002-5980-3786; Moreira, Keila Aparecida/0000-0002-7715-9285; Pessoa-Junior, Adalberto/0000-0002-5268-8690; Agamez Montalvo, Gualberto Segundo/0000-0001-8561-8843; Galindo Gomes, Jose Erick/0000-0001-5444-8714; Santos-Donado, Priscila/0000-0002-2022-8382</t>
  </si>
  <si>
    <t>Science and Technology Support Foundation of Pernambuco State [FACEPE IBPG-0626-5.05/12]; Sao Paulo Research Foundation [FAPESP 2010/17033-0, 2013/194860]; CAPES [PROCAD NF 717/2010]; Federal Rural University of Pernambuco; University of Sao Paulo; Federal University of Agreste of Pernambuco.</t>
  </si>
  <si>
    <t>Science and Technology Support Foundation of Pernambuco State; Sao Paulo Research Foundation(Fundacao de Amparo a Pesquisa do Estado de Sao Paulo (FAPESP)); CAPES(Coordenacao de Aperfeicoamento de Pessoal de Nivel Superior (CAPES)); Federal Rural University of Pernambuco; University of Sao Paulo; Federal University of Agreste of Pernambuco.</t>
  </si>
  <si>
    <t>This work was supported by Science and Technology Support Foundation of Pernambuco State (FACEPE IBPG-0626-5.05/12), the Sao Paulo Research Foundation (FAPESP 2010/17033-0 and 2013/194860), and the CAPES (PROCAD NF 717/2010). We also acknowledge the structural support of the Federal Rural University of Pernambuco, University of Sao Paulo and Federal University of Agreste of Pernambuco.</t>
  </si>
  <si>
    <t>0963-9969</t>
  </si>
  <si>
    <t>1873-7145</t>
  </si>
  <si>
    <t>FOOD RES INT</t>
  </si>
  <si>
    <t>Food Res. Int.</t>
  </si>
  <si>
    <t>10.1016/j.foodres.2020.109944</t>
  </si>
  <si>
    <t>QC3DF</t>
  </si>
  <si>
    <t>WOS:000614712500002</t>
  </si>
  <si>
    <t>Bozzano, G; Cerredo, ME; Remesal, M; Steinmann, L; Hanebuth, TJJ; Schwenk, T; Baqués, M; Hebbeln, D; Spoltore, D; Silvestri, O; Acevedo, RD; Spiess, V; Violante, RA; Kasten, S</t>
  </si>
  <si>
    <t>Bozzano, G.; Cerredo, M. E.; Remesal, M.; Steinmann, L.; Hanebuth, T. J. J.; Schwenk, T.; Baques, M.; Hebbeln, D.; Spoltore, D.; Silvestri, O.; Acevedo, R. D.; Spiess, V.; Violante, R. A.; Kasten, S.</t>
  </si>
  <si>
    <t>Dropstones in the Mar del Plata Canyon Area (SW Atlantic): Evidence for Provenance, Transport, Distribution, and Oceanographic Implications</t>
  </si>
  <si>
    <t>GEOCHEMISTRY GEOPHYSICS GEOSYSTEMS</t>
  </si>
  <si>
    <t>A variety of gravel- to cobble-sized rocks, recovered from the Mar del Plata (MdP) Canyon area (Western South Atlantic at 38 degrees S) and interpreted as ice-rafted debris, represent the first evidence that large icebergs have floated in the Falkland (Malvinas) Current from the southern polar high latitudes far northward. Detailed petrographic analyses identified the Antarctic Peninsula, sub-Antarctic islands in the Scotia Sea, and Tierra del Fuego as plausible source areas. The drift process could have started as early as at the beginning of the last deglaciation, according to an age obtained from a cold-water coral fragment associated with one of the dropstones. At the end of the Last Glacial Maximum, large icebergs have been supplied to the Antarctic Circumpolar Current, captured by those ocean current branches that circumvent the Falkland (Malvinas) Islands and entered the Argentine Margin. When the iceberg fleets approached the Brazil-Falkland (Malvinas) Confluence Zone with its steep latitudinal temperature gradient, the icebergs got oceanographically trapped and melted off rapidly. The sediment load sinking down to the seafloor formed a dropstone blanket particularly where the MdP Canyon had incised into the continental slope. Here, mass-flow processes, induced by local slope instability, and along-slope sediment resorting, due to the erosional effects of strong and persistent contouritic bottom currents, favored local enrichment in dropstones in the form of a loose, coarse sediment drape inside morphological depressions. The bottom current velocity would be locally strong enough to rework this sediment, leaving coarse rafted debris as a lag deposit.</t>
  </si>
  <si>
    <t>[Bozzano, G.; Baques, M.; Spoltore, D.; Silvestri, O.; Violante, R. A.] Argentine Hydrog Serv SHN, Dept Oceanog, Buenos Aires, DF, Argentina; [Bozzano, G.] Consejo Nacl Invest Cient &amp; Tecn, Buenos Aires, DF, Argentina; [Cerredo, M. E.; Remesal, M.] Univ Buenos Aires, IGeBA, UBA CONICET, Buenos Aires, DF, Argentina; [Steinmann, L.; Schwenk, T.; Spiess, V.; Kasten, S.] Univ Bremen, Fac Geosci, Bremen, Germany; [Hanebuth, T. J. J.] Coastal Carolina Univ, Dept Coastal &amp; Marine Syst Sci, Conway, SC USA; [Baques, M.] UNIDEF, Argentine Navy Res Off DIIV, Buenos Aires, DF, Argentina; [Hebbeln, D.; Kasten, S.] Univ Bremen, Ctr Marine Environm Sci, MARUM, Bremen, Germany; [Silvestri, O.] Univ Buenos Aires, Fac Exact &amp; Nat Sci, DCAO, Buenos Aires, DF, Argentina; [Acevedo, R. D.] Ctr Austral Invest Cient CADIC CONICET, Ushuaia, Argentina; [Acevedo, R. D.] Univ Nacl Tierra Fuego ICPA UNTDF, Ushuaia, Argentina; [Kasten, S.] Alfred Wegener Inst Helmholtz Ctr Polar &amp; Marine, Bremerhaven, Germany</t>
  </si>
  <si>
    <t>Consejo Nacional de Investigaciones Cientificas y Tecnicas (CONICET); Consejo Nacional de Investigaciones Cientificas y Tecnicas (CONICET); University of Buenos Aires; University of Bremen; Coastal Carolina University; University of Bremen; University of Buenos Aires; Consejo Nacional de Investigaciones Cientificas y Tecnicas (CONICET); Helmholtz Association; Alfred Wegener Institute, Helmholtz Centre for Polar &amp; Marine Research</t>
  </si>
  <si>
    <t>Bozzano, G (corresponding author), Argentine Hydrog Serv SHN, Dept Oceanog, Buenos Aires, DF, Argentina.;Bozzano, G (corresponding author), Consejo Nacl Invest Cient &amp; Tecn, Buenos Aires, DF, Argentina.</t>
  </si>
  <si>
    <t>grazi.hidro.gov.ar@gmail.com</t>
  </si>
  <si>
    <t>Schwenk, Tilmann/AGD-5168-2022; Spiess, Volkhard/E-4376-2010; Acevedo, Rogelio/ADN-4652-2022</t>
  </si>
  <si>
    <t>Schwenk, Tilmann/0000-0002-9916-0340; Spiess, Volkhard/0000-0001-5019-5844; Acevedo, Rogelio/0000-0001-6224-3030; Steinmann, Lena/0000-0001-5443-0581; Baques, Michele/0000-0002-1351-0670; Bozzano, Graziella/0000-0002-9286-5380</t>
  </si>
  <si>
    <t>DFG Research Centre/Cluster of Excellence The Ocean in the Earth System (MARUM -Center for Marine Environmental Sciences at the University of Bremen); Helmholtz Association (Alfred Wegener Institute Helmholtz Centre for Polar and Marine Research, Bremerhaven)</t>
  </si>
  <si>
    <t>Ines Voigt commenced this study while performing her Ph.D. at MARUM (Bremen). Daniel Lauretta (Argentine Museum of Natural Sciences, Buenos Aires) provided the lithic fraction from the trawling dredges L35 and L45. The sediment core descriptions of Conrad Core RC12-249 and Vema Core VM1227 were performed by A. Raring and E. Dablberg, respectively. The authors are grateful to the captains, crew and participants of research cruises M78/3a and SO260/1. Very special thanks go to the scientific members of both geology teams. Adriana Blasi, Daniel Poire and Alejandro Ribot (National University of La Plata), Jose Luis Panza and Julio Cobos (SEGEMAR, Buenos Aires) as well as Juan Manuel Lirio and Rodolfo Del Valle (Argentine Antarctic Institute, Buenos Aires) are acknowledged for an initial discussion of the rock petrography and the associated source areas. The authors thank the journal's editor, Peter van der Beek, Michael Weber, and an anonymous reviewer for their thoughtful comments, which greatly helped to improve the quality of the work. RV Sonne Expedition SO260 was funded by and carried out in the framework of the DFG Research Centre/Cluster of Excellence The Ocean in the Earth System (MARUM -Center for Marine Environmental Sciences at the University of Bremen). Cruise SO260 received additional funding from the Helmholtz Association (Alfred Wegener Institute Helmholtz Centre for Polar and Marine Research, Bremerhaven).</t>
  </si>
  <si>
    <t>1525-2027</t>
  </si>
  <si>
    <t>GEOCHEM GEOPHY GEOSY</t>
  </si>
  <si>
    <t>Geochem. Geophys. Geosyst.</t>
  </si>
  <si>
    <t>e2020GC009333</t>
  </si>
  <si>
    <t>10.1029/2020GC009333</t>
  </si>
  <si>
    <t>QB4PW</t>
  </si>
  <si>
    <t>WOS:000614123600002</t>
  </si>
  <si>
    <t>Jiang, Q; Merle, RE; Jourdan, F; Olierook, HKH; Whitehouse, MJ; Evans, KA; Wang, XC; Conway, CE; Bostock, HC; Wysoczanski, RJ</t>
  </si>
  <si>
    <t>Jiang, Qiang; Merle, Renaud E.; Jourdan, Fred; Olierook, Hugo K. H.; Whitehouse, Martin J.; Evans, Katy A.; Wang, Xuan-Ce; Conway, Chris E.; Bostock, Helen C.; Wysoczanski, Richard J.</t>
  </si>
  <si>
    <t>Timing of Seafloor Spreading Cessation at the Macquarie Ridge Complex (SW Pacific) and Implications for Upper Mantle Heterogeneity</t>
  </si>
  <si>
    <t>Macquarie Ridge; Mantle heterogeneity; MORB; Spreading ridge; SW Pacific</t>
  </si>
  <si>
    <t>The Macquarie Ridge Complex (MRC) on the Australia-Pacific plate boundary south of New Zealand is an extinct mid-ocean ridge that has experienced a complex tectonic history and produced highly heterogeneous mid-ocean ridge basalts (MORBs). When and how seafloor spreading ceased along the proto-Macquarie mid-ocean ridge remain elusive, and it is unclear how the mantle source of MORBs is affected by the gradual cessation of seafloor spreading at mid-ocean ridges. To constrain the tectonic evolution of the MRC, the mantle source variations for MORBs at dying mid-ocean ridges, and the mechanisms of mantle enrichment and asthenospheric heterogeneities, we report 11 pyroxene, plagioclase, basaltic glass, groundmass, and sericite 40Ar/39Ar and one zircon U-Pb ages for the MRC MORBs. Our data reveal that basalts from the MRC seamounts were erupted between 25.9 and 1.6 Ma and Macquarie Island at similar to 10 Ma. Combined age and plate reconstruction results reveal that the cessation of seafloor spreading at the MRC generally propagated from south to north along the ridge. Basalts produced by the then dying Macquarie mid-ocean ridge at different times on different seamounts/island show a large variation in isotopic compositions and there is no clear correlation between ages and isotopic ratios. The heterogeneity of mantle source for MORBs from the proto-Macquarie mid-ocean ridge suggests that the upper asthenospheric mantle is heterogeneous, and such heterogeneity becomes most obvious at dying mid-ocean ridges where the degrees of partial melting are low and a large range of melt compositions are produced.</t>
  </si>
  <si>
    <t>[Jiang, Qiang; Jourdan, Fred] Western Australian Argon Isotope Facil &amp; John Lae, Perth, WA, Australia; [Jiang, Qiang; Jourdan, Fred; Olierook, Hugo K. H.; Evans, Katy A.] Curtin Univ, Sch Earth &amp; Planetary Sci, Perth, WA, Australia; [Merle, Renaud E.; Whitehouse, Martin J.] Swedish Museum Nat Hist, Stockholm, Sweden; [Merle, Renaud E.] Uppsala Univ, Nat Resources &amp; Sustainable Dev, Dept Earth Sci, Uppsala, Sweden; [Olierook, Hugo K. H.] Curtin Univ, Ctr Explorat Targeting Curtin Node, Timescales Mineral Syst, Perth, WA, Australia; [Wang, Xuan-Ce] Yunnan Univ, Sch Geosci, Kunming, Yunnan, Peoples R China; [Conway, Chris E.] AIST, Geol Survey Japan, Inst Earthquake &amp; Volcano Geol, Cent 7, Tsukuba, Ibaraki, Japan; [Bostock, Helen C.] Univ Queensland, Sch Earth &amp; Environm Sci, Brisbane, Qld, Australia; [Wysoczanski, Richard J.] Natl Inst Water &amp; Atmospher Res, Wellington, New Zealand</t>
  </si>
  <si>
    <t>Curtin University; Swedish Museum of Natural History; Uppsala University; Curtin University; Yunnan University; National Institute of Advanced Industrial Science &amp; Technology (AIST); University of Queensland; National Institute of Water &amp; Atmospheric Research (NIWA) - New Zealand</t>
  </si>
  <si>
    <t>Jiang, Q (corresponding author), Western Australian Argon Isotope Facil &amp; John Lae, Perth, WA, Australia.;Jiang, Q (corresponding author), Curtin Univ, Sch Earth &amp; Planetary Sci, Perth, WA, Australia.</t>
  </si>
  <si>
    <t>Evans, Katy A/G-5748-2011; Olierook, Hugo/AAQ-3657-2021; Bostock, Helen/A-6834-2013; Jiang, Qiang/GNO-9906-2022; Conway, Chris E./AAC-8667-2020; Whitehouse, Martin J/E-1425-2013; Jiang, Qiang/HMD-5605-2023; merle, renaud e./ABG-7421-2020</t>
  </si>
  <si>
    <t>Olierook, Hugo/0000-0001-5961-4304; Bostock, Helen/0000-0002-8903-8958; Conway, Chris E./0000-0002-2790-0178; Jiang, Qiang/0000-0003-3381-9592; merle, renaud e./0000-0001-9018-6862; Evans, Katy/0000-0001-5144-4507; Jourdan, Fred/0000-0001-5626-4521</t>
  </si>
  <si>
    <t>Australian Antarctic Division Science Project [4444]; Polar Rock Repository; CSC-CIPRS scholarship</t>
  </si>
  <si>
    <t>Australian Antarctic Division Science Project; Polar Rock Repository; CSC-CIPRS scholarship</t>
  </si>
  <si>
    <t>The authors are grateful to the financial support from the Australian Antarctic Division Science Project #4444 and the Polar Rock Repository for providing four dredge samples for this study. The authors thank the AAD staff at the Kensington headquarters and on Macquarie Island for support in managing the project, organizing the field trip and logistics. The authors are particularly thankful for support in the field from safety officer M. Raymond, ranger A. Turbett and station leader K. Williams. C. Mayers, A. Frew, and Z. Martelli from the Western Australian Argon Isotope Facility are thanked for help in sample preparation and analysis. Jiang acknowledges the support of the CSC-CIPRS scholarship. This is NordSIMS publication #663. Helpful comments by A. Marzoli, K. Konrad, and K. Haase, and editorial handling by J. Blichert-Toft are gratefully acknowledged.</t>
  </si>
  <si>
    <t>e2020GC009485</t>
  </si>
  <si>
    <t>10.1029/2020GC009485</t>
  </si>
  <si>
    <t>WOS:000614123600005</t>
  </si>
  <si>
    <t>Grygar, TM; Mach, K; Koubová, M; Martinez, M; Hron, K; Facevicová, K</t>
  </si>
  <si>
    <t>Grygar, Tomas Matys; Mach, Karel; Koubova, Magdalena; Martinez, Mathieu; Hron, Karel; Facevicova, Kamila</t>
  </si>
  <si>
    <t>Beginning of the Miocene Climatic Optimum in Central Europe in sediment archive of the Most Basin, Czech Republic</t>
  </si>
  <si>
    <t>BULLETIN OF GEOSCIENCES</t>
  </si>
  <si>
    <t>lacustrine sediments; stratigraphy; orbital forcing; weathering proxies; geomagnetic reversals</t>
  </si>
  <si>
    <t>ANTARCTIC ICE-SHEET; EGER GRABEN; LACUSTRINE RECORD; MINERALS; RIFT; ASTROCHRONOLOGY; EVOLUTION; OLIGOCENE; WEISSERT; SOUTHERN</t>
  </si>
  <si>
    <t>The Most Basin (Czech Republic) offers an extraordinarily detailed archive of the continental environment in Central Europe (ca. 50 degrees N) in the period around the beginning of the Miocene Climatic Optimum. The sediments were studied by magneto-, chemo-, and cyclostratigraphy. Novel proxies for chemical weathering intensity were derived from K/Al concentration ratios and Mg/Al concentration ratios corrected for autochthonous carbonate content using an isometric log-ratio methodology and robust regression (RR). The correction confirmed that the association of chemical weathering maxima (lows in K/Al or Mg/Al) with eccentricity, obliquity, or precession maxima were affected by sediment grain size to only a minor degree. The orbital control allowed for the refinement of a magnetic-polarity-based depth-age model to unprecedented resolution. The timing of the basin development after the peat swamp flooding was confirmed; it started in the C5Dr.2r subchron, intensified in the C5Dn.1n subchron over several tens of kyr, and spread over the entire basin in the early part of C5Dr.1r. The expression of orbital cycles in weathering proxies changed abruptly near 17.07 and 16.90 Ma, in close temporal proximity to two step-like changes in global marine delta O-18 records between 17.2 and 16.9 Ma. The sensitivity of weathering intensity in the Most Basin to orbital forcing decreased coevally with the initial floods of the Columbia River Basalt Group and disruptions of the global delta C-13 record near the C5Dr/C5Dn reversal at around 16.6 Ma. Ratios K/Al and Mg/Al, either raw or carbonate corrected, can be recommended for the study of continental basin sediments.</t>
  </si>
  <si>
    <t>[Grygar, Tomas Matys] Czech Acad Sci, Inst Inorgan Chem, Rez 1001, Husinec Rez 25068, Czech Republic; [Mach, Karel] North Bohemian Mines Jsc, 5 Kvetna 2013, Bilina 41801, Czech Republic; [Koubova, Magdalena] Czech Geol Survey, Geol 6, Prague 15200 5, Czech Republic; [Martinez, Mathieu] Univ Rennes 1, Observ Sci Univers Rennes, Geosci Rennes, UMR 6118, Campus Beaulieu, F-35042 Rennes, France; [Hron, Karel; Facevicova, Kamila] Palacky Univ, Fac Sci, Dept Math Anal &amp; Applicat Math, 17 Listopadu 12, Olomouc 77146, Czech Republic</t>
  </si>
  <si>
    <t>Czech Academy of Sciences; Institute of Inorganic Chemistry of the Czech Academy of Sciences; Czech Geological Survey; Centre National de la Recherche Scientifique (CNRS); CNRS - National Institute for Earth Sciences &amp; Astronomy (INSU); Universite de Rennes; Palacky University Olomouc</t>
  </si>
  <si>
    <t>Grygar, TM (corresponding author), Czech Acad Sci, Inst Inorgan Chem, Rez 1001, Husinec Rez 25068, Czech Republic.</t>
  </si>
  <si>
    <t>grygar@iic.cas.cz</t>
  </si>
  <si>
    <t>Martinez, Mathieu/N-9746-2015</t>
  </si>
  <si>
    <t>Koubova, Magdalena/0000-0003-2859-558X</t>
  </si>
  <si>
    <t>Czech Science Foundation [16-00800S, 19-01768S]; North Bohemian Mines; VODAMIN project</t>
  </si>
  <si>
    <t>Czech Science Foundation(Grant Agency of the Czech Republic); North Bohemian Mines; VODAMIN project</t>
  </si>
  <si>
    <t>The data that support the findings of this study are available from the corresponding author upon reasonable request. The work was funded by Czech Science Foundation, project numbers 16-00800S (sampling and most XRF analyses) and 19-01768S (some XRF analysis, the entire data analysis, and manuscript preparation), North Bohemian Mines (part of drill cores), and VODAMIN project (part of drill cores). The authors would like to thank to P. Schnabl and S. Kdyr (Geological Institute, Czech Academy of Sciences, Prague, Czech Republic), who provided analyses of magnetic polarity in sediment cores used for the initial depth-age models. The authors, in particular M. Koubova are grateful to D.K. McCarty and the Chevron Energy Technology Company, a division of Chevron U.S. A. Inc., who allowed free use of the Sybilla software for academic purposes and to J.-C. Viennet for helpful comments with fitting in the Sybilla software.</t>
  </si>
  <si>
    <t>CZECH GEOLOGICAL SURVEY</t>
  </si>
  <si>
    <t>PRAGUE</t>
  </si>
  <si>
    <t>KLAROV 131/3, PRAGUE, CZECH REPUBLIC</t>
  </si>
  <si>
    <t>1214-1119</t>
  </si>
  <si>
    <t>1802-8225</t>
  </si>
  <si>
    <t>B GEOSCI</t>
  </si>
  <si>
    <t>Bull. Geosci.</t>
  </si>
  <si>
    <t>10.3140/bull.geosci.1794</t>
  </si>
  <si>
    <t>Geosciences, Multidisciplinary; Paleontology</t>
  </si>
  <si>
    <t>PQ6RI</t>
  </si>
  <si>
    <t>WOS:000606671200005</t>
  </si>
  <si>
    <t>Yang, YK; Anderson, A; Kiv, D; Germann, J; Fuchs, M; Palm, S; Wang, T</t>
  </si>
  <si>
    <t>Yang, Yuekui; Anderson, Adam; Kiv, Daniel; Germann, Justin; Fuchs, Maya; Palm, Stephen; Wang, Tao</t>
  </si>
  <si>
    <t>Study of Antarctic Blowing Snow Storms Using MODIS and CALIOP Observations With a Machine Learning Model</t>
  </si>
  <si>
    <t>EARTH AND SPACE SCIENCE</t>
  </si>
  <si>
    <t>Antarctica; Blowing snow; CALIPSO; Machine Learning; MODIS</t>
  </si>
  <si>
    <t>CLOUD DETECTION; ALGORITHM; ICE; LAND</t>
  </si>
  <si>
    <t>As a common phenomenon over Antarctica, blowing snow (BLSN), especially the large BLSN storms, play an important role in the Antarctic surface mass balance, radiation budget, and planetary boundary layer processes. This study presents the work on BLSN storm identification and analysis with observations from the Moderate Resolution Imaging Spectroradiometer (MODIS) onboard the Aqua satellite. Spectral analysis shows that BLSN identification is feasible with MODIS daytime data. A random forest machine learning model is developed and observations from the Cloud-Aerosol Lidar with Orthogonal Polarization are used for training. Model performance results show that machine-learning based classification can achieve over 90% overall accuracy when classifying MODIS pixels into cloud, clear, and BLSN categories. The machine learning model is applied to MODIS observations during the month of October 2009 for BLSN storm analysis. Results show that the size of BLSN storms has a large spectrum and can reach hundreds of thousands km(2). The MODIS based BLSN storm frequency map extends the Cloud-Aerosol Lidar and Infrared Pathfinder Satellite Observations coverage limit from 82 degrees S to the South Pole. A BLSN storm belt, which extends from the South Pole region to the coastal area between 130 degrees E and 160 degrees E along the Transantarctic Mountains, provides a potential pathway of snow transport. These results are important in improving the understanding of BLSN impact on Antarctic surface mass balance and boundary layer processes.</t>
  </si>
  <si>
    <t>[Yang, Yuekui; Palm, Stephen] NASA, Goddard Space Flight Ctr, Climate &amp; Radiat Lab, Greenbelt, MD 20771 USA; [Anderson, Adam; Kiv, Daniel; Germann, Justin; Fuchs, Maya] NASA, Goddard Space Flight Ctr, Internship Program, Greenbelt, MD USA; [Anderson, Adam; Fuchs, Maya] Univ Maryland, Dept Comp Sci, College Pk, MD 20742 USA; [Kiv, Daniel] Univ Texas Dallas, Dept Comp Sci, Richardson, TX 75083 USA; [Germann, Justin] Univ North Dakota, Dept Space Studies, Grand Forks, ND 58201 USA; [Palm, Stephen] Sci Syst &amp; Applicat Inc, Lanham, MD USA; [Wang, Tao] CALTECH, Jet Prop Lab, Pasadena, CA USA</t>
  </si>
  <si>
    <t>National Aeronautics &amp; Space Administration (NASA); NASA Goddard Space Flight Center; National Aeronautics &amp; Space Administration (NASA); NASA Goddard Space Flight Center; University System of Maryland; University of Maryland College Park; University of Texas System; University of Texas Dallas; University of North Dakota Grand Forks; Science Systems and Applications Inc; National Aeronautics &amp; Space Administration (NASA); NASA Jet Propulsion Laboratory (JPL); California Institute of Technology</t>
  </si>
  <si>
    <t>Yang, YK (corresponding author), NASA, Goddard Space Flight Ctr, Climate &amp; Radiat Lab, Greenbelt, MD 20771 USA.</t>
  </si>
  <si>
    <t>Yuekui.Yang@nasa.gov</t>
  </si>
  <si>
    <t>Yang, Yuekui/B-4326-2015; Wang, Tao/C-2381-2011</t>
  </si>
  <si>
    <t>Yang, Yuekui/0000-0002-1630-272X; Wang, Tao/0000-0003-3430-8508; Kiv, Daniel/0000-0002-7624-8163; Fuchs, Maya/0000-0002-0771-2647; Germann, Justin/0000-0003-0706-769X</t>
  </si>
  <si>
    <t>NASA CloudSat/CALIPSO Science program; NASA internship program; Education Office of NASA Goddard Space Flight Center</t>
  </si>
  <si>
    <t>The authors thank the reviewers for insightful comments. Funding from the NASA CloudSat/CALIPSO Science program and the support from the NASA internship program and the Education Office of NASA Goddard Space Flight Center is acknowledged. The authors also thank Dr Chenxi Wang for helpful discussions.</t>
  </si>
  <si>
    <t>2333-5084</t>
  </si>
  <si>
    <t>EARTH SPACE SCI</t>
  </si>
  <si>
    <t>Earth Space Sci.</t>
  </si>
  <si>
    <t>e2020EA001310</t>
  </si>
  <si>
    <t>10.1029/2020EA001310</t>
  </si>
  <si>
    <t>QA3FZ</t>
  </si>
  <si>
    <t>WOS:000613334500009</t>
  </si>
  <si>
    <t>Zhang, YR; Grima, N; Huck, T</t>
  </si>
  <si>
    <t>Zhang, Yurui; Grima, Nicolas; Huck, Thierry</t>
  </si>
  <si>
    <t>Fates of Paleo-Antarctic Bottom Water During the Early Eocene: Based on a Lagrangian Analysis of IPSL-CM5A2 Climate Model Simulations</t>
  </si>
  <si>
    <t>PALEOCEANOGRAPHY AND PALEOCLIMATOLOGY</t>
  </si>
  <si>
    <t>the early Eocene; paleo-Antarctic Bottom Water; Lagrangian analysis; deepwater obduction; Equtorial and tropical upwelling; Ekman pumping</t>
  </si>
  <si>
    <t>MERIDIONAL OVERTURNING CIRCULATION; ATMOSPHERIC CO2 CONCENTRATIONS; GLOBAL OCEAN CIRCULATION; EARTH SYSTEM MODEL; SOUTHERN-OCEAN; CARBON-DIOXIDE; HEAT-TRANSPORT; DEEPMIP CONTRIBUTION; PROXY DATA; ATLANTIC</t>
  </si>
  <si>
    <t>Both deepwater formation and the obduction processes converting dense deep water to lighter surface water are the engine for the global meridional overturning circulation (MOC). Their spatio-temporal variations effectively modify the ocean circulation and related carbon cycle, which affects climate evolution throughout geological time. Using early-Eocene bathymetry and enhanced atmospheric CO2 concentration, the IPSL-CM5A2 climate model has simulated a well-ventilated Southern Ocean associated with a strong anticlockwise MOC. To trace the fates of these paleo-Antarctic Bottom Water (paleo-AABW), we conducted Lagrangian analyses using these IPSL-CM5A2 model results and tracking virtual particles released at the lower limb of the MOC, defined as an initial section at 60 degrees S below 1,900 m depth. Diagnostic analysis of these particles trajectories reveals that most paleo-AABW circulates back to the Southern Ocean through either the initial section (43%) or the section above (31%), the remaining (&gt;25%) crossing the base of the mixed layer mostly in tropical regions (up to half). The majority of water parcels ending in the mixed layer experience negative density transformations, intensified in the upper 500 m and mostly occurring in tropical upwelling regions, with a spatial pattern consistent with the wind-driven Ekman pumping, largely determined by the Eocene wind stress and continental geometry. In the same way as present-day North Atlantic Deep Water upwells in the Southern Ocean, our results suggest that the strong tropical and equatorial upwelling during the Eocene provides an efficient pathway from the abyss to the surface, but at much higher temperature, with potential implications for the oceanic carbon cycle.</t>
  </si>
  <si>
    <t>[Zhang, Yurui; Grima, Nicolas; Huck, Thierry] Univ Brest, Lab Oceanog Phys &amp; Spatiale LOPS, CNRS, IRD,Ifremer,IUEM, Brest, France; [Zhang, Yurui] Xiamen Univ, Coll Ocean &amp; Earth Sci, Xiamen, Peoples R China</t>
  </si>
  <si>
    <t>Universite de Bretagne Occidentale; Institut Universitaire Europeen de la Mer (IUEM); Centre National de la Recherche Scientifique (CNRS); Institut de Recherche pour le Developpement (IRD); Ifremer; Xiamen University</t>
  </si>
  <si>
    <t>Zhang, YR (corresponding author), Univ Brest, Lab Oceanog Phys &amp; Spatiale LOPS, CNRS, IRD,Ifremer,IUEM, Brest, France.;Zhang, YR (corresponding author), Xiamen Univ, Coll Ocean &amp; Earth Sci, Xiamen, Peoples R China.</t>
  </si>
  <si>
    <t>yurui.zhang@univ-brest.fr; Nicolas.Grima@univ-brest.fr; thierry.huck@univ-brest.fr</t>
  </si>
  <si>
    <t>Grima, Nicolas NG/N-3252-2014; Zhang, Yurui/ABF-9137-2021; Huck, Thierry/L-5549-2015</t>
  </si>
  <si>
    <t>Grima, Nicolas NG/0000-0002-1607-8975; Huck, Thierry/0000-0002-2885-5153</t>
  </si>
  <si>
    <t>French National Research Agency (ANR) under the Programme d'Investissements d'Avenir ISblue [ANR-17-EURE-0015]; French National Research Agency (ANR) under the LabexMER [ANR-10-LABX-19]; IFREMER; Universite Bretagne Loire</t>
  </si>
  <si>
    <t>French National Research Agency (ANR) under the Programme d'Investissements d'Avenir ISblue(Agence Nationale de la Recherche (ANR)); French National Research Agency (ANR) under the LabexMER(Agence Nationale de la Recherche (ANR)); IFREMER; Universite Bretagne Loire</t>
  </si>
  <si>
    <t>We acknowledge invaluable contributions from anonymous reviewers and pertinent suggestions from the Editor that have greatly clarified and improved the manuscript. We would like to thank Camille Lique for initiating this project and discussions in the early stage of the study. The IPSL-CM5A2 model simulations were provided by Yannick Donnadieu (CEREGE), Jean-Baptiste Ladant, and Pierre Sepulchre (LSCE). This research received funding from the French National Research Agency (ANR) under the Programme d'Investissements d'Avenir ISblue (ANR-17-EURE-0015) and LabexMER (ANR-10-LABX-19) for the COPS project. Additional funding was provided by IFREMER and the Universite Bretagne Loire for Yurui Zhang's postdoctoral fellowship.</t>
  </si>
  <si>
    <t>2572-4517</t>
  </si>
  <si>
    <t>2572-4525</t>
  </si>
  <si>
    <t>PALEOCEANOGR PALEOCL</t>
  </si>
  <si>
    <t>Paleoceanogr. Paleoclimatology</t>
  </si>
  <si>
    <t>e2019PA003845</t>
  </si>
  <si>
    <t>10.1029/2019PA003845</t>
  </si>
  <si>
    <t>Geosciences, Multidisciplinary; Oceanography; Paleontology</t>
  </si>
  <si>
    <t>Geology; Oceanography; Paleontology</t>
  </si>
  <si>
    <t>QA3FG</t>
  </si>
  <si>
    <t>WOS:000613332600005</t>
  </si>
  <si>
    <t>Mioduchowska, M; Kacarevic, U; Miamin, V; Giginiak, Y; Parnikoza, I; Roszkowska, M; Kaczmarek, L</t>
  </si>
  <si>
    <t>Mioduchowska, M.; Kacarevic, U.; Miamin, V.; Giginiak, Y.; Parnikoza, I.; Roszkowska, M.; Kaczmarek, L.</t>
  </si>
  <si>
    <t>Redescription of Antarctic eutardigrade Dastychius improvisus (Dastych, 1984) and some remarks on phylogenetic relationships within Isohypsibioidea</t>
  </si>
  <si>
    <t>Eutardigrada; Isohypsibiidae; integrative taxonomy; molecular markers; phylogeny</t>
  </si>
  <si>
    <t>TARDIGRADA EUTARDIGRADA; INTEGRATIVE REDESCRIPTION; MOLECULAR PHYLOGENY; SPECIES-DIVERSITY; MILNESIUM DOYERE; TAXONOMIC VALUE; HUFELANDI GROUP; GENUS; HYPSIBIIDAE; POSITION</t>
  </si>
  <si>
    <t>In the present paper, we examined the type material as well as newly collected specimens of the rare Antarctic eutardigrade species - Dastychius improvisus. Based on the available material, we prepared a full re-description of this species emending its description with new morphometrical characters. We conducted also phylogenetic analyses based on 18S and 28S rRNA sequence data and showed the position of the genus Dastychius in the family Isohypsibiidae. Moreover, we indicated that phylogenetic relationships within the superfamily Isohypsibioidea are still unresolved. This problem is mainly related to the relatively limited number of available sequences for the species from Isohypsibioidea and incorrectly identified sequences deposited in genetic databases, e.g. from the genus Eremobiotus. Finally, we also discussed the status of several members of Isohypsibioidea.</t>
  </si>
  <si>
    <t>[Mioduchowska, M.] Univ Gdansk, Fac Biol, Dept Genet &amp; Biosystemat, Gdansk, Poland; [Mioduchowska, M.] Univ Gdansk, Inst Oceanog, Dept Marine Plankton Res, Marszalka Pilsudskiego 46, PL-81378 Gdynia, Poland; [Kacarevic, U.] Univ Belgrade, Fac Biol, Dept Morphol Systemat &amp; Phylogeny Anim, Belgrade, Serbia; [Miamin, V.; Giginiak, Y.] Natl Acad Sci Belarus Biol Resources, Sci &amp; Pract Ctr, Sect Monitoring &amp; Cadastre Anim World, Minsk, BELARUS; [Parnikoza, I.] Natl Antarctic Sci Ctr Ukraine, Dept Biol &amp; Ecol, Kiev, Ukraine; [Parnikoza, I.] Natl Acad Sci Ukraine, Inst Mol Biol &amp; Genet, Kiev, Ukraine; [Roszkowska, M.; Kaczmarek, L.] Adam Mickiewicz Univ, Fac Biol, Dept Anim Taxon &amp; Ecol, Poznan, Poland; [Roszkowska, M.] Adam Mickiewicz Univ, Fac Biol, Dept Bioenerget, Poznan, Poland</t>
  </si>
  <si>
    <t>Fahrenheit Universities; University of Gdansk; Fahrenheit Universities; University of Gdansk; University of Belgrade; National Academy of Sciences of Belarus (NASB); Scientific &amp; Practical Center for Bioresources of the National Academy of Sciences of Belarus; Ministry of Education &amp; Science of Ukraine; State Institution National Antarctic Scientific Center; National Academy of Sciences Ukraine; Institute of Molecular Biology &amp; Genetics of NASU; Adam Mickiewicz University; Adam Mickiewicz University</t>
  </si>
  <si>
    <t>Mioduchowska, M (corresponding author), Univ Gdansk, Inst Oceanog, Dept Marine Plankton Res, Marszalka Pilsudskiego 46, PL-81378 Gdynia, Poland.</t>
  </si>
  <si>
    <t>monika.mioduchowska@ug.edu.pl</t>
  </si>
  <si>
    <t>Mioduchowska, Monika/K-9886-2013; Parnikoza, Ivan/I-2398-2016; Kaczmarek, Lukasz/A-2000-2008</t>
  </si>
  <si>
    <t>Mioduchowska, Monika/0000-0003-1707-5028; Ivan, Parnikoza/0000-0002-0490-8134; Roszkowska, Milena/0000-0003-1640-8142; Kaczmarek, Lukasz/0000-0002-5260-6253</t>
  </si>
  <si>
    <t>10.1080/24750263.2020.1854877</t>
  </si>
  <si>
    <t>PZ7YN</t>
  </si>
  <si>
    <t>WOS:000612958500001</t>
  </si>
  <si>
    <t>Dempsey, SM; Hindley, NP; Moffat-Griffin, T; Wright, CJ; Smith, AK; Du, J; Mitchell, NJ</t>
  </si>
  <si>
    <t>Dempsey, Shaun M.; Hindley, Neil P.; Moffat-Griffin, Tracy; Wright, Corwin J.; Smith, Anne K.; Du, Jian; Mitchell, Nicholas J.</t>
  </si>
  <si>
    <t>Winds and tides of the Antarctic mesosphere and lower thermosphere: One year of meteor-radar observations over Rothera (68°S, 68°W) and comparisons with WACCM and eCMAM</t>
  </si>
  <si>
    <t>Atmospheric tides; Meteor radar observations; WACCM; eCMAM</t>
  </si>
  <si>
    <t>QUASI-BIENNIAL OSCILLATION; MIDDLE ATMOSPHERE MODEL; PLANETARY-WAVES; DIURNAL TIDE; SEMIDIURNAL TIDES; NONLINEAR-INTERACTION; MF RADAR; VARIABILITY; CLIMATOLOGY; DYNAMICS</t>
  </si>
  <si>
    <t>Atmospheric tides play a critical role in the dynamics and coupling of mesosphere and lower-thermosphere (MLT). Global Circulation Models (GCMs) that aim to span the lower, middle and upper atmosphere must therefore be capable of reproducing the tides and observations of tides are thus crucial to constrain the models. Here we present the first climatology of the 12- and 24-h tides measured at heights of 80-100 km by a meteor radar over the Antarctic station of Rothera (68 degrees S, 68 degrees W). We use observations of tides from 2009 in the first test of two GCMs at these latitudes: the Whole Atmosphere Community Climate Model (WACCM) and the extended Canadian Middle Atmosphere Model (eCMAM, 24-h tide only). Our radar observations reveal large-amplitude 12- and 24-h tides which display a distinct seasonal variability. The 12-h tide maximises around the equinoxes, reaching daily-mean amplitudes of about 40 ms(-1). The 24-h tide is generally of smaller amplitude and maximises in summer. The observed 12-h tide increases greatly in amplitude with increasing height over the range 80-100 km, whereas the 24-h tide generally does not do so. Comparison with the models shows that, for the 12-h tide, WACCM reproduces the observed amplitudes at heights near 80 km quite well, but does not reproduce either the strong observed increase with height or the equinoctial maxima. For the 24-h tide, WACCM reproduces the observed small variation in amplitude with height, but suggests amplitudes somewhat larger than those observed whilst eCMAM generally reproduces the observed tidal amplitudes and the small variation of amplitude with height. The radar observations reveal great day-to-day variability in the amplitude of both tides, much of which is quasi periodic and occurs at periods similar to those of planetary waves, suggesting that it originates in non-linear tidal/planetary-wave coupling. The observed and model background winds display some notable differences, particularly in winter when eastward winds are observed at all heights but not reproduced in the models. We propose that these differences may arise from the lack of in-situ gravity-wave sources in the models and that this may also account for some of the differences apparent between the observed and modelled tides.</t>
  </si>
  <si>
    <t>[Dempsey, Shaun M.; Hindley, Neil P.; Wright, Corwin J.; Mitchell, Nicholas J.] Univ Bath, Ctr Atmospher &amp; Ocean Sci, Dept Elect Engn, Bath, Avon, England; [Dempsey, Shaun M.; Moffat-Griffin, Tracy; Mitchell, Nicholas J.] British Antarctic Survey, Cambridge, England; [Smith, Anne K.] Natl Ctr Atmospher Res, Atmospher Chem Observat &amp; Modelling, POB 3000, Boulder, CO 80307 USA; [Du, Jian] Univ Louisville, Dept Phys &amp; Astron, Louisville, KY 40292 USA</t>
  </si>
  <si>
    <t>University of Bath; UK Research &amp; Innovation (UKRI); Natural Environment Research Council (NERC); NERC British Antarctic Survey; National Center Atmospheric Research (NCAR) - USA; University of Louisville</t>
  </si>
  <si>
    <t>Dempsey, SM (corresponding author), Univ Bath, Ctr Atmospher &amp; Ocean Sci, Dept Elect Engn, Bath, Avon, England.</t>
  </si>
  <si>
    <t>smd62@bath.ac.uk</t>
  </si>
  <si>
    <t>; Wright, Corwin/J-4598-2014</t>
  </si>
  <si>
    <t>Hindley, Neil/0000-0003-4377-2038; Dempsey, Shaun/0000-0002-3693-963X; Mitchell, Nicholas/0000-0003-1149-8484; Smith, Anne/0000-0003-2384-5033; Wright, Corwin/0000-0003-2496-953X</t>
  </si>
  <si>
    <t>NERC GW4+ Doctoral Training Partnership studentship from the Natural Environment Research Council [NE/L002434/1]; UK Natural Environment Research Council [NE/R001391/1, NE/R001235/1]; National Center for Atmospheric Research - National Science Foundation [1852977]; National Science Foundation; NERC [NE/S00985X/1, NE/R001235/1, NE/R001391/1, bas0100032] Funding Source: UKRI</t>
  </si>
  <si>
    <t>NERC GW4+ Doctoral Training Partnership studentship from the Natural Environment Research Council(UK Research &amp; Innovation (UKRI)Natural Environment Research Council (NERC)); UK Natural Environment Research Council(UK Research &amp; Innovation (UKRI)Natural Environment Research Council (NERC)); National Center for Atmospheric Research - National Science Foundation; National Science Foundation(National Science Foundation (NSF)); NERC(UK Research &amp; Innovation (UKRI)Natural Environment Research Council (NERC))</t>
  </si>
  <si>
    <t>SMD is supported by a NERC GW4+ Doctoral Training Partnership studentship from the Natural Environment Research Council (NE/L002434/1) and is thankful for the support and additional training provided. NPH, TMG, CJW and NJM are supported by the UK Natural Environment Research Council (grant nos. NE/R001391/1 and NE/R001235/1).; The CESM project, of which WACCM is a component, is supported primarily by the National Science Foundation. The WACCM results are based upon work supported by the National Center for Atmospheric Research, which is a major facility sponsored by the National Science Foundation under Cooperative Agreement No. 1852977. Computing and data storage resources, including the Cheyenne supercomputer (doi. org/10.5065/D6RX99HX), were provided by the Computational and Information Systems Laboratory (CISL) at NCAR.</t>
  </si>
  <si>
    <t>10.1016/j.jastp.2020.105510</t>
  </si>
  <si>
    <t>PU0XB</t>
  </si>
  <si>
    <t>WOS:000609032000002</t>
  </si>
  <si>
    <t>Chinkin, VE; Soloviev, AA; Pilipenko, VA; Engebretson, MJ; Sakharov, YA</t>
  </si>
  <si>
    <t>Chinkin, V. E.; Soloviev, A. A.; Pilipenko, V. A.; Engebretson, M. J.; Sakharov, Ya A.</t>
  </si>
  <si>
    <t>Determination of vortex current structure in the high-latitude ionosphere with associated GIC bursts from ground magnetic data</t>
  </si>
  <si>
    <t>substorms; Magnetic perturbation events; Ionospheric vortices; Geomagnetically induced currents; Ps6 pulsations</t>
  </si>
  <si>
    <t>OMEGA BANDS; PULSATIONS; SUBSTORMS; DISTURBANCES; SYSTEMS; FIELD</t>
  </si>
  <si>
    <t>The rapid changes of magnetic fields dB/dt that excite large geomagnetically induced currents (GICs) may be associated with quasi-periodic impulsive disturbances of the geomagnetic field with similar to 10-15 min duration (Ps6 pulsations). The paper proposes a data processing technique for a 2D array of magnetic stations that automatically recognizes eddy current structures in the polar ionosphere and evaluates their dynamic parameters, such as the density and scale of field-aligned currents, and velocity of horizontal propagation. This technique has been applied to analysis of the fine spatial-temporal structure of the nighttime Ps6 pulsations on June 29, 2013 recorded by IMAGE magnetometer array. This event produced very intense GICs in electric power lines in northwestern Russia. The new technique of data analysis has confirmed that Ps6 pulsations are produced by a quasi-periodic sequence of eastward drifting vortices driven by localized (radius similar to 200-250 km) field-aligned currents with densities up to similar to 5 mu A/m(2), whereas each vortex induces a GIC burst up to similar to 100 A.</t>
  </si>
  <si>
    <t>[Chinkin, V. E.; Soloviev, A. A.; Pilipenko, V. A.] Geophys Ctr, Moscow, Russia; [Soloviev, A. A.; Pilipenko, V. A.] Inst Phys Earth, Moscow, Russia; [Engebretson, M. J.] Augsburg Univ, Minneapolis, MN USA; [Sakharov, Ya A.] Polar Geophys Inst, Apatity, Russia</t>
  </si>
  <si>
    <t>Russian Academy of Sciences; Geophysical Center of the Russian Academy of Sciences; Russian Academy of Sciences; Schmidt Institute of Physics of the Earth of the Russian Academy of Sciences; Augsburg University; Russian Academy of Sciences; Polar Geophysical Institute</t>
  </si>
  <si>
    <t>Pilipenko, VA (corresponding author), Geophys Ctr, Moscow, Russia.</t>
  </si>
  <si>
    <t>v.chinkin@gcras.ru; a.soloviev@gcras.ru; pilipenko_va@mail.ru; engebret@augsburg.edu; sakharov@pgia.ru</t>
  </si>
  <si>
    <t>Soloviev, Anatoly/AHE-15966-2022</t>
  </si>
  <si>
    <t>Soloviev, Anatoly/0000-0002-6476-9471; Chinkin, Vladislav/0000-0003-2847-7807; Sakharov, Yaroslav/0000-0001-8808-8577</t>
  </si>
  <si>
    <t>Russian Science Foundation [16-17-00121]; U.S. National Science Foundation [PLR-1341493, AGS-1651263]</t>
  </si>
  <si>
    <t>Russian Science Foundation(Russian Science Foundation (RSF)); U.S. National Science Foundation(National Science Foundation (NSF))</t>
  </si>
  <si>
    <t>This study is supported by grant N. 16-17-00121 from the Russian Science Foundation (VEC, AAS, VAP). The data were provided by the database on Artic-Antarctic magnetometer data in Augsburg University (http://space.augsburg.edu) maintained under the support from the U.S. National Science Foundation grants PLR-1341493 and AGS-1651263 (MJE). We thank the national institutes that support the IMAGE magnetic observatories and make their data accessible at https://space.fmi.fi/image/www/.The facilities of the GC RAS Common Use Center Analytical Center of Geomagnetic Data (http://ckp.gcras.ru) were used for conducting the research. We appreciate helpful comments of the Reviewer and E.N. Fedorov.</t>
  </si>
  <si>
    <t>10.1016/j.jastp.2020.105514</t>
  </si>
  <si>
    <t>PU0XJ</t>
  </si>
  <si>
    <t>WOS:000609032800001</t>
  </si>
  <si>
    <t>Molina, V; Cornejo-D'Ottone, M; Soto, EH; Quiroga, E; Alarcón, G; Silva, D; Acuña, C; Silva, N</t>
  </si>
  <si>
    <t>Molina, Veronica; Cornejo-D'Ottone, Marcela; Soto, Eulogio H.; Quiroga, Eduardo; Alarcon, Guillermo; Silva, Daniela; Acuna, Carla; Silva, Nelson</t>
  </si>
  <si>
    <t>Biogeochemical Responses and Seasonal Dynamics of the Benthic Boundary Layer Microbial Communities during the El Nino 2015 in an Eastern Boundary Upwelling System</t>
  </si>
  <si>
    <t>WATER</t>
  </si>
  <si>
    <t>microbial communities; sediments; organic matter composition; greenhouse gases; El Niñ o Southern Oscillation; seasonal upwelling</t>
  </si>
  <si>
    <t>OXYGEN-MINIMUM-ZONE; CENTRAL CHILE; CONTINENTAL-SHELF; ORGANIC-MATTER; NITROUS-OXIDE; VERTICAL-DISTRIBUTION; TEMPORAL VARIABILITY; NITRITE OXIDATION; MARINE-SEDIMENTS; SULFUR CYCLE</t>
  </si>
  <si>
    <t>The Eastern South Pacific coastal zone is characterized by seasonal and interannual variability, driven by upwelling and El Nino Southern Oscillation (ENSO), respectively. These oceanographical conditions influence microbial communities and their contribution to nutrient and greenhouse gases recycling, especially in bottom waters due to oxygenation. This article addresses the seasonal hydrographic and biogeochemical conditions in the water and sediments during El Nino 2015. Bottom water active microbial communities, including nitrifiers, were studied using amplicon sequencing of 16S rRNA (cDNA) and RT-qPCR, respectively. The results of the hydrographic analysis showed changes in the water column associated with the predominance of sub-Antarctic Waters characterized by warmed and low nutrients in the surface and more oxygenated conditions at the bottom in comparison with El Nino 2014. The organic matter quantity and quality decreased during fall and winter. The bottom water active microbial assemblages were dominated by archaea (Ca. Poseidoniales) and putative ammonia oxidizing archaea. Active bacteria affiliated to SAR11, Marinimicrobia and Nitrospina, and oxygen deficient realms (Desulfobacterales, SUP05 clade and anammox) suffered variations, possibly associated with oxygen and redox conditions in the benthic boundary layer. Nitrifying functional groups contributed significantly more during late fall and winter which was consistent with higher bottom water oxygenation. Relationships between apparent oxygen utilization nitrate and nitrous oxide in the water support the contribution of nitrification to this greenhouse gas distribution in the water. In general, our study suggests that seasonal oceanographic variability during an El Nino year influences the microbial community and thus remineralization potential, which supports the need to carry out longer time series to identify the relevance of seasonality under ENSO in Eastern Boundary Upwelling Systems (EBUS) areas.</t>
  </si>
  <si>
    <t>[Molina, Veronica; Silva, Daniela; Acuna, Carla] Univ Playa Ancha, Observ Ecol Microbiana, Dept Biol, Fac Ciencias Nat &amp; Exactas, Ave Leopoldo Carvallo 270, Valparaiso 2340000, Chile; [Molina, Veronica] Univ Playa Ancha, HUB Ambiental UPLA, Ave Leopoldo Carvallo 200, Valparaiso 2340000, Chile; [Cornejo-D'Ottone, Marcela; Quiroga, Eduardo; Alarcon, Guillermo; Silva, Nelson] Pontificia Univ Catolica Valparaiso, Escuela Ciencias Mar, Altamirano 1480, Valparaiso 2360007, Chile; [Cornejo-D'Ottone, Marcela; Quiroga, Eduardo; Alarcon, Guillermo; Silva, Nelson] Pontificia Univ Catolica Valparaiso, Inst Milenio Oceanog, Altamirano 1480, Valparaiso 2360007, Chile; [Soto, Eulogio H.] Univ Valparaiso, Fac Ciencias Mar &amp; Recursos Nat, Ctr Observ Marino Estudios Riesgos Ambiente Coste, Casilla 5080, Vina Del Mar 2520000, Chile; [Soto, Eulogio H.] Univ Valparaiso, Lab Bentos, Escuela Biol Marina, Vina Del Mar 2520000, Chile</t>
  </si>
  <si>
    <t>Universidad de Playa Ancha; Universidad de Playa Ancha; Pontificia Universidad Catolica de Valparaiso; Pontificia Universidad Catolica de Valparaiso; Universidad de Valparaiso; Universidad de Valparaiso</t>
  </si>
  <si>
    <t>Molina, V (corresponding author), Univ Playa Ancha, Observ Ecol Microbiana, Dept Biol, Fac Ciencias Nat &amp; Exactas, Ave Leopoldo Carvallo 270, Valparaiso 2340000, Chile.;Molina, V (corresponding author), Univ Playa Ancha, HUB Ambiental UPLA, Ave Leopoldo Carvallo 200, Valparaiso 2340000, Chile.;Cornejo-D'Ottone, M (corresponding author), Pontificia Univ Catolica Valparaiso, Escuela Ciencias Mar, Altamirano 1480, Valparaiso 2360007, Chile.;Cornejo-D'Ottone, M (corresponding author), Pontificia Univ Catolica Valparaiso, Inst Milenio Oceanog, Altamirano 1480, Valparaiso 2360007, Chile.</t>
  </si>
  <si>
    <t>veronica.molina@upla.cl; marcela.cornejo@pucv.cl; eulogio.soto@uv.cl; eduardo.quiroga@pucv.cl; guillermo.alarcon.valdebenito@gmail.com; daniela.biomaruv@gmail.com; c.acuasilva@gmail.com; nelson.silva@pucv.cl</t>
  </si>
  <si>
    <t>Cornejo-D'Ottone, Marcela/AAG-2744-2020</t>
  </si>
  <si>
    <t>Molina, Veronica/0000-0001-9090-1344; Quiroga, Eduardo/0000-0002-7651-0213; Cornejo-D'Ottone, Marcela/0000-0003-1016-4423</t>
  </si>
  <si>
    <t>Project PIA [037.474/2015]; FONDECYT [11121487, 1171324, 11130418]</t>
  </si>
  <si>
    <t>Project PIA; FONDECYT(Comision Nacional de Investigacion Cientifica y Tecnologica (CONICYT)CONICYT FONDECYT)</t>
  </si>
  <si>
    <t>This research was funded by the following grants Project PIA 037.474/2015 (PUCV), FONDECYT 11121487, FONDECYT 1171324, FONDECYT 11130418.</t>
  </si>
  <si>
    <t>2073-4441</t>
  </si>
  <si>
    <t>WATER-SUI</t>
  </si>
  <si>
    <t>Water</t>
  </si>
  <si>
    <t>10.3390/w13020180</t>
  </si>
  <si>
    <t>Environmental Sciences; Water Resources</t>
  </si>
  <si>
    <t>Environmental Sciences &amp; Ecology; Water Resources</t>
  </si>
  <si>
    <t>PY1BS</t>
  </si>
  <si>
    <t>WOS:000611784400001</t>
  </si>
  <si>
    <t>Melnichenko, O; Hacker, P; Müller, V</t>
  </si>
  <si>
    <t>Melnichenko, Oleg; Hacker, Peter; Mueller, Vasco</t>
  </si>
  <si>
    <t>Observations of Mesoscale Eddies in Satellite SSS and Inferred Eddy Salt Transport</t>
  </si>
  <si>
    <t>sea surface salinity; SMOS; SMAP; eddy salt transport</t>
  </si>
  <si>
    <t>SALINITY MAXIMA; NORTH PACIFIC; HEAT FLUXES; OCEAN; WATER; TEMPERATURE; SIGNATURE; LAYER</t>
  </si>
  <si>
    <t>Observations of sea surface salinity (SSS) from NASA's Soil Moisture Active-Passive (SMAP) and ESA's Soil Moisture and Ocean Salinity (SMOS) satellite missions are used to characterize and quantify the contribution of mesoscale eddies to the ocean transport of salt. Given large errors in satellite retrievals and, consequently, SSS maps, we evaluate two products from the two missions and also use two different methods to assess the eddy transport of salt. Comparing the two missions, we find that the estimates of the eddy transport of salt agree very well, particularly in the tropics and subtropics. The transport is divergent in the subtropical gyres (eddies pump salt out of the gyres) and convergent in the tropics. The estimates from the two satellites start to differ regionally at higher latitudes, particularly in the Southern Ocean and along the Antarctic Circumpolar Current (ACC), resulting, presumably, from a considerable increase in the level of noise in satellite retrievals (because of poor sensitivity of the satellite radiometer to SSS in cold water), or they can be due to insufficient spatial resolution. Overall, our study demonstrates that the possibility of characterizing and quantifying the eddy transport of salt in the ocean surface mixed layer can rely on the use of satellite observations of SSS. Yet, new technologies are required to improve the resolution capabilities of future satellite missions in order to observe mesoscale and sub-mesoscale variability, improve the signal-to-noise ratio, and extend these capabilities to the polar oceans.</t>
  </si>
  <si>
    <t>[Melnichenko, Oleg; Mueller, Vasco] Univ Hawaii, Sch Ocean &amp; Earth Sci &amp; Technol, Int Pacific Res Ctr, Honolulu, HI 96822 USA; [Hacker, Peter] Univ Hawaii, Hawaii Inst Geophys &amp; Planetol, Sch Ocean &amp; Earth Sci &amp; Technol, Honolulu, HI 96822 USA</t>
  </si>
  <si>
    <t>University of Hawaii System; University of Hawaii System</t>
  </si>
  <si>
    <t>Melnichenko, O (corresponding author), Univ Hawaii, Sch Ocean &amp; Earth Sci &amp; Technol, Int Pacific Res Ctr, Honolulu, HI 96822 USA.</t>
  </si>
  <si>
    <t>oleg@hawaii.edu; phacker@hawaii.edu; vmueller@hawaii.edu</t>
  </si>
  <si>
    <t>Müller, Vasco/JXM-2603-2024</t>
  </si>
  <si>
    <t>Müller, Vasco/0000-0002-8019-2852; Melnichenko, Oleg/0000-0003-1069-6286</t>
  </si>
  <si>
    <t>National Aeronautics and Space Administration (NASA) Physical Oceanography Program [NNX17AK06G, NNX17AH26G]; NASA [1001503, NNX17AH26G] Funding Source: Federal RePORTER</t>
  </si>
  <si>
    <t>National Aeronautics and Space Administration (NASA) Physical Oceanography Program; NASA(National Aeronautics &amp; Space Administration (NASA))</t>
  </si>
  <si>
    <t>This research was supported by the National Aeronautics and Space Administration (NASA) Physical Oceanography Program through grant NNX17AK06G and grant NNX17AH26G.</t>
  </si>
  <si>
    <t>10.3390/rs13020315</t>
  </si>
  <si>
    <t>PX7SU</t>
  </si>
  <si>
    <t>WOS:000611555100001</t>
  </si>
  <si>
    <t>Greenwood, SL; Simkins, LM; Winsborrow, MCM; Bjarnadóttir, LR</t>
  </si>
  <si>
    <t>Greenwood, Sarah L.; Simkins, Lauren M.; Winsborrow, Monica C. M.; Bjarnadottir, Lilja R.</t>
  </si>
  <si>
    <t>Exceptions to bed-controlled ice sheet flow and retreat from glaciated continental margins worldwide</t>
  </si>
  <si>
    <t>SCIENCE ADVANCES</t>
  </si>
  <si>
    <t>WEST GREENLAND MARGIN; PINE ISLAND GLACIER; ANTARCTIC PENINSULA; BARENTS SEA; SUBMARINE LANDFORMS; ROSS SEA; GROUNDING-LINE; STREAM-B; THWAITES GLACIER; SEISMIC DATA</t>
  </si>
  <si>
    <t>Projections of ice sheet behavior hinge on how ice flow velocity evolves and the extent to which marine-based grounding lines are stable. Ice flow and grounding line retreat are variably governed by the coupling between the ice and underlying terrain. We ask to what degree catchment-scale bed characteristics determine ice flow and retreat, drawing on paleo-ice sheet landform imprints from 99 sites on continental shelves worldwide. We find that topographic setting has broadly steered ice flow and that the bed slope favors particular styles of retreat. However, we find exceptions to accepted rulesof behavior: Regional topographic highs are not always an impediment to fast ice flow, retreat may proceed in a controlled, steady manner on reverse slopes and, unexpectedly, the occurrence of ice streaming is not favored on a particular geological substrate. Furthermore, once grounding line retreat is under way, readvance is rarely observed regardless of regional bed characteristics.</t>
  </si>
  <si>
    <t>[Greenwood, Sarah L.] Stockholm Univ, Dept Geol Sci, S-10691 Stockholm, Sweden; [Simkins, Lauren M.] Univ Virginia, Dept Environm Sci, Clark Hall, Charlottesville, VA 22903 USA; [Winsborrow, Monica C. M.] UiT Arctic Univ Norway, Dept Geosci, Ctr Arctic Gas Hydrate Environm &amp; Climate, N-9037 Tromso, Norway; [Bjarnadottir, Lilja R.] Geol Survey Norway, N-7491 Trondheim, Norway</t>
  </si>
  <si>
    <t>Stockholm University; University of Virginia; UiT The Arctic University of Tromso; Geological Survey of Norway</t>
  </si>
  <si>
    <t>Greenwood, SL (corresponding author), Stockholm Univ, Dept Geol Sci, S-10691 Stockholm, Sweden.</t>
  </si>
  <si>
    <t>sarah.greenwood@geo.su.se</t>
  </si>
  <si>
    <t>Greenwood, Sarah/0000-0003-3048-7916; Miller, Lauren/0000-0002-9075-5196; Winsborrow, Monica/0000-0001-5950-1254</t>
  </si>
  <si>
    <t>INQUA Coastal and Marine Processes grant [1602P]; Knut and Alice Wallenberg Foundation [2016.0144]; Research Council of Norway through its Centres of Excellence funding scheme [223259]; University of Virginia; Geological Survey of Norway (Norges Geologiske Undersokelse)</t>
  </si>
  <si>
    <t>INQUA Coastal and Marine Processes grant; Knut and Alice Wallenberg Foundation(Knut &amp; Alice Wallenberg Foundation); Research Council of Norway through its Centres of Excellence funding scheme(Research Council of Norway); University of Virginia; Geological Survey of Norway (Norges Geologiske Undersokelse)</t>
  </si>
  <si>
    <t>We were funded by INQUA Coastal and Marine Processes grant 1602P and, in addition, by the Knut and Alice Wallenberg Foundation (to S.L.G., fellowship 2016.0144), the Research Council of Norway through its Centres of Excellence funding scheme (to M.C.M.W., grant 223259), and internal funding through the University of Virginia (to L.M.S.), and the Geological Survey of Norway (Norges Geologiske Undersokelse) (to L.R.B.).</t>
  </si>
  <si>
    <t>AMER ASSOC ADVANCEMENT SCIENCE</t>
  </si>
  <si>
    <t>1200 NEW YORK AVE, NW, WASHINGTON, DC 20005 USA</t>
  </si>
  <si>
    <t>2375-2548</t>
  </si>
  <si>
    <t>SCI ADV</t>
  </si>
  <si>
    <t>Sci. Adv.</t>
  </si>
  <si>
    <t>eabb6291</t>
  </si>
  <si>
    <t>10.1126/sciadv.abb6291</t>
  </si>
  <si>
    <t>PT2XF</t>
  </si>
  <si>
    <t>WOS:000608481000008</t>
  </si>
  <si>
    <t>Cannone, N; Ponti, S; Malfasi, F</t>
  </si>
  <si>
    <t>Cannone, Nicoletta; Ponti, Stefano; Malfasi, Francesco</t>
  </si>
  <si>
    <t>A Pilot Project to Limit the Human Impacts on the Fragile Antarctic Biota: Mitigation of a Runway through Vegetation Transplantation</t>
  </si>
  <si>
    <t>SUSTAINABILITY</t>
  </si>
  <si>
    <t>runway airstrip; flora and vegetation; biological conservation; vegetation transplantation; mitigation of anthropogenic impacts; management decisions</t>
  </si>
  <si>
    <t>NORTHERN VICTORIA-LAND; TERRA-NOVA BAY; ICE-FREE AREAS; LATITUDINAL GRADIENT; LICHEN FLORA; KAR PLATEAU; SOUTHERN; COMMUNITIES; MOSSES; ADDITIONS</t>
  </si>
  <si>
    <t>Background: Antarctica is among the world's last great wildernesses, but the anthropogenic activities and associated infrastructures threaten its fragile biota. We quantify the impact of the construction of a 2200 m long gravel runway airstrip for airfreight operations of the Italian research station on vegetation ecosystems at Boulder Clay (continental Antarctica). We propose a pilot project to mitigate this impact through the transplantation of vegetation from the runway to safe sites. Methods: A vegetation field survey was performed through phytosociological releves and vegetation mapping and data were analyzed through multivariate analysis. Results: We quantify the destructive impact of the runway construction on the flora and vegetation of Boulder Clay. Based on vegetation characteristics, 28 priority areas were transplanted from the runway to safe sites, with 89% of survival. Conclusions: To our knowledge, this is the first time that vegetation transplantation was performed in Antarctica to mitigate the consequences of human actions, as formerly it was used only for scientific experiments. This pilot project provides a tool to support management decisions, involving the quantitative evaluation of the infrastructure impacts and showing the suitability of practical mitigation actions. This pilot project proposes a practical tool exportable to all Antarctica and beyond and suggests to link the permissions' release for the new infrastructures in Antarctica to the realization of specific conservation and mitigation actions.</t>
  </si>
  <si>
    <t>[Cannone, Nicoletta; Malfasi, Francesco] Insubria Univ, Dept Sci &amp; High Techonol, I-22100 Como, Italy; [Ponti, Stefano] Insubria Univ, Dept Theoret &amp; Appl Sci, I-21100 Varese, Italy</t>
  </si>
  <si>
    <t>University of Insubria; University of Insubria</t>
  </si>
  <si>
    <t>Cannone, N (corresponding author), Insubria Univ, Dept Sci &amp; High Techonol, I-22100 Como, Italy.</t>
  </si>
  <si>
    <t>nicoletta.cannone@uninsubria.it; s.ponti@uninsubria.it; f.malfasi@uninsubria.it</t>
  </si>
  <si>
    <t>Ponti, Stefano/AAB-3484-2021; Malfasi, Francesco/JTS-5575-2023</t>
  </si>
  <si>
    <t>Ponti, Stefano/0000-0002-4718-165X; Malfasi, Francesco/0000-0002-2660-8327</t>
  </si>
  <si>
    <t>2071-1050</t>
  </si>
  <si>
    <t>SUSTAINABILITY-BASEL</t>
  </si>
  <si>
    <t>Sustainability</t>
  </si>
  <si>
    <t>10.3390/su13020811</t>
  </si>
  <si>
    <t>PY0ND</t>
  </si>
  <si>
    <t>WOS:000611746000001</t>
  </si>
  <si>
    <t>Kim, I; Zhang, MM; Kim, K; Park, K</t>
  </si>
  <si>
    <t>Kim, Intae; Zhang, Miming; Kim, Kitae; Park, Keyhong</t>
  </si>
  <si>
    <t>First High-Frequency Underway Observation of DMS Distribution in the Southern Ocean during Austral Autumn</t>
  </si>
  <si>
    <t>ATMOSPHERE</t>
  </si>
  <si>
    <t>dimethyl sulfide; Southern Ocean; austral autumn; climate; high-frequency underway observation</t>
  </si>
  <si>
    <t>We investigate the distribution of dimethyl sulfide (DMS) in the Southern Ocean's (50 degrees W to 170 degrees W) surface water, including the Antarctic Peninsula and the marginal sea ice zone (MIZ) in the Ross and Amundsen Seas. This is the first high-frequency observation conducted in the austral autumn (in April) in the Southern Ocean. The mean DMS concentration was 2.7 +/- 2.5 nM (1 sigma) for the entire study area. Noticeably enhanced DMS (5 to 28 nM) concentrations were observed in the MIZ around the Ross and Amundsen Seas and the coastal regions in the Antarctic Peninsula; this could be attributed to biological production of local ice algae, which appears to be supplied with nutrients from glacial or sea ice melt water. These observed DMS inventories were significantly higher (an order of magnitude) than current climatological DMS inventories. The local DMS sources being transported outward from the polynyas, where strong bloom occurs during summer, could result in larger discrepancies between observed DMS and climatological DMS in the MIZ area (in the Amundsen Sea). Overall, this study is the first to highlight the significance of the underestimation of current DMS fluxes in the austral autumn, which consequently results in significant errors in the climate models.</t>
  </si>
  <si>
    <t>[Kim, Intae] Korea Inst Ocean Sci &amp; Technol KIOST, Marine Environm Res Ctr, Busan 49111, South Korea; [Zhang, Miming] Third Inst Oceanog, Key Lab Global Change &amp; Marine Atmospher Chem, Xiamen 361005, Peoples R China; [Kim, Kitae; Park, Keyhong] Korea Polar Res Inst KOPRI, Incheon 21990, South Korea</t>
  </si>
  <si>
    <t>Korea Institute of Ocean Science &amp; Technology (KIOST); Third Institute of Oceanography, Ministry of Natural Resources; Korea Polar Research Institute (KOPRI)</t>
  </si>
  <si>
    <t>Park, K (corresponding author), Korea Polar Res Inst KOPRI, Incheon 21990, South Korea.</t>
  </si>
  <si>
    <t>ikim@kiost.ac.kr; zhangmiming@tio.org.cn; ktkim@kopri.re.kr; keyhongpark@kopri.re.kr</t>
  </si>
  <si>
    <t>Kim, Intae/0000-0001-6789-9477; Kim, Kitae/0000-0003-0803-3547</t>
  </si>
  <si>
    <t>Korea Polar Research Institute [PE21110, PE21120]; National Research Foundation of South Korea [NRF-2019K2A9A2A06025329]; KIOST Indian Ocean Study [PE99912]; National Research Foundation of Korea [PN68460]; National Natural Science Foundation of China (NSFC) [4207060283, 41911540471]</t>
  </si>
  <si>
    <t>Korea Polar Research Institute(Korea Polar Research Institute of Marine Research Placement (KOPRI)); National Research Foundation of South Korea(National Research Foundation of Korea); KIOST Indian Ocean Study; National Research Foundation of Korea(National Research Foundation of Korea); National Natural Science Foundation of China (NSFC)(National Natural Science Foundation of China (NSFC))</t>
  </si>
  <si>
    <t>This research was funded by Korea Polar Research Institute (PE21110 and PE21120) and also supported by the international cooperation program managed by the National Research Foundation of South Korea (NRF-2019K2A9A2A06025329). I.K. is supported by grants from the KIOST Indian Ocean Study (PE99912) and National Research Foundation of Korea (PN68460). M.Z. is supported by grants from the National Natural Science Foundation of China (NSFC) (4207060283 and 41911540471).</t>
  </si>
  <si>
    <t>2073-4433</t>
  </si>
  <si>
    <t>ATMOSPHERE-BASEL</t>
  </si>
  <si>
    <t>Atmosphere</t>
  </si>
  <si>
    <t>10.3390/atmos12010122</t>
  </si>
  <si>
    <t>PV1DN</t>
  </si>
  <si>
    <t>WOS:000609734600001</t>
  </si>
  <si>
    <t>Cucini, C; Fanciulli, PP; Frati, F; Convey, P; Nardi, F; Carapelli, A</t>
  </si>
  <si>
    <t>Cucini, Claudio; Fanciulli, Pietro P.; Frati, Francesco; Convey, Peter; Nardi, Francesco; Carapelli, Antonio</t>
  </si>
  <si>
    <t>Re-Evaluating the Internal Phylogenetic Relationships of Collembola by Means of Mitogenome Data</t>
  </si>
  <si>
    <t>GENES</t>
  </si>
  <si>
    <t>springtail; evolution; mitochondrial DNA; phylogeny</t>
  </si>
  <si>
    <t>COMPLETE MITOCHONDRIAL GENOME; MOLECULAR PHYLOGENY; GENE ORDER; PERFORMANCE; EVOLUTION; SELECTION; ALIGNMENT; HEXAPODS; ORIGIN</t>
  </si>
  <si>
    <t>Collembola are an ancient and early diverging lineage of basal hexapods that occur in virtually all terrestrial habitats on Earth. Phylogenetic relationships between the different orders of Collembola are fiercely debated. Despite a range of studies and the application of both morphological and genetic approaches (singly or in combination) to assess the evolutionary relationships of major lineages in the group, no consensus has been reached. Several mitogenome sequences have been published for key taxa of the class (and their number is increasing rapidly). Here, we describe two new Antarctic Collembola mitogenomes and compare all complete or semi-complete springtail mitogenome sequences available on GenBank in terms of both gene order and DNA sequence analyses in a genome evolution and molecular phylogenetic framework. With minor exceptions, we confirm the monophyly of Poduromorpha and Symphypleona sensu stricto (the latter placed at the most basal position in the springtail phylogenetic tree), whereas monophyly of Neelipleona and Entomobryomorpha is only supported when a handful of critical taxa in these two lineages are excluded. Finally, we review gene order models observed in the class, as well as the overall mitochondrial nucleotide composition.</t>
  </si>
  <si>
    <t>[Cucini, Claudio; Fanciulli, Pietro P.; Frati, Francesco; Nardi, Francesco; Carapelli, Antonio] Univ Siena, Dept Life Sci, Via A Moro 2, I-53100 Siena, Italy; [Convey, Peter] British Antarctic Survey, NERC, Madingley Rd, Cambridge CB3 0ET, England</t>
  </si>
  <si>
    <t>University of Siena; UK Research &amp; Innovation (UKRI); Natural Environment Research Council (NERC); NERC British Antarctic Survey</t>
  </si>
  <si>
    <t>Carapelli, A (corresponding author), Univ Siena, Dept Life Sci, Via A Moro 2, I-53100 Siena, Italy.</t>
  </si>
  <si>
    <t>claudio.cucini@student.unisi.it; paolo.fanciulli@unisi.it; francesco.frati@unisi.it; pcon@bas.ac.uk; francesco.nardi@unisi.it; antonio.carapelli@unisi.it</t>
  </si>
  <si>
    <t>Convey, Peter/AAV-5728-2020; Nardi, Francesco/E-5516-2011; CUCINI, CLAUDIO/AAK-4520-2020</t>
  </si>
  <si>
    <t>Convey, Peter/0000-0001-8497-9903; Nardi, Francesco/0000-0003-0271-9855; CUCINI, CLAUDIO/0000-0003-1918-0702; CARAPELLI, Antonio/0000-0002-3165-9620</t>
  </si>
  <si>
    <t>Italian Program of Research in Antarctica [PNRA16_00234]; University of Siena; NERC; NERC [bas0100036] Funding Source: UKRI</t>
  </si>
  <si>
    <t>Italian Program of Research in Antarctica; University of Siena; NERC(UK Research &amp; Innovation (UKRI)Natural Environment Research Council (NERC)); NERC(UK Research &amp; Innovation (UKRI)Natural Environment Research Council (NERC))</t>
  </si>
  <si>
    <t>This study was funded by the Italian Program of Research in Antarctica (PNRA16_00234). Partial support was also provided by the University of Siena. P.C. is supported by NERC core funding to the BAS `Biodiversity, Evolution and Adaptation' Team.</t>
  </si>
  <si>
    <t>2073-4425</t>
  </si>
  <si>
    <t>GENES-BASEL</t>
  </si>
  <si>
    <t>Genes</t>
  </si>
  <si>
    <t>10.3390/genes12010044</t>
  </si>
  <si>
    <t>PV8XH</t>
  </si>
  <si>
    <t>WOS:000610263700001</t>
  </si>
  <si>
    <t>Labonne, J; Manicki, A; Chevalier, L; Tétillon, M; Guéraud, F; Hendry, AP</t>
  </si>
  <si>
    <t>Labonne, Jacques; Manicki, Aurelie; Chevalier, Louise; Tetillon, Marin; Gueraud, Francois; Hendry, Andrew P.</t>
  </si>
  <si>
    <t>Using Reciprocal Transplants to Assess Local Adaptation, Genetic Rescue, and Sexual Selection in Newly Established Populations</t>
  </si>
  <si>
    <t>genetic rescue; local adaptation; mating success; gene flow; small population</t>
  </si>
  <si>
    <t>LIFE-HISTORY TRAITS; MATE CHOICE; BROWN TROUT; REPRODUCTIVE SUCCESS; PREMATING ISOLATION; EVOLUTION; PACIFIC; HETEROZYGOSITY; SCALE; DIFFERENTIATION</t>
  </si>
  <si>
    <t>Small populations establishing on colonization fronts have to adapt to novel environments with limited genetic variation. The pace at which they can adapt, and the influence of genetic variation on their success, are key questions for understanding intraspecific diversity. To investigate these topics, we performed a reciprocal transplant experiment between two recently founded populations of brown trout in the sub-Antarctic Kerguelen Islands. Using individual tagging and genetic assignment methods, we tracked the fitness of local and foreign individuals, as well as the fitness of their offspring over two generations. In both populations, although not to the same extent, gene flow occurred between local and foreign gene pools. In both cases, however, we failed to detect obvious footprints of local adaptation (which should limit gene flow) and only weak support for genetic rescue (which should enhance gene flow). In the population where gene flow from foreign individuals was low, no clear differences were observed between the fitness of local, foreign, and F1 hybrid individuals. In the population where gene flow was high, foreign individuals were successful due to high mating success rather than high survival, and F1 hybrids had the same fitness as pure local offspring. These results suggest the importance of considering sexual selection, rather than just local adaptation and genetic rescue, when evaluating the determinants of success in small and recently founded populations.</t>
  </si>
  <si>
    <t>[Labonne, Jacques; Manicki, Aurelie; Chevalier, Louise; Tetillon, Marin; Gueraud, Francois] Univ Pau &amp; Pays Adour, UMR INRAE UPPA, Ecobiop, FR-64310 St Pee Sur Nivelle, France; [Hendry, Andrew P.] McGill Univ, Redpath Museum, Montreal, PQ H3A 0C4, Canada; [Hendry, Andrew P.] McGill Univ, Dept Biol, Montreal, PQ H3A 0C4, Canada</t>
  </si>
  <si>
    <t>INRAE; Universite de Pau et des Pays de l'Adour; McGill University; McGill University</t>
  </si>
  <si>
    <t>Labonne, J (corresponding author), Univ Pau &amp; Pays Adour, UMR INRAE UPPA, Ecobiop, FR-64310 St Pee Sur Nivelle, France.;Hendry, AP (corresponding author), McGill Univ, Redpath Museum, Montreal, PQ H3A 0C4, Canada.;Hendry, AP (corresponding author), McGill Univ, Dept Biol, Montreal, PQ H3A 0C4, Canada.</t>
  </si>
  <si>
    <t>jacques.labonne@inrae.fr; aurelie.manicki@inrae.fr; louise.chevalier@inrae.fr; marin.tetillon@inra.fr; francois.gueraud@inrae.fr; andrew.hendry@mcgill.ca</t>
  </si>
  <si>
    <t>Hendry, Andrew/C-5765-2008</t>
  </si>
  <si>
    <t>Labonne, Jacques/0000-0001-5953-3029</t>
  </si>
  <si>
    <t>French Polar Institute [SALMEVOL-1041]; INRAE [SALMEVOL-1041]</t>
  </si>
  <si>
    <t>French Polar Institute; INRAE</t>
  </si>
  <si>
    <t>The present study is part of the SALMEVOL-1041 research project, member of the Zone Atelier Antarctique et Terres Australes LTSER, funded by the French Polar Institute and our own institute INRAE.</t>
  </si>
  <si>
    <t>10.3390/genes12010005</t>
  </si>
  <si>
    <t>PV8QF</t>
  </si>
  <si>
    <t>WOS:000610245300001</t>
  </si>
  <si>
    <t>Dziadek, R; Doll, M; Warnke, F; Schlindwein, V</t>
  </si>
  <si>
    <t>Dziadek, Ricarda; Doll, Mechthild; Warnke, Fynn; Schlindwein, Vera</t>
  </si>
  <si>
    <t>Towards Closing the Polar Gap: New Marine Heat Flow Observations in Antarctica and the Arctic Ocean</t>
  </si>
  <si>
    <t>GEOSCIENCES</t>
  </si>
  <si>
    <t>geothermal heat flow; in situ temperature measurements; Antarctica; Arctic Ocean; Weddell Sea; Powell Basin; Gakkel Ridge; Aurora Vent Field</t>
  </si>
  <si>
    <t>The thermal state of the lithosphere and related geothermal heat flow (GHF) is a crucial parameter to understand a variety of processes related to cryospheric, geospheric, and/or biospheric interactions. Indirect estimates of GHF in polar regions from magnetic, seismological, or petrological data often show large discrepancies when compared to thermal in situ observations. Here, the lack of in situ data represents a fundamental limitation for both investigating thermal processes of the lithosphere and validating indirect heat flow estimates. During RV Polarstern expeditions PS86 and PS118, we obtained in situ thermal measurements and present the derived GHF in key regions, such as the Antarctic Peninsula and the Gakkel Ridge in the Arctic. By comparison with indirect models, our results indicate (1) elevated geothermal heat flow (75 +/- 5 mW m(-2) to 139 +/- 26 mW m(-2)) to the west of the Antarctic Peninsula, which should be considered for future investigations of ice-sheet dynamics and the visco-elastic behavior of the crust. (2) The thermal signature of the Powell Basin characteristic for oceanic crust of an age between 32 and 18 Ma. Further, we propose (3) that at different heat sources at the slow-spreading Gakkel Ridge in the Aurora Vent Field region might explain the geothermal heat flow distribution. We conclude that in situ observations are urgently required to ground-truth and fine-tune existing models and that a multidisciplinary approach is of high importance for the scientific community's understanding of this parameter.</t>
  </si>
  <si>
    <t>[Dziadek, Ricarda; Warnke, Fynn; Schlindwein, Vera] Helmholtz Ctr Polar &amp; Marine Res, Alfred Wegener Inst, Alten Hafen 26, D-27568 Bremerhaven, Germany; [Doll, Mechthild] Univ Bremen, Dept Geosci, Klagenfurter St 2, D-28359 Bremen, Germany</t>
  </si>
  <si>
    <t>Helmholtz Association; Alfred Wegener Institute, Helmholtz Centre for Polar &amp; Marine Research; University of Bremen</t>
  </si>
  <si>
    <t>Dziadek, R (corresponding author), Helmholtz Ctr Polar &amp; Marine Res, Alfred Wegener Inst, Alten Hafen 26, D-27568 Bremerhaven, Germany.</t>
  </si>
  <si>
    <t>ricarda.dziadek@awi.de; s_3oo8ut@uni-bremen.de; fynn.warnke@awi.de; vera.schlindwein@awi.de</t>
  </si>
  <si>
    <t>Dziadek, Ricarda/0000-0001-8689-9181; Warnke, Fynn/0000-0002-7477-5058</t>
  </si>
  <si>
    <t>Deutsche Forschungsgemeinschaft (DFG) [GO 724/14-1]; AWI Research Program PACES-II; AWI-MARUM Helmholtz Excellence Network [AWI_PS118_03]</t>
  </si>
  <si>
    <t>Deutsche Forschungsgemeinschaft (DFG)(German Research Foundation (DFG)); AWI Research Program PACES-II; AWI-MARUM Helmholtz Excellence Network</t>
  </si>
  <si>
    <t>This work was supported by the Deutsche Forschungsgemeinschaft (DFG) in the framework of the priority program Antarctic research with comparative investigations in Arctic ice areas by grant GO 724/14-1. Additional funds were contributed by the AWI Research Program PACES-II and itsWorkpackage 3.2. The study contributes to the Scientific Program Past Antarctic Ice Sheet Dynamics (PAIS) of the Scientific Committee for Antarctic Research (SCAR). RD was funded through the AWI-MARUM Helmholtz Excellence Network The Polar System and its effects on the Ocean Floor and expedition funds where contributed by grant AWI_PS118_03.</t>
  </si>
  <si>
    <t>2076-3263</t>
  </si>
  <si>
    <t>Geosciences</t>
  </si>
  <si>
    <t>10.3390/geosciences11010011</t>
  </si>
  <si>
    <t>PV9AB</t>
  </si>
  <si>
    <t>WOS:000610270900001</t>
  </si>
  <si>
    <t>Abram, G; Petersen, MR; Samsel, F; Asay-Davis, X; Comeau, D; Price, SF</t>
  </si>
  <si>
    <t>Abram, Greg; Petersen, Mark R.; Samsel, Francesca; Asay-Davis, Xylar; Comeau, Darin; Price, Stephen F.</t>
  </si>
  <si>
    <t>Antarctic Water Masses and Ice Shelves: Visualizing the Physics</t>
  </si>
  <si>
    <t>IEEE COMPUTER GRAPHICS AND APPLICATIONS</t>
  </si>
  <si>
    <t>High-resolution simulation of global climate physics enables us to model how the climate may change under a variety of future scenarios. Such simulations produce vast amounts of information and dense datasets. If interrogated in tandem, these datasets can provide holistic, vital information on Earth's many integrated systems by revealing the manifold interrelated properties of the atmosphere, ocean, and polar ice, framed by real-world terrain in three-dimensional space as they vary over time. To accomplish this, climate scientists have joined with computer scientists and an artist to develop techniques enabling scientists to see these relationships. The impact of ocean water properties on Antarctic ice shelves illustrates the benefit of this analysis in understanding land ice melt rates and thus sea-level rise.</t>
  </si>
  <si>
    <t>[Abram, Greg; Samsel, Francesca] Texas Adv Comp Ctr, Austin, TX 78758 USA; [Petersen, Mark R.; Asay-Davis, Xylar; Comeau, Darin; Price, Stephen F.] Los Alamos Natl Lab, Los Alamos, NM 87545 USA</t>
  </si>
  <si>
    <t>United States Department of Energy (DOE); Los Alamos National Laboratory</t>
  </si>
  <si>
    <t>Abram, G (corresponding author), Texas Adv Comp Ctr, Austin, TX 78758 USA.</t>
  </si>
  <si>
    <t>gda@tacc.utexas.edu; mpetersen@lanl.gov; fsamsel@tacc.utexas.edu; xylar@lanl.gov; dcomeau@lanl.gov; sprice@lanl.gov</t>
  </si>
  <si>
    <t>Adams, Greg/HLQ-2582-2023; Armstrong, Greg/JFS-7236-2023; Price, Stephen/E-1568-2013</t>
  </si>
  <si>
    <t>Price, Stephen/0000-0001-6878-2553; Comeau, Darin/0000-0003-4758-4253; Samsel, Francesca/0000-0002-8596-6159</t>
  </si>
  <si>
    <t>E3SM Project - U.S. DOE, Office of Biological and Environmental Research; National Energy Research Scientific Computing Center (DOE) [DE-AC02-05CH11231]; Argonne Leadership Computing Facility [DE-AC02-06CH11357]; DOE National Nuclear Security Administration [89233218CNA000001]; National Science Foundation [IIS 1704604, IIS 1704904]</t>
  </si>
  <si>
    <t>E3SM Project - U.S. DOE, Office of Biological and Environmental Research(United States Department of Energy (DOE)); National Energy Research Scientific Computing Center (DOE)(United States Department of Energy (DOE)); Argonne Leadership Computing Facility; DOE National Nuclear Security Administration(National Nuclear Security AdministrationUnited States Department of Energy (DOE)); National Science Foundation(National Science Foundation (NSF))</t>
  </si>
  <si>
    <t>Simulation data are available at https://e3sm.org/data/get-e3sm-data/released-e3sm-data/v1-1-degdata-cryosphere.This research was supported as part of the E3SM Project, funded by the U.S. DOE, Office of Biological and Environmental Research. Computing resources were provided by the National Energy Research Scientific Computing Center (DOE Contract DE-AC02-05CH11231) and Argonne Leadership Computing Facility (DE-AC02-06CH11357), both awarded under an ASCR Leadership Computing Challenge Award, and by the LANL Institutional Computing Program, supported by the DOE National Nuclear Security Administration under Contract 89233218CNA000001. This work was supported by the National Science Foundation under awards IIS 1704604 and IIS 1704904.</t>
  </si>
  <si>
    <t>IEEE COMPUTER SOC</t>
  </si>
  <si>
    <t>LOS ALAMITOS</t>
  </si>
  <si>
    <t>10662 LOS VAQUEROS CIRCLE, PO BOX 3014, LOS ALAMITOS, CA 90720-1314 USA</t>
  </si>
  <si>
    <t>0272-1716</t>
  </si>
  <si>
    <t>1558-1756</t>
  </si>
  <si>
    <t>IEEE COMPUT GRAPH</t>
  </si>
  <si>
    <t>IEEE Comput. Graph. Appl.</t>
  </si>
  <si>
    <t>10.1109/MCG.2020.3044228</t>
  </si>
  <si>
    <t>Computer Science, Software Engineering</t>
  </si>
  <si>
    <t>PT5XV</t>
  </si>
  <si>
    <t>WOS:000608688900006</t>
  </si>
  <si>
    <t>Yu, QZ; Ni, DW; Jiang, YX; Yan, YX; An, JC; Sun, T</t>
  </si>
  <si>
    <t>Yu, Qiuze; Ni, Dawen; Jiang, Yuxuan; Yan, Yuxuan; An, Jiachun; Sun, Tao</t>
  </si>
  <si>
    <t>Universal SAR and optical image registration via a novel SIFT framework based on nonlinear diffusion and a polar spatial-frequency descriptor</t>
  </si>
  <si>
    <t>Synthetic aperture radar (SAR) image; Nonlinear diffusion; Consistent gradient; Log-Gabor response; Image registration</t>
  </si>
  <si>
    <t>PHASE CONGRUENCY; POINT; DETECTOR; SCALE; SEGMENTATION</t>
  </si>
  <si>
    <t>Due to severe speckle noise in synthetic aperture radar (SAR) images and the large nonlinear intensity differences between SAR and optical images, the registration of SAR and optical images is a challenging problem that remains to be solved. In this paper, an improved nonlinear scale-invariant feature transform (SIFT)-framework-based algorithm that combines spatial feature detection with local frequency-domain description for the registration of SAR and optical images is proposed. First, multiscale representations of the SAR and optical images are constructed based on nonlinear diffusion to better preserve edges and obtain consistent edge information. The ratio of exponentially weighted averages (ROEWA) operator and the Sobel operator are utilized in the process of scale space construction to calculate consistent gradient information. Then, a new feature detection strategy based on the Harris-Laplace ROEWA and Harris-Laplace Sobel techniques is proposed to detect stable and repeatable keypoints in the scale space. Finally, a novel descriptor, called the rotation-invariant amplitudes of log-Gabor orientation histograms (RI-ALGH), and a simplified version, ALGH, are proposed. The proposed descriptors are built based on the amplitudes of multiscale and multiorientation log-Gabor responses and utilize an improved spatial structure of the gradient location and orientation histogram (GLOH) descriptor, which is robust to local distortions. The experimental results on both simulated and real images demonstrate that the proposed method can achieve better results than other state-of-the-art methods in terms of registration accuracy.</t>
  </si>
  <si>
    <t>[Yu, Qiuze; Ni, Dawen; Jiang, Yuxuan; Yan, Yuxuan; Sun, Tao] Wuhan Univ, Elect Informat Sch, Wuhan 430072, Peoples R China; [An, Jiachun] Wuhan Univ, Chinese Antarctic Ctr Surveying &amp; Mapping, Wuhan 430079, Peoples R China</t>
  </si>
  <si>
    <t>Wuhan University; Wuhan University</t>
  </si>
  <si>
    <t>Ni, DW (corresponding author), Wuhan Univ, Elect Informat Sch, Wuhan 430072, Peoples R China.</t>
  </si>
  <si>
    <t>yuhenry007@whu.edu.cn; 2019202120105@whu.edu.cn</t>
  </si>
  <si>
    <t>National Defense Innovation Science Foundation; National Natural Science Foundation of China [61174196]; Innovation Foundation of Equipment Development Department; Fundamental Research Funds for the Central Universities [2042019kf0220]; Innovation Fund of the Shanghai Academy of Spaceflight Technology [SAST2017-080]; CASIC</t>
  </si>
  <si>
    <t>National Defense Innovation Science Foundation; National Natural Science Foundation of China(National Natural Science Foundation of China (NSFC)); Innovation Foundation of Equipment Development Department; Fundamental Research Funds for the Central Universities(Fundamental Research Funds for the Central Universities); Innovation Fund of the Shanghai Academy of Spaceflight Technology; CASIC</t>
  </si>
  <si>
    <t>The authors would like to thank the anonymous reviewers for their constructive comments and suggestions to improve the quality of the paper. This work was supported in part by the National Defense Innovation Science Foundation, in part by the National Natural Science Foundation of China under Grant 61174196, in part by the Innovation Foundation of Equipment Development Department and CASIC, in part by the Fundamental Research Funds for the Central Universities under Grant 2042019kf0220, and in part by the Innovation Fund of the Shanghai Academy of Spaceflight Technology under Grant SAST2017-080.</t>
  </si>
  <si>
    <t>10.1016/j.isprsjprs.2020.10.019</t>
  </si>
  <si>
    <t>PN3UD</t>
  </si>
  <si>
    <t>WOS:000604406500001</t>
  </si>
  <si>
    <t>Pennino, S; Angrisano, A; Della Corte, V; Ferraioli, G; Gaglione, S; Innac, A; Martellato, E; Palumbo, P; Piscopo, V; Rotundi, A; Scamardella, A</t>
  </si>
  <si>
    <t>Pennino, Silvia; Angrisano, Antonio; Della Corte, Vincenzo; Ferraioli, Giampaolo; Gaglione, Salvatore; Innac, Anna; Martellato, Elena; Palumbo, Pasquale; Piscopo, Vincenzo; Rotundi, Alessandra; Scamardella, Antonio</t>
  </si>
  <si>
    <t>Sea State Monitoring by Ship Motion Measurements Onboard a Research Ship in the Antarctic Waters</t>
  </si>
  <si>
    <t>JOURNAL OF MARINE SCIENCE AND ENGINEERING</t>
  </si>
  <si>
    <t>wave spectrum resembling procedure; onboard measurements of heave and pitch motions; spectral analysis of ship motions; comparative analysis with weather forecast data</t>
  </si>
  <si>
    <t>A parametric wave spectrum resembling procedure is applied to detect the sea state parameters, namely the wave peak period and significant wave height, based on the measurement and analysis of the heave and pitch motions of a vessel in a seaway, recorded by a smartphone located onboard the ship. The measurement system makes it possible to determine the heave and pitch acceleration spectra of the reference ship in the encounter frequency domain and, subsequently, the absolute sea spectra once the ship motion transfer functions are provided. The measurements have been carried out onboard the research ship Laura Bassi, during the oceanographic campaign in the Antarctic Ocean carried out in January and February 2020. The resembled sea spectra are compared with the weather forecast data, provided by the global-WAM (GWAM) model, in order to validate the sea spectrum resembling procedure.</t>
  </si>
  <si>
    <t>[Pennino, Silvia; Ferraioli, Giampaolo; Gaglione, Salvatore; Innac, Anna; Martellato, Elena; Palumbo, Pasquale; Piscopo, Vincenzo; Rotundi, Alessandra; Scamardella, Antonio] Univ Naples Parthenope, Dept Sci &amp; Technol, Ctr Direz Isola C4, I-80143 Naples, Italy; [Angrisano, Antonio] Univ Benevento G Fortunato, Via Raffaele Delcogliano 12, I-82100 Benevento, Italy; [Della Corte, Vincenzo] IAPS INAF, Via Fosso del Cavaliere 100, I-00133 Rome, Italy</t>
  </si>
  <si>
    <t>Parthenope University Naples; Universita Telematica Giustino Fortunato; Istituto Nazionale Astrofisica (INAF)</t>
  </si>
  <si>
    <t>Pennino, S (corresponding author), Univ Naples Parthenope, Dept Sci &amp; Technol, Ctr Direz Isola C4, I-80143 Naples, Italy.</t>
  </si>
  <si>
    <t>silvia.pennino@uniparthenope.it; a.angrisano@unifortunato.eu; vincenzo.dellacorte@inaf.it; giampaolo.ferraioli@uniparthenope.it; salvatore.gaglione@uniparthenope.it; anna.innac@uniparthenope.it; elena.martellato@uniparthenope.it; pasquale.palumbo@uniparthenope.it; vincenzo.piscopo@uniparthenope.it; alessandra.rotundi@uniparthenope.it; antonio.scamardella@uniparthenope.it</t>
  </si>
  <si>
    <t>Piscopo, Vincenzo/AAE-5818-2019; Gaglione, Salvatore/F-9173-2012; Martellato, Elena/K-2779-2014</t>
  </si>
  <si>
    <t>Piscopo, Vincenzo/0000-0002-1140-4516; Gaglione, Salvatore/0000-0003-0860-2826; Della Corte, Vincenzo/0000-0001-6461-5803; Martellato, Elena/0000-0001-9038-5204; Rotundi, Alessandra/0000-0001-5467-157X; INNAC, ANNA/0000-0002-7772-3560</t>
  </si>
  <si>
    <t>DORA-Deployable Optics for Remote Sensing Applications - MIUR-PON Research &amp; Innovation/PNR 2015-2020 [ARS01_00653]</t>
  </si>
  <si>
    <t>DORA-Deployable Optics for Remote Sensing Applications - MIUR-PON Research &amp; Innovation/PNR 2015-2020</t>
  </si>
  <si>
    <t>The work was supported by DORA-Deployable Optics for Remote Sensing Applications (ARS01_00653), a project funded by MIUR-PON Research &amp; Innovation/PNR 2015-2020.</t>
  </si>
  <si>
    <t>2077-1312</t>
  </si>
  <si>
    <t>J MAR SCI ENG</t>
  </si>
  <si>
    <t>J. Mar. Sci. Eng.</t>
  </si>
  <si>
    <t>10.3390/jmse9010064</t>
  </si>
  <si>
    <t>Engineering, Marine; Engineering, Ocean; Oceanography</t>
  </si>
  <si>
    <t>PW0BB</t>
  </si>
  <si>
    <t>WOS:000610341100001</t>
  </si>
  <si>
    <t>Alcamán-Arias, ME; Fuentes-Alburquenque, S; Vergara-Barros, P; Cifuentes-Anticevic, J; Verdugo, J; Polz, M; Farías, L; Pedrós-Alió, C; Díez, B</t>
  </si>
  <si>
    <t>Alcaman-Arias, Maria Estrella; Fuentes-Alburquenque, Sebastian; Vergara-Barros, Pablo; Cifuentes-Anticevic, Jeronimo; Verdugo, Josefa; Polz, Martin; Farias, Laura; Pedros-Alio, Carlos; Diez, Beatriz</t>
  </si>
  <si>
    <t>Coastal Bacterial Community Response to Glacier Melting in the Western Antarctic Peninsula</t>
  </si>
  <si>
    <t>MICROORGANISMS</t>
  </si>
  <si>
    <t>glacial melting; bacterial microbial community; coastal Antarctic zone</t>
  </si>
  <si>
    <t>CLIMATE-CHANGE; SEA-ICE; PHYTOPLANKTON ASSEMBLAGES; SUMMER BACTERIOPLANKTON; MICROBIAL COMMUNITIES; MARINE ECOSYSTEM; SURFACE; WINTER; PRODUCTIVITY; DYNAMICS</t>
  </si>
  <si>
    <t>Current warming in the Western Antarctic Peninsula (WAP) has multiple effects on the marine ecosystem, modifying the trophic web and the nutrient regime. In this study, the effect of decreased surface salinity on the marine microbial community as a consequence of freshening from nearby glaciers was investigated in Chile Bay, Greenwich Island, WAP. In the summer of 2016, samples were collected from glacier ice and transects along the bay for 16S rRNA gene sequencing, while in situ dilution experiments were conducted and analyzed using 16S rRNA gene sequencing and metatranscriptomic analysis. The results reveal that certain common seawater genera, such as Polaribacter, Pseudoalteromonas and HTCC2207, responded positively to decreased salinity in both the bay transect and experiments. The relative abundance of these bacteria slightly decreased, but their functional activity was maintained and increased the over time in the dilution experiments. However, while ice bacteria, such as Flavobacterium and Polaromonas, tolerated the increased salinity after mixing with seawater, their gene expression decreased considerably. We suggest that these bacterial taxa could be defined as sentinels of freshening events in the Antarctic coastal system. Furthermore, these results suggest that a significant portion of the microbial community is resilient and can adapt to disturbances, such as freshening due to the warming effect of climate change in Antarctica.</t>
  </si>
  <si>
    <t>[Alcaman-Arias, Maria Estrella; Farias, Laura] Univ Concepcion, Dept Oceanog, Concepcion 4030000, Chile; [Alcaman-Arias, Maria Estrella; Farias, Laura; Diez, Beatriz] Ctr Climate &amp; Resilience Res CR 2, Santiago 8320000, Chile; [Alcaman-Arias, Maria Estrella] Univ Espiritu Santo, Escuela Med, Guayaquil 0901952, Ecuador; [Fuentes-Alburquenque, Sebastian] Univ Bernardo OHiggins, Ctr Invest Recursos Nat &amp; Sustentabilidad, Santiago 8370993, Chile; [Fuentes-Alburquenque, Sebastian] Univ Bernardo OHiggins, Fac Ingn Ciencia &amp; Tecnol, Santiago 8370993, Chile; [Vergara-Barros, Pablo; Cifuentes-Anticevic, Jeronimo; Diez, Beatriz] Pontificia Univ Catolica Chile, Dept Mol Genet &amp; Microbiol, Santiago 8331150, Chile; [Verdugo, Josefa] Helmholtz Ctr Polar &amp; Marine Res, Alfred Wegener Inst, D-27570 Bremerhaven, Germany; [Polz, Martin] MIT, Dept Civil &amp; Environm Engn, 77 Massachusetts Ave, Cambridge, MA 02139 USA; [Pedros-Alio, Carlos] CSIC, Ctr Nacl Biotecnol, Dept Biol Sistemas, Darwin 3, Madrid 28049, Spain</t>
  </si>
  <si>
    <t>Universidad de Concepcion; Universidad de Especialidades Espiritu Santo; Universidad Bernardo O'Higgins; Universidad Bernardo O'Higgins; Pontificia Universidad Catolica de Chile; Helmholtz Association; Alfred Wegener Institute, Helmholtz Centre for Polar &amp; Marine Research; Massachusetts Institute of Technology (MIT); Consejo Superior de Investigaciones Cientificas (CSIC); CSIC - Centro Nacional de Biotecnologia (CNB)</t>
  </si>
  <si>
    <t>Díez, B (corresponding author), Ctr Climate &amp; Resilience Res CR 2, Santiago 8320000, Chile.;Díez, B (corresponding author), Pontificia Univ Catolica Chile, Dept Mol Genet &amp; Microbiol, Santiago 8331150, Chile.</t>
  </si>
  <si>
    <t>mealcaman@uc.cl; sebastian.fuentes@ubo.cl; pvergar1@uc.cl; jeronimo.cifuentes@ug.uchile.cl; maria.josefa.verdugo@awi.de; martin.f.polz@univie.ac.at; laura.farias@udec.cl; cpedros@cnb.csic.es; bdiez@bio.puc.cl</t>
  </si>
  <si>
    <t>Díez, Beatriz/AAG-2244-2021; Polz, Martin/ABE-7199-2020; Verdugo, Josefa/HKE-6338-2023; Polz, Martin/HPG-8222-2023; Cifuentes-Anticevic, Jerónimo/AAT-5458-2021; Pedrós-Alió, Carlos/H-1222-2011</t>
  </si>
  <si>
    <t>Díez, Beatriz/0000-0002-9371-8083; Polz, Martin/0000-0002-4975-2946; Cifuentes-Anticevic, Jerónimo/0000-0002-8099-4994; Vergara-Barros, Pablo/0000-0001-9565-2711; Fuentes Alburquenque, Sebastian/0000-0001-8855-4400; Verdugo, Josefa/0000-0003-0121-1582; Farias, Laura/0000-0002-9479-1557; Alcaman-Arias, Maria Estrella/0000-0003-2464-9480</t>
  </si>
  <si>
    <t>Agencia Nacional de Investigacion y Desarrollo de Chile [ANID/FONDAP/15110009, DPI20140044-ANID, ANID/INACH/FONDECYT 3170807]; Spanish Ministry of Economy and Competitivity [CTM2016-80095-C2]; Instituto Antartico Chileno [INACH RT_15-10, RG_09-17, INACH RT_04-19]</t>
  </si>
  <si>
    <t>Agencia Nacional de Investigacion y Desarrollo de Chile; Spanish Ministry of Economy and Competitivity(Spanish Government); Instituto Antartico Chileno</t>
  </si>
  <si>
    <t>This work was financially supported by the Agencia Nacional de Investigacion y Desarrollo de Chile (ANID/FONDAP/15110009; DPI, grant number DPI20140044-ANID; ANID/INACH/FONDECYT 3170807), Spanish Ministry of Economy and Competitivity grant CTM2016-80095-C2, and the Instituto Antartico Chileno (grant numbers INACH RT_15-10, INACH RG_09-17 and INACH RT_04-19).</t>
  </si>
  <si>
    <t>2076-2607</t>
  </si>
  <si>
    <t>Microorganisms</t>
  </si>
  <si>
    <t>10.3390/microorganisms9010088</t>
  </si>
  <si>
    <t>PW3PW</t>
  </si>
  <si>
    <t>WOS:000610585700001</t>
  </si>
  <si>
    <t>Jung, J; Ko, Y; Lee, J; Yang, K; Park, YK; Kim, S; Moon, H; Kim, HJ; Yoo, KC</t>
  </si>
  <si>
    <t>Jung, Jaewoo; Ko, Youngtak; Lee, Joohan; Yang, Kiho; Park, Young Kyu; Kim, Sunghan; Moon, Heungsoo; Kim, Hyoung Jun; Yoo, Kyu-Cheul</t>
  </si>
  <si>
    <t>Multibeam Bathymetry and Distribution of Clay Minerals on Surface Sediments of a Small Bay in Terra Nova Bay, Antarctica</t>
  </si>
  <si>
    <t>MINERALS</t>
  </si>
  <si>
    <t>Antarctica; Ross Sea; Terra Nova Bay; multibeam bathymetry; surface sediments; clay mineralogy</t>
  </si>
  <si>
    <t>NORTHERN VICTORIA LAND; EASTERN ROSS SEA; ICE-SHEET; WEST ANTARCTICA; CAMPBELL GLACIER; PROVENANCE; RETREAT; SHELF; ATLANTIC; MARINE</t>
  </si>
  <si>
    <t>The second Antarctic station of South Korea was constructed at Terra Nova Bay, East Antarctica, but local seafloor morphology and clay mineralogical characteristics are still not fully understood. Its small bay is connected to a modern Campbell Glacier, cliffs, and raised beaches along the coastline. Fourteen sampling sites to collect surface sediments were chosen in the small bay for grain size and clay mineral analyses to study the sediment source and sediment-transport process with multibeam bathymetry and sub-bottom profiles. Under the dominant erosional features (streamlined feature and meltwater channel), icebergs are the major geological agent for transport and deposition of coarse-sized sediments along the edge of glaciers in summer, and thus the study area can reveal the trajectory of transport by icebergs. Glacier meltwater is an important agent to deposit the clay-sized detritus and it results from the dominance of the illite content occurring along the edge of Campbell Glacier Tongue. The high smectite content compared to Antarctic sediments may be a result of the source of the surrounding volcanic rocks around within the Melbourne Volcanic Province.</t>
  </si>
  <si>
    <t>[Jung, Jaewoo] Korea Inst Ocean Sci &amp; Technol, Global Ocean Res Ctr, Busan 49111, South Korea; [Ko, Youngtak] Korea Inst Ocean Sci &amp; Technol, Deep Sea Mineral Resources Res Ctr, Busan 49111, South Korea; [Lee, Joohan; Kim, Hyoung Jun] Korea Polar Res Inst, Dept Future Technol Convergence, Incheon 21990, South Korea; [Yang, Kiho] Pusan Natl Univ, Dept Oceanog, Busan 46241, South Korea; [Park, Young Kyu] Yonsei Univ, Dept Earth Syst Sci, Seoul 03722, South Korea; [Kim, Sunghan; Moon, Heungsoo; Yoo, Kyu-Cheul] Korea Polar Res Inst, Div Glacial Environm Res, Incheon 21990, South Korea</t>
  </si>
  <si>
    <t>Korea Institute of Ocean Science &amp; Technology (KIOST); Korea Institute of Ocean Science &amp; Technology (KIOST); Korea Polar Research Institute (KOPRI); Pusan National University; Yonsei University; Korea Polar Research Institute (KOPRI)</t>
  </si>
  <si>
    <t>Yoo, KC (corresponding author), Korea Polar Res Inst, Div Glacial Environm Res, Incheon 21990, South Korea.</t>
  </si>
  <si>
    <t>jaewoo@kiost.ac.kr; ytko@kiost.ac.kr; joohan@kopri.re.kr; kyang@pusan.ac.kr; pyk125@yonsei.ac.kr; delongksh@kopri.re.kr; jepy@kopri.re.kr; jun7100@kopri.re.kr; kcyoo@kopri.re.kr</t>
  </si>
  <si>
    <t>Kim, Sunghan/CAG-2289-2022</t>
  </si>
  <si>
    <t>JUNG, JAEWOO/0000-0003-4611-2385</t>
  </si>
  <si>
    <t>Korea Polar Research Institute (KOPRI) project [PE21090]</t>
  </si>
  <si>
    <t>Korea Polar Research Institute (KOPRI) project</t>
  </si>
  <si>
    <t>This work was funded by a Korea Polar Research Institute (KOPRI) project (PE21090) awarded to K.-C.Y.</t>
  </si>
  <si>
    <t>2075-163X</t>
  </si>
  <si>
    <t>MINERALS-BASEL</t>
  </si>
  <si>
    <t>Minerals</t>
  </si>
  <si>
    <t>10.3390/min11010072</t>
  </si>
  <si>
    <t>Geochemistry &amp; Geophysics; Mineralogy; Mining &amp; Mineral Processing</t>
  </si>
  <si>
    <t>PW3WU</t>
  </si>
  <si>
    <t>WOS:000610604000001</t>
  </si>
  <si>
    <t>Sun, XH; Wu, WJ; Li, XW; Xu, XY; Li, JF</t>
  </si>
  <si>
    <t>Sun, Xiaohui; Wu, Wenjin; Li, Xinwu; Xu, Xiyan; Li, Jinfeng</t>
  </si>
  <si>
    <t>Vegetation Abundance and Health Mapping Over Southwestern Antarctica Based on WorldView-2 Data and a Modified Spectral Mixture Analysis</t>
  </si>
  <si>
    <t>Antarctica; vegetation abundance; WorldView-2; spectral mixture analysis; moss health evaluation</t>
  </si>
  <si>
    <t>KING-GEORGE-ISLAND; TERRESTRIAL VEGETATION; BARTON PENINSULA; LICHEN FLORA; MOSS; COVER; STATION; GROWTH; SOILS; INDEX</t>
  </si>
  <si>
    <t>In polar regions, vegetation is especially sensitive to climate dynamics and thus can be used as an indicator of the global and regional environmental change. However, in Antarctica, there is very little information on vegetation distribution and growth status. To fill this gap, we evaluated the ability of both linear and nonlinear spectral mixture analysis (SMA) models, including a group of newly developed modified Nascimento's models for Antarctic vegetated areas (MNM-AVs), in estimating the abundance of major Antarctic vegetation types, i.e., mosses and lichens. The study was conducted using WorldView-2 satellite data and field measurements over the Fildes Peninsula and its surroundings, which are representative vegetated areas in Antarctica. In MNM-AVs, we introduced secondary scattering components for vegetation and its background to account for the sparsity of vegetation cover and reassigned their coefficients. The new models achieved improved performances, among which MNM-AV3 achieved the lowest error for mosses (lichens) abundance estimation with RMSE = 0.202 (0.213). Compared with MNM-AVs, the linear model performed particularly poor for lichens (RMSE = 0.322), which is in contrast to the case of mosses (RMSE = 0.212), demonstrating that spectral signals of lichens are more prone to mix with their backgrounds. Abundance maps of mosses and lichens, as well as a map of moss health status for the entire study area, were then obtained based on MNM-AV3 with around 80% overall accuracy. Moss areas account for 0.7695 km(2) in Fildes and 0.3259 km(2) in Ardley Island; unhealthy mosses amounted to 40% (49%) of the area in the summer of 2018 (2019), indicating considerable environmental stress.</t>
  </si>
  <si>
    <t>[Sun, Xiaohui; Wu, Wenjin; Li, Xinwu] Chinese Acad Sci, Aerosp Informat Res Inst, Key Lab Digital Earth Sci, Beijing 100094, Peoples R China; [Sun, Xiaohui] Chinese Acad Sci, Qilu Res Inst, Aerosp Informat Res Inst, Jinan 250101, Peoples R China; [Xu, Xiyan] Chinese Acad Sci, Inst Atmospher Phys, Beijing 100029, Peoples R China; [Li, Jinfeng] Chinese Acad Sci, Inst Bot, State Key Lab Systemat &amp; Evolutionary Bot, 20 Nanxincun, Beijing 100093, Peoples R China</t>
  </si>
  <si>
    <t>Chinese Academy of Sciences; Aerospace Information Research Institute, CAS; Chinese Academy of Sciences; Aerospace Information Research Institute, CAS; Chinese Academy of Sciences; Institute of Atmospheric Physics, CAS; Chinese Academy of Sciences; Institute of Botany, CAS</t>
  </si>
  <si>
    <t>Wu, WJ (corresponding author), Chinese Acad Sci, Aerosp Informat Res Inst, Key Lab Digital Earth Sci, Beijing 100094, Peoples R China.</t>
  </si>
  <si>
    <t>sunxh01@aircas.ac.cn; wuwj@radi.ac.cn; lixw@aircas.ac.cn; xiyan.xu@tea.ac.cn; lijinfeng@ibcas.ac.cn</t>
  </si>
  <si>
    <t>Xu, Xiyan/ABB-9249-2020; Xu, Xiyan/D-2854-2015; li, jinfeng/GVS-5425-2022; Li, Jin/GYQ-5363-2022; Wu, Wenjin/AAZ-6351-2020; Wu, Wenjin/AAA-5811-2021</t>
  </si>
  <si>
    <t>Xu, Xiyan/0000-0003-2732-1325; Wu, Wenjin/0000-0001-9735-7265</t>
  </si>
  <si>
    <t>Strategic Priority Research Program of Chinese Academy of Sciences [XDA19070203]; International Partnership Program of the Chinese Academy of Sciences [183611KYSB20200059, 131C11KYSB20160061]</t>
  </si>
  <si>
    <t>Strategic Priority Research Program of Chinese Academy of Sciences(Chinese Academy of Sciences); International Partnership Program of the Chinese Academy of Sciences</t>
  </si>
  <si>
    <t>This research was co-funded by the Strategic Priority Research Program of Chinese Academy of Sciences (XDA19070203) and the International Partnership Program of the Chinese Academy of Sciences (No. 183611KYSB20200059 and No. 131C11KYSB20160061).</t>
  </si>
  <si>
    <t>10.3390/rs13020166</t>
  </si>
  <si>
    <t>PX7TJ</t>
  </si>
  <si>
    <t>WOS:000611556600001</t>
  </si>
  <si>
    <t>Lamont, T; van den Berg, MA</t>
  </si>
  <si>
    <t>Lamont, T.; van den Berg, M. A.</t>
  </si>
  <si>
    <t>Mesoscale eddies influencing the sub-Antarctic Prince Edward Islands archipelago: Temporal variability and impact</t>
  </si>
  <si>
    <t>CONTINENTAL SHELF RESEARCH</t>
  </si>
  <si>
    <t>Prince Edward Islands; Southwest Indian ridge; Mesoscale eddies; Satellite altimetry; Temporal variability</t>
  </si>
  <si>
    <t>SOUTHERN-OCEAN; CIRCUMPOLAR CURRENT; INTERANNUAL VARIABILITY; GENTOO PENGUINS; EDDY PROPERTIES; CLIMATE-CHANGE; TRENDS; MARION; TEMPERATURE; ENVIRONMENT</t>
  </si>
  <si>
    <t>Mesoscale eddies in the Prince Edward Island (PEI) region of the Southern Ocean were identified and tracked using satellite altimetry over a 26-year period between 1993 and 2018. We further substantiated previous findings that eddies originating from the eddy hotspot east of the Southwest Indian Ridge have little direct effect on the PEIs, by demonstrating that over the 26-year period, only 3 cyclonic eddies from this hotspot region propagated close enough to interact with the PEI shelf. The majority of cyclonic and anticyclonic eddies that impacted the PEIs originated from the southern branch of the sub-Antarctic Front (S-SAF) and the northern branch of the Antarctic Polar Front (N-APF), further highlighting the importance of these fronts to the island ecosystem. Despite the fact that fewer than 10 eddies per year directly impact the islands, these eddies remain in contact with the PEI shelf and can thus influence conditions for a considerable part of the year, with eddy stirring likely influencing the islands more frequently than eddy trapping. There was no clear seasonal variation in the number and characteristics of these eddies, and long-term trends were also weak and mostly non-significant, likely due to the small number of eddies observed and the large variability between months and years. Nevertheless, our study presents the first 26-year investigation of the temporal variability of mesoscale eddies influencing the PEIs, providing a good baseline against which future changes can be assessed.</t>
  </si>
  <si>
    <t>[Lamont, T.; van den Berg, M. A.] Dept Environm Forestry &amp; Fisheries, Oceans &amp; Coasts Res Branch, POB 52126, ZA-8002 Cape Town, South Africa; [Lamont, T.] Univ Cape Town, Oceanog Dept, Private Bag X3, ZA-7701 Rondebosch, South Africa; [Lamont, T.] Univ Cape Town, Marine Res Inst, Private Bag X3, ZA-7701 Rondebosch, South Africa; [Lamont, T.] Bayworld Ctr Res &amp; Educ, 5 Riesling Rd, ZA-7806 Cape Town, South Africa</t>
  </si>
  <si>
    <t>Lamont, T (corresponding author), Dept Environm Forestry &amp; Fisheries, Oceans &amp; Coasts Res Branch, POB 52126, ZA-8002 Cape Town, South Africa.</t>
  </si>
  <si>
    <t>tlamont@environment.gov.za</t>
  </si>
  <si>
    <t>Lamont, Tarron/0000-0001-8464-891X</t>
  </si>
  <si>
    <t>Oceans &amp; Coasts Research Branch of the South African Department of Environment, Foresty and Fisheries (DEFF)</t>
  </si>
  <si>
    <t>Altimetry products were produced and distributed by the Copernicus Marine Environment Monitoring Service (CMEMS, http://marine.cope rnicus.eu). The Halo et al. (2014a) eddy detection scheme is publicly available, as described in their article. The Oceans &amp; Coasts Research Branch of the South African Department of Environment, Foresty and Fisheries (DEFF) are also thanked for funding support, administrative and logistical assistance.</t>
  </si>
  <si>
    <t>0278-4343</t>
  </si>
  <si>
    <t>1873-6955</t>
  </si>
  <si>
    <t>CONT SHELF RES</t>
  </si>
  <si>
    <t>Cont. Shelf Res.</t>
  </si>
  <si>
    <t>10.1016/j.csr.2020.104309</t>
  </si>
  <si>
    <t>PO9HU</t>
  </si>
  <si>
    <t>WOS:000605480900003</t>
  </si>
  <si>
    <t>Fudge, M; Ogier, E; Alexander, KA</t>
  </si>
  <si>
    <t>Fudge, Maree; Ogier, Emily; Alexander, Karen A.</t>
  </si>
  <si>
    <t>Emerging functions of the wellbeing concept in regional development scholarship: A review</t>
  </si>
  <si>
    <t>ENVIRONMENTAL SCIENCE &amp; POLICY</t>
  </si>
  <si>
    <t>Industry development; Common pool resources; Wellbeing; Regional development; Policy</t>
  </si>
  <si>
    <t>SUSTAINABLE DEVELOPMENT; ECOSYSTEM SERVICES; PROTECTED AREA; SOCIAL IMPACTS; FRAMEWORK; POLICY; PLACE; BOOM; HEALTH; GROWTH</t>
  </si>
  <si>
    <t>Wellbeing has become important in regional development policy as decision-makers grapple with delivering public goods from industry exploitation of resource commons. We asked how these differently constituted concepts-'regional development' and 'wellbeing' - are handled in the literature. We identified four findings: i) an increasing focus on holistic sustainable development in regional development; ii) different approaches for pre-development planning and post-development impact assessment; iii) four key wellbeing components most common in regional development; iv) emergence of mixed methods approaches to investigating wellbeing and regional development. We conclude that synthesising wellbeing and regional development within a carefully designed interdisciplinary approach is required.</t>
  </si>
  <si>
    <t>[Fudge, Maree; Ogier, Emily; Alexander, Karen A.] Univ Tasmania, Inst Marine &amp; Antarctic Studies, Private Bag 49, Hobart, Tas 7000, Australia; [Fudge, Maree; Ogier, Emily; Alexander, Karen A.] Univ Tasmania, Ctr Marine Socioecol, Private Bag 49, Hobart, Tas 7000, Australia</t>
  </si>
  <si>
    <t>Fudge, M (corresponding author), Univ Tasmania, Inst Marine &amp; Antarctic Studies, Private Bag 49, Hobart, Tas 7000, Australia.</t>
  </si>
  <si>
    <t>maree.fudge@utas.edu.au</t>
  </si>
  <si>
    <t>; Alexander, Karen/O-7042-2017</t>
  </si>
  <si>
    <t>Ogier, Emily/0000-0001-6157-5279; Fudge, Maree/0000-0003-1327-0053; Alexander, Karen/0000-0001-8801-413X</t>
  </si>
  <si>
    <t>1462-9011</t>
  </si>
  <si>
    <t>1873-6416</t>
  </si>
  <si>
    <t>ENVIRON SCI POLICY</t>
  </si>
  <si>
    <t>Environ. Sci. Policy</t>
  </si>
  <si>
    <t>10.1016/j.envsci.2020.10.005</t>
  </si>
  <si>
    <t>PR5US</t>
  </si>
  <si>
    <t>WOS:000607302000017</t>
  </si>
  <si>
    <t>Pollio, A; Magee, L; Salazar, JF</t>
  </si>
  <si>
    <t>Pollio, Andrea; Magee, Liam; Salazar, Juan Francisco</t>
  </si>
  <si>
    <t>The making of Antarctic futures: Participatory game design at the interface between science and policy</t>
  </si>
  <si>
    <t>FUTURES</t>
  </si>
  <si>
    <t>Antarctic futures; Antarctic cities; Environmental change; Serious games</t>
  </si>
  <si>
    <t>CLIMATE; ANTICIPATION; SIMULATION; NETWORKS; ECOLOGY</t>
  </si>
  <si>
    <t>Recent literature on Antarctic futures includes sobering scenarios for the Southern Polar region in the era of Anthropogenic climate change. Contrasting current trajectories with what might be accomplished through appropriate policies and stewardship, such studies acknowledge that change involves more than exhortation through scholarly venues of communication. In this paper, we address the possibility of translating scenario-based Antarctic futures into the playable experience of a simulation and strategy game - itself called Antarctic Futures. Held in three of the Antarctic gateway cities-Hobart (Australia), Christchurch (New Zealand), and Punta Arenas (Chile)-the participatory design process invited young people in each of these cities to contribute ideas, narratives, representations, and critique. We detail these contributions alongside an account of the game's genesis and development. Employing the concept of 'playful futures', we consider the opportunities opened by the process of speculation and co-design itself to address science-policy interfaces for research through digital games. This article suggests that serious games, as experimental sites of public science, can contribute to a collective imagining of alternative climate futures.</t>
  </si>
  <si>
    <t>[Pollio, Andrea; Magee, Liam; Salazar, Juan Francisco] Western Sydney Univ, Inst Culture &amp; Soc, Sydney, NSW, Australia; [Pollio, Andrea] Australia Polytech Turin, Turin, Italy</t>
  </si>
  <si>
    <t>Western Sydney University</t>
  </si>
  <si>
    <t>Pollio, A (corresponding author), Western Sydney Univ, Inst Culture &amp; Soc, Sydney, NSW, Australia.;Pollio, A (corresponding author), Australia Polytech Turin, Turin, Italy.</t>
  </si>
  <si>
    <t>andrea.p@westernsydney.edu.au; l.magee@westernsydney.edu.au; j.salazar@westernsydney.edu.au</t>
  </si>
  <si>
    <t>Pollio, Andrea/X-3477-2019</t>
  </si>
  <si>
    <t>Pollio, Andrea/0000-0001-8099-4452; Magee, Liam/0000-0003-2696-1064</t>
  </si>
  <si>
    <t>Australian Research Council (ARC) [LP160100210]; Australian Research Council [LP160100210] Funding Source: Australian Research Council</t>
  </si>
  <si>
    <t>Australian Research Council (ARC)(Australian Research Council); Australian Research Council(Australian Research Council)</t>
  </si>
  <si>
    <t>Australian Research Council (ARC) Linkage grant no. LP160100210.</t>
  </si>
  <si>
    <t>London</t>
  </si>
  <si>
    <t>125 London Wall, London, ENGLAND</t>
  </si>
  <si>
    <t>0016-3287</t>
  </si>
  <si>
    <t>1873-6378</t>
  </si>
  <si>
    <t>Futures</t>
  </si>
  <si>
    <t>10.1016/j.futures.2020.102662</t>
  </si>
  <si>
    <t>Economics; Regional &amp; Urban Planning</t>
  </si>
  <si>
    <t>Business &amp; Economics; Public Administration</t>
  </si>
  <si>
    <t>PP1GA</t>
  </si>
  <si>
    <t>WOS:000605615800006</t>
  </si>
  <si>
    <t>Alegret, L; Arreguín-Rodríguez, GJ; Trasviña-Moreno, CA; Thomas, E</t>
  </si>
  <si>
    <t>Alegret, Laia; Arreguin-Rodriguez, Gabriela J.; Trasvina-Moreno, Carlos A.; Thomas, Ellen</t>
  </si>
  <si>
    <t>Turnover and stability in the deep sea: Benthic foraminifera as tracers of Paleogene global change</t>
  </si>
  <si>
    <t>GLOBAL AND PLANETARY CHANGE</t>
  </si>
  <si>
    <t>Paleogene; Climate change; Benthic foraminifera; Latitudinal diversity gradient; Evolution</t>
  </si>
  <si>
    <t>EOCENE THERMAL MAXIMUM; STABLE-ISOTOPE RECORD; LATE PALEOCENE; SOUTHEAST ATLANTIC; LATEST PALEOCENE; MASS EXTINCTION; UPPER OCEAN; CLIMATE; CARBON; PRODUCTIVITY</t>
  </si>
  <si>
    <t>Benthic foraminifera are the most common meiofaunal unicellular deep-sea biota, forming skeletons used as proxies for past climate change. We aim to increase understanding of past non-analog oceans and ecosystems by evaluating deep-sea benthic foraminiferal responses to global environmental changes over latest Cretaceous through Oligocene times (67-23 million years ago). Earth suffered an asteroid impact at the end of the Cretaceous (similar to instantaneous; 66 Ma), episodes of rapid global warming during the Paleocene-Eocene Thermal Maximum (PETM; similar to 56 Ma) and other hyperthermals (millennial timescales), followed by gradual, but punctuated cooling (timescales of hundred thousands of years) from a world without polar ice sheets to a world with a large Antarctic ice sheet. Here we present the first compilation of quantitative data on deep-sea foraminifera at sites in all the world's oceans, aiming to build a first unique, uniform database that allows comparison of deep-sea faunal turnover across the uppermost Cretaceous through Paleogene. We document variability in space and time of benthic foraminiferal diversity: lack of extinction at the asteroid impact even though other marine and terrestrial groups suffered mass extinction; major extinction at the PETM followed by recovery and diversification; and gradual but fundamental turnover during gradual cooling and increase in polar ice volume (possibly linked to changes in the oceanic carbon cycle). High latitude cooling from similar to 45 Ma on, i.e., after the end of the Early Eocene Climate Optimum (53.2-49.2 Ma), may have made the middle Eocene a critical period of several millions of years of faunal turnover and establishment of latitudinal diversity gradients. This compilation thus illuminates the penetration of global change at very different rates into the largest and one of the most stable habitats on Earth, the deep sea with its highly diverse biota.</t>
  </si>
  <si>
    <t>[Alegret, Laia] Univ Zaragoza, Dept Ciencias Tierra, Pedro Cerbuna 12, Zaragoza 50009, Spain; [Alegret, Laia] Univ Zaragoza, Inst Univ Ciencias Ambient, Zaragoza 50009, Spain; [Arreguin-Rodriguez, Gabriela J.] Inst Politecn Nacl, Ctr Interdisciplinario Ciencias Marinas, La Paz, Baja California, Mexico; [Arreguin-Rodriguez, Gabriela J.] Univ Autonoma Baja California, Fac Ciencias Marinas, Ensenada 22860, Baja California, Mexico; [Trasvina-Moreno, Carlos A.] Univ Zaragoza, Inst Invest Ingn Aragon, HOWLab Human Openware Res Lab, Zaragoza, Spain; [Thomas, Ellen] Yale Univ, Dept Geol &amp; Geophys, POB 6666, New Haven, CT 06511 USA; [Thomas, Ellen] Wesleyan Univ, Dept Earth &amp; Environm Sci, Middletown, CT USA</t>
  </si>
  <si>
    <t>University of Zaragoza; University of Zaragoza; Instituto Politecnico Nacional - Mexico; Universidad Autonoma de Baja California; University of Zaragoza; Yale University; Wesleyan University</t>
  </si>
  <si>
    <t>Alegret, L (corresponding author), Univ Zaragoza, Dept Ciencias Tierra, Pedro Cerbuna 12, Zaragoza 50009, Spain.</t>
  </si>
  <si>
    <t>laia@unizar.es</t>
  </si>
  <si>
    <t>Alegret, Laia/B-5420-2008; Thomas, Ellen/JVO-1734-2024; Arreguin, Gabriela/JED-7194-2023</t>
  </si>
  <si>
    <t>Alegret, Laia/0000-0002-8801-9544; Thomas, Ellen/0000-0002-7141-9904; Arreguin-Rodriguez, Gabriela de Jesus/0000-0003-0662-6840</t>
  </si>
  <si>
    <t>Spanish Ministry of Economy and Competitiveness; FEDER funds [CGL2017-84693-R, PID2019-105537RB-I00]; Government of Aragon [E33_17R]; FEDER; SEP-CONACyT [221705]; NSF [OCE 1536611]</t>
  </si>
  <si>
    <t>Spanish Ministry of Economy and Competitiveness(Spanish Government); FEDER funds(European Union (EU)); Government of Aragon(Gobierno de Aragon); FEDER(European Union (EU)Spanish Government); SEP-CONACyT(Consejo Nacional de Ciencia y Tecnologia (CONACyT)); NSF(National Science Foundation (NSF))</t>
  </si>
  <si>
    <t>The authors are grateful to two anonymous reviewers for valuable comments. This work was supported by the Spanish Ministry of Economy and Competitiveness and FEDER funds (CGL2017-84693-R and PID2019-105537RB-I00), the Government of Aragon (Reference Group E33_17R, co-financed with FEDER 2014-2020 Building Europe from Aragon), by SEP-CONACyT (221705) and partially by NSF (OCE 1536611). This study includes data from samples provided by the Integrated Ocean Drilling Program (IODP).</t>
  </si>
  <si>
    <t>0921-8181</t>
  </si>
  <si>
    <t>1872-6364</t>
  </si>
  <si>
    <t>GLOBAL PLANET CHANGE</t>
  </si>
  <si>
    <t>Glob. Planet. Change</t>
  </si>
  <si>
    <t>10.1016/j.gloplacha.2020.103372</t>
  </si>
  <si>
    <t>PR4PS</t>
  </si>
  <si>
    <t>WOS:000607220500003</t>
  </si>
  <si>
    <t>Luo, TW; Li, F; Pan, B; Zhou, W; Chen, HJ; Shen, GB; Hao, WF</t>
  </si>
  <si>
    <t>Luo, Tianwen; Li, Fei; Pan, Bin; Zhou, Wei; Chen, Hongjie; Shen, Guangbao; Hao, Weifeng</t>
  </si>
  <si>
    <t>Deformation Monitoring of Slopes With a Shipborne InSAR System: A Case Study of the Lancang River Gorge</t>
  </si>
  <si>
    <t>Deformation monitoring; frequency-modulated continuous-wave (FMCW); reservoir slopes; SAR interferometry (InSAR); shipborne SAR</t>
  </si>
  <si>
    <t>Differential synthetic aperture radar interferometry (DInSAR) is a remote sensing technique to monitor ground deformation using repeat-pass data and suitable processing methods. Different platforms have been used to acquire DInSAR data such as space-borne, air-borne, car-mounted, and ground-based SAR systems. Space-borne SAR systems are relatively mature, but air-borne and other systems have attracted increasing interest of the remote sensing community due to their operational flexibility and observation capabilities. In this paper, a new InSAR platform is proposed for the deformation monitoring of reservoir slopes. The shipborne InSAR system uses frequency modulated continuous wave (FMCW) technology with one-transmit-dual-receive configuration. First, we describe the data acquisition process at the Lancang River Bank in October 2019. Subsequently, we present the imaging and interferometric capabilities of the new shipborne InSAR system. Moreover, we analyze the acquired radar data and present an assessment of the quality of the single look complex (SLC) SAR imagery and interferometric products. We focus on the influence of platform stability and baseline bias. Finally, we compare the calculated deformation with the measured deformation obtained from corner reflectors deployed in the monitored area. A line-of-sight error within 2cm is obtained. This paper proposes a novel solution for deformation monitoring of reservoir slopes and a new approach for InSAR applications.</t>
  </si>
  <si>
    <t>[Luo, Tianwen; Li, Fei] Wuhan Univ, State Key Lab Informat Engn Surveying Mapping &amp; R, Wuhan 430079, Peoples R China; [Luo, Tianwen] Guizhou Survey &amp; Design Res Inst Water Resources, Guiyang 550002, Peoples R China; [Pan, Bin; Shen, Guangbao] Wuhan Univ, Sch Remote Sensing &amp; Informat Engn, Wuhan 430079, Peoples R China; [Zhou, Wei] Wuhan Univ, Sch Water Resources &amp; Hydropower Engn, Wuhan 430072, Peoples R China; [Chen, Hongjie] Huaneng Lancang River Hydropower Inc, Technol Res &amp; Dev Ctr, Kunming 650000, Yunnan, Peoples R China; [Hao, Weifeng] Wuhan Univ, Chinese Antarctic Ctr Surveying &amp; Mapping, Wuhan 430079, Peoples R China</t>
  </si>
  <si>
    <t>Wuhan University; Wuhan University; Wuhan University; Wuhan University</t>
  </si>
  <si>
    <t>Li, F (corresponding author), Wuhan Univ, State Key Lab Informat Engn Surveying Mapping &amp; R, Wuhan 430079, Peoples R China.</t>
  </si>
  <si>
    <t>fli@whu.edu.cn</t>
  </si>
  <si>
    <t>Zhou, Wei/P-6013-2019</t>
  </si>
  <si>
    <t>Pan, Bin/0000-0001-7513-6533</t>
  </si>
  <si>
    <t>Major Projects of Guizhou Science and Technology Cooperation [[2017]3005-3]; China Huaneng Group Science and Technology Projects [HNKJ18-H24]; Huaneng Lancang River Hydropower Inc.</t>
  </si>
  <si>
    <t>Major Projects of Guizhou Science and Technology Cooperation; China Huaneng Group Science and Technology Projects; Huaneng Lancang River Hydropower Inc.</t>
  </si>
  <si>
    <t>This work was supported in part by the Major Projects of Guizhou Science and Technology Cooperation under Grant [2017]3005-3, in part by the China Huaneng Group Science and Technology Projects under Grant HNKJ18-H24, and in part by the Huaneng Lancang River Hydropower Inc.</t>
  </si>
  <si>
    <t>10.1109/ACCESS.2020.3048709</t>
  </si>
  <si>
    <t>PS8YJ</t>
  </si>
  <si>
    <t>WOS:000608209100001</t>
  </si>
  <si>
    <t>Zhang, N; Jin, L; Liu, CH; Zhang, RY; Siebert, HC; Li, YH; Loers, G; Petridis, AK; Xia, ZY; Dong, HJ; Zheng, XX</t>
  </si>
  <si>
    <t>Zhang, Ning; Jin, Li; Liu, Chunhong; Zhang, Ruiyan; Siebert, Hans-Christian; Li, Yanhui; Loers, Gabriele; Petridis, Athanasios K.; Xia, Zhangyong; Dong, Huijun; Zheng, Xuexing</t>
  </si>
  <si>
    <t>An antarctic krill oil-based diet elicits neuroprotective effects by inhibiting oxidative stress and rebalancing the M1/M2 microglia phenotype in a cuprizone model for demyelination</t>
  </si>
  <si>
    <t>JOURNAL OF FUNCTIONAL FOODS</t>
  </si>
  <si>
    <t>Multiple sclerosis; Antarctic krill oil; Oxidative stress; Neuroinflammation; Microglia polarization</t>
  </si>
  <si>
    <t>CENTRAL-NERVOUS-SYSTEM; MULTIPLE-SCLEROSIS; MOUSE MODEL; REMYELINATION; CELLS; MYELIN; STAT3; ASTAXANTHIN; EXPRESSION; POLARIZATION</t>
  </si>
  <si>
    <t>Multiple sclerosis (MS) is a chronic inflammatory disease that affects the central nervous system, and results in the degradation of the myelin sheath. The study investigates the neuroprotective effects of krill oil (KO) on the cuprizone (CPZ)-induced demyelination of the MS mouse model. The results suggested that KO treatment can improve the motor abnormalities and cognitive deficit of MS mice, as demonstrated by the open field, rotarod and Morris water maze tests. Meanwhile, the CPZ-induced demyelination of mice was alleviated after KO treatment and KO can attenuate the CPZ-induced oxidative stress. Furthermore, KO reduces M1 microglia activation and promotes M2 microglia polarization in the corpus callosum. Moreover, our studies indicated that KO diminished histone deacetylase (HDAC)3, phosphorylated signal transducer and activator of transcription (STAT) 3 and NF-kappa B p65 protein expression levels. In conclusion, KO exerts its neuroprotective actions in mice with CPZ-induced demyelination possibly by modulating the HDAC3/STAT3/NF-kappa B signaling pathways.</t>
  </si>
  <si>
    <t>[Zhang, Ning; Jin, Li; Liu, Chunhong; Zhang, Ruiyan] Liaocheng Univ, Inst Biopharmaceut Res, Liaocheng 252000, Shandong, Peoples R China; [Siebert, Hans-Christian] RI B NT Res Inst Bioinformat &amp; Nanotechnol, Schauenburgerstr 116, D-24118 Kiel, Germany; [Li, Yanhui] Liaocheng Peoples Hosp, Liaocheng 252000, Shandong, Peoples R China; [Loers, Gabriele] Univ Hamburg, Univ Med Ctr Hamburg Eppendorf, Ctr Mol Neurobiol Hamburg, Falkenried 94, D-20251 Hamburg, Germany; [Petridis, Athanasios K.] Heinrich Heine Univ Dusseldorf, Dept Neurosurg, Moorenstr 5, D-40255 Dusseldorf, Germany; [Xia, Zhangyong] Liaocheng Peoples Hosp, Dept Neurol, Liaocheng 252000, Shandong, Peoples R China; [Dong, Huijun] Liaocheng Univ, Dept Pharm, Liaocheng 252000, Shandong, Peoples R China; [Zheng, Xuexing] Shandong Univ, Sch Publ Hlth, Dept Virol, Jinan 250012, Peoples R China</t>
  </si>
  <si>
    <t>Liaocheng University; University of Hamburg; University Medical Center Hamburg-Eppendorf; Heinrich Heine University Dusseldorf; Liaocheng University; Shandong University</t>
  </si>
  <si>
    <t>Zhang, RY (corresponding author), Liaocheng Univ, Inst Biopharmaceut Res, Liaocheng 252000, Shandong, Peoples R China.;Xia, ZY (corresponding author), Liaocheng Peoples Hosp, Dept Neurol, Liaocheng 252000, Shandong, Peoples R China.;Dong, HJ (corresponding author), Liaocheng Univ, Dept Pharm, Liaocheng 252000, Shandong, Peoples R China.</t>
  </si>
  <si>
    <t>zry147896@163.com; xiazhangyong2013@163.com; donghuijun_747@163.com</t>
  </si>
  <si>
    <t>li, zhang/JHV-1750-2023; Zhang, Ruiyan/HHC-5329-2022; zhang, rui/HZI-0079-2023; Xia, Zhang/JDD-2165-2023</t>
  </si>
  <si>
    <t>Open Project of Shandong Collaborative Innovation Center for Antibody Drugs [CIC-AD1829, CICAD1834]; Doctoral Foundation of Liaocheng University [318051738, 318051827]; Foundation of Liaocheng University [318011907]</t>
  </si>
  <si>
    <t>Open Project of Shandong Collaborative Innovation Center for Antibody Drugs; Doctoral Foundation of Liaocheng University; Foundation of Liaocheng University</t>
  </si>
  <si>
    <t>This work was supported by Open Project of Shandong Collaborative Innovation Center for Antibody Drugs (No.CIC-AD1829 and No.CICAD1834), Doctoral Foundation of Liaocheng University (No. 318051738 and No. 318051827), Foundation of Liaocheng University (No.318011907).</t>
  </si>
  <si>
    <t>1756-4646</t>
  </si>
  <si>
    <t>2214-9414</t>
  </si>
  <si>
    <t>J FUNCT FOODS</t>
  </si>
  <si>
    <t>J. Funct. Food.</t>
  </si>
  <si>
    <t>10.1016/j.jff.2020.104309</t>
  </si>
  <si>
    <t>Food Science &amp; Technology; Nutrition &amp; Dietetics</t>
  </si>
  <si>
    <t>PQ6GP</t>
  </si>
  <si>
    <t>WOS:000606642200009</t>
  </si>
  <si>
    <t>Vidal, CP; Guido, DM; Shatwell, D; Lopez, R; Jovic, SM; Páez, GN; Moreira, P</t>
  </si>
  <si>
    <t>Permuy Vidal, C.; Guido, D. M.; Shatwell, D.; Lopez, R.; Jovic, S. M.; Paez, G. N.; Moreira, P.</t>
  </si>
  <si>
    <t>The Cerro Negro epithermal district, northwestern Deseado Massif (Patagonia, Argentina): New insights from telescoped volcanic-hydrothermal systems</t>
  </si>
  <si>
    <t>JOURNAL OF SOUTH AMERICAN EARTH SCIENCES</t>
  </si>
  <si>
    <t>Epithermal Au-Ag; Quartz-adularia; Jurassic; Deseado massif; Patagonia</t>
  </si>
  <si>
    <t>AU-AG DEPOSITS; VEIN SYSTEM; ANTARCTIC PENINSULA; SANTA-CRUZ; BREAK-UP; SUBDUCTION; EVOLUTION; GONDWANA; PROVINCE; WEST</t>
  </si>
  <si>
    <t>The Cerro Negro district, northwestern Deseado Massif (Patagonia, Argentina), is one of two world-class Au-Ag epithermal mines in the Patagonian region, with combined reserves, resources, and production of about 8 Moz of Au equivalent. The epithermal deposits are hosted by volcanic and intrusive rocks and are related to the evolution of distinct Jurassic magmatic events. Major WNW trending depocenters were filled by a thick sequence of andesitic-dacitic flows and ignimbrites. In the western part of the district, the sequence is intruded by sub volcanic bodies of the same composition and is grouped into the 159-156 Ma Eureka Volcanic Subvolcanic Complex (EVSC). Hydrothermal activity took place during the last stages of the EVSC, producing epithermal Au and Ag-rich veins of low to intermediate sulfidation style in the Eureka West (156 Ma) and the Marianas-San Marcos veins (155-154 Ma) that were emplaced in NW striking extensional faults and in WNW to E-W trending strike-slip faults. In the eastern part of the district, basal units of the EVSC are overlain by a thick package of 154 Ma rhyodacitic ignimbrites, hosting the NW to EW-striking Vein Zone deposit and the NW-striking Bajo Negro, Silica cap and Gato Salvaje veins. NNE-trending block faulting formed horsts in the western and eastern parts of the district, separated by a central graben. Uplift of the western and eastern horst blocks lowered the water table and caused erosion, exhumation, and telescoping of the vein systems. Volcanism culminated in a late to post-mineral rhyolitic event composed of lava-domes and volcaniclastic deposits grouped into the Eureka Rhyolitic Complex (ERC). Continued hydrothermal-volcanic explosive activity produced breccias which cap some of the Au-Ag vein deposits. The high geothermal gradient during ERC volcanism generated renewed hydrothermal activity, and hot springs discharged along the boundary faults of the central graben and within the graben in a fluvio-lacustrine environment. The Au-Ag epithermal veins associated with the EVSC (Eureka and Marianas-San Marcos) show a complex paragenetic history. High Au-Ag grades are related to early sulfide-rich ginguro bands formed at 290-230 degrees C from meteoric and volcanic fluids due to boiling/flashing mechanism at -600-800 m below the paleowater table. Low-grade to barren quartz stages followed the early Au-Ag stage, and late calcite was deposited due to the collapse of steam heated CO2 waters. The highest Au-Ag grades are related to a late supergene event extending to 400 m depth. The eastern group of epithermal deposits (Vein Zone, Bajo Negro, Silica cap and Gato Salvaje) were emplaced -300-400 m below the paleowater table indicated by a silica cap on Cerro Negro hill. They are dominated by silica replacement after lattice calcite texture with high Au grades related to low temperature quartz and late hematite-stained brecciation. We conclude that all deposits are genetically related to intrusive activity, and that additional Au-Ag mineralization may be concealed beneath post-mineral volcanic and sedimentary rocks in the central graben.</t>
  </si>
  <si>
    <t>[Permuy Vidal, C.; Guido, D. M.; Jovic, S. M.; Paez, G. N.; Moreira, P.] Univ Nacl La Plata, Fac Ciencias Nat &amp; Museo, Inst Recursos Minerales INREMI, Calle 64 &amp; 20,B1900FWA, La Plata, Argentina; [Permuy Vidal, C.; Guido, D. M.; Jovic, S. M.; Paez, G. N.; Moreira, P.] CONICET Consejo Nacl Invest Cient, Buenos Aires, DF, Argentina; [Shatwell, D.] Calle Monteflor 596, Lima 33, Peru; [Lopez, R.] YPF SA, Macacha Guemes 515,Puesto 21-004, Buenos Aires, DF, Argentina</t>
  </si>
  <si>
    <t>National University of La Plata; Museo La Plata</t>
  </si>
  <si>
    <t>Vidal, CP (corresponding author), Inst Recursos Minerales INREMI, Calle 64,Esq 120, RA-1900 Buenos Aires, DF, Argentina.</t>
  </si>
  <si>
    <t>conradopermuyvidal@gmail.com</t>
  </si>
  <si>
    <t>Andean Resources; Goldcorp Inc.; CONICET -FONCyT [PICT-2014-1704]; SeCyT -UNLP [N776]</t>
  </si>
  <si>
    <t>Andean Resources; Goldcorp Inc.; CONICET -FONCyT; SeCyT -UNLP</t>
  </si>
  <si>
    <t>This contribution forms part of the senior author's Ph.D. thesis at Universidad Nacional de La Plata-CONICET and co-financed by Andean Resources and Goldcorp Inc. This research was part of a PICT-2014-1704 (CONICET -FONCyT), and N776 (SeCyT -UNLP) research projects. We thank, Stabro Kasaneva, Gassaway Brown, and the rest of the Cerro Negro geological team their assistance, and access to data. Finally, the thorough reviews of Marta Franchini and anonymous reviewer, and the editorial assistance of Andres Folguera is gratefully acknowledged.</t>
  </si>
  <si>
    <t>0895-9811</t>
  </si>
  <si>
    <t>1873-0647</t>
  </si>
  <si>
    <t>J S AM EARTH SCI</t>
  </si>
  <si>
    <t>J. South Am. Earth Sci.</t>
  </si>
  <si>
    <t>10.1016/j.jsames.2020.103017</t>
  </si>
  <si>
    <t>PQ8LM</t>
  </si>
  <si>
    <t>WOS:000606795000002</t>
  </si>
  <si>
    <t>Liu, K; Hou, SG; Wu, SY; Zhang, WB; Zou, X; Yu, JH; Song, J; Sun, XC; Huang, RH; Pang, HX; Wang, JJ</t>
  </si>
  <si>
    <t>Liu, Ke; Hou, Shugui; Wu, Shuangye; Zhang, Wangbin; Zou, Xiang; Yu, Jinhai; Song, Jing; Sun, Xuechun; Huang, Renhui; Pang, Hongxi; Wang, Jiajia</t>
  </si>
  <si>
    <t>Assessment of heavy metal contamination in the atmospheric deposition during 1950-2016 AD from a snow pit at Dome A, East Antarctica</t>
  </si>
  <si>
    <t>Antarctica; Dome A; Heavy metals; Anthropogenic pollution</t>
  </si>
  <si>
    <t>ICE-CORE; SOUTHERN-OCEAN; SEA-ICE; RECORD; VARIABILITY; POLLUTION; SCALE; DUST; ACCUMULATION; CHEMISTRY</t>
  </si>
  <si>
    <t>Antarctic trace element records could provide important insights into the impact of human activities on the environment over the past few centuries. In this study, we investigated the atmospheric concentrations of 14 representative heavy metals (Al, As, Cd, Co, Cu, Fe, K, Mg, Mn, Pb, Sb, Sr, Tl and V) from 174 samples collected in a 4-m snow pit at Dome Argus (Dome A) on the East Antarctic Plateau, covering the period from 1950 to 2016 A.D. We found great variability in the annual concentration of all metals. The crustal enrichment factors suggest that the concentrations of some heavy metals (Cd, Sb, Cu, As and Pb) were likely influenced by anthropogenic activities in recent decades. An analysis of source regions suggests that heavy metal pollution at Dome A was largely caused by human activities in Australia and South America (e.g. mining production, leaded gasoline). Based on the relationship between the trace elements fluxes and sea ice concentration (SIC), sea surface temperature (SST) and annual mean air temperature at 2 m above the ground (T-2m), our analysis shows that deposition and transport of atmospheric aerosol at Dome A were influenced by circum-Antarctic atmospheric circulations. (C) 2020 Elsevier Ltd. All rights reserved.</t>
  </si>
  <si>
    <t>[Liu, Ke; Hou, Shugui; Wu, Shuangye; Zhang, Wangbin; Zou, Xiang; Yu, Jinhai; Song, Jing; Sun, Xuechun; Huang, Renhui; Pang, Hongxi; Wang, Jiajia] Nanjing Univ, Sch Geog &amp; Oceanog Sci, Nanjing 210023, Peoples R China; [Liu, Ke; Hou, Shugui; Zhang, Wangbin; Zou, Xiang; Pang, Hongxi] Nanjing Univ, Minist Educ, Key Lab Coastal &amp; Isl Dev, Nanjing 210023, Peoples R China; [Wu, Shuangye] Univ Dayton, Dept Geol, Dayton, OH 45469 USA</t>
  </si>
  <si>
    <t>Hou, SG (corresponding author), Nanjing Univ, Sch Geog &amp; Oceanog Sci, Nanjing 210023, Peoples R China.</t>
  </si>
  <si>
    <t>Wang, Jiajia/HCI-5717-2022</t>
  </si>
  <si>
    <t>Chinese Arctic and Antarctic Administration [CXPT2020012]; 333 Project of Jiangsu Province [BRA2020030]; National Natural Science Foundation of China [41830644, 91837102, 41771031, 41622605]</t>
  </si>
  <si>
    <t>This research was supported by the Chinese Arctic and Antarctic Administration (CXPT2020012), the 333 Project of Jiangsu Province (BRA2020030), National Natural Science Foundation of China (41830644, 91837102, 41771031, 41622605). The authors gratefully acknowledge the 32nd CHINARE scientific team and staff from Polar Research Institute of China, Chinese Academy of Sciences and Jilin University, China. We are grateful to V. Holly L. Winton and five anonymous reviewers for their construction suggestions, which helped to improve the paper.</t>
  </si>
  <si>
    <t>10.1016/j.envpol.2020.115848</t>
  </si>
  <si>
    <t>PH7AJ</t>
  </si>
  <si>
    <t>WOS:000600560400071</t>
  </si>
  <si>
    <t>Iserson, KV</t>
  </si>
  <si>
    <t>Iserson, Kenneth, V</t>
  </si>
  <si>
    <t>Bioethical Issues in Antarctica</t>
  </si>
  <si>
    <t>CAMBRIDGE QUARTERLY OF HEALTHCARE ETHICS</t>
  </si>
  <si>
    <t>resource-poor environments; improvised medicine; Antarctic medicine; disaster team training; public health ethics; evacuating patients</t>
  </si>
  <si>
    <t>This paper describes the Antarctic environment, the mission and work setting at the U.S. research stations, the general population and living conditions, and the healthcare situation. It also dispels some common misconceptions that persist about this environment and about the scope and quality of medicine practiced there. The paper then describes specific ethical issues that arise in this environment, incorporating examples drawn from both the author's experiences and those of his colleagues. The ethics of providing healthcare in resource-poor environments implies two related questions. The first is: What can we do with the available resources? This suggests that clinicians must not only know how to use all available equipment and supplies in the standard manner, but also that they must be willing and able to go beyond standard procedures and improvise, when necessary. The second question is: Of all the things we can do, which ones should we do? This paper addresses both questions in relation to Antarctic medical care. It describes the wide range of activities required of healthcare providers and some specific ethical issues that arise. Finally, it suggests some remedies to ameliorate some of those issues.</t>
  </si>
  <si>
    <t>[Iserson, Kenneth, V] Univ Arizona, Dept Emergency Med, Tucson, AZ 85721 USA</t>
  </si>
  <si>
    <t>University of Arizona</t>
  </si>
  <si>
    <t>Iserson, KV (corresponding author), Univ Arizona, Dept Emergency Med, Tucson, AZ 85721 USA.</t>
  </si>
  <si>
    <t>0963-1801</t>
  </si>
  <si>
    <t>1469-2147</t>
  </si>
  <si>
    <t>CAMB Q HEALTHC ETHIC</t>
  </si>
  <si>
    <t>Camb. Q. Healthc. Ethics</t>
  </si>
  <si>
    <t>PII S0963180120000638</t>
  </si>
  <si>
    <t>10.1017/S0963180120000638</t>
  </si>
  <si>
    <t>Health Care Sciences &amp; Services; Health Policy &amp; Services; Social Sciences, Biomedical</t>
  </si>
  <si>
    <t>Health Care Sciences &amp; Services; Biomedical Social Sciences</t>
  </si>
  <si>
    <t>PL8JE</t>
  </si>
  <si>
    <t>WOS:000603360100014</t>
  </si>
  <si>
    <t>Shi, Q; Su, J; Heygster, G; Shi, JX; Wang, LZ; Zhu, LZ; Lou, QL; Ludwig, V</t>
  </si>
  <si>
    <t>Shi, Qian; Su, Jie; Heygster, Georg; Shi, Jiuxin; Wang, Lianzhong; Zhu, Lizhong; Lou, Quanli; Ludwig, Valentin</t>
  </si>
  <si>
    <t>Step-by-Step Validation of Antarctic ASI AMSR-E Sea-Ice Concentrations by MODIS and an Aerial Image</t>
  </si>
  <si>
    <t>IEEE TRANSACTIONS ON GEOSCIENCE AND REMOTE SENSING</t>
  </si>
  <si>
    <t>Silicon carbide; Sea ice; MODIS; Microwave radiometry; Antarctica; Spatial resolution; Aerial imagery; AMSR-E (advanced microwave scanning radiometer for the earth-observing system) data; step-by-step validation; sea-ice concentration (SIC)</t>
  </si>
  <si>
    <t>CONCENTRATION RETRIEVAL; CONCENTRATION PRODUCT; SHIP OBSERVATIONS; SURFACE ALBEDO; ALGORITHM; SSM/I; PARAMETERS; IMPACT</t>
  </si>
  <si>
    <t>The lack of in situ data has always posed challenges to remote-sensing-data product validation. Herein, the products of sea-ice concentration (SIC) data derived using the arctic radiation and turbulence interaction study (ARTIST) sea ice (ASI) algorithm were evaluated by comparing them with SICs from a high-resolution sea-ice aerial image obtained during the 27th China Antarctic expedition in January 2011. Results suggest that data obtained from the advanced microwave scanning radiometer for the earth-observing system (AMSR-E) underestimate SICs by 19. We performed step-by-step comparisons among the aerial image, moderate-resolution-imaging spectroradiometer (MODIS), and AMSR-E SIC. These types of comparisons have not been made in previous validation studies. First, SICs acquired from MODIS-Terra imagery were acquired using a tie-point method and corrected by SICs derived from the aerial photography. Second, SICs of MODIS-Aqua images were trained based on the consistency of SIC results between MODIS-Terra and MODIS-Aqua over the selected region on the same day. Finally, the MODIS-Aqua SICs were employed to validate synchronous AMSR-E swath SIC products. The results show that the AMSR-E products underestimate SICs by 8.5 in the marginal ice zone in comparison with MODIS SICs. According to our further analysis between sea-ice types and AMSR-E biases, the higher the proportion of first-year ice, the smaller the AMSR-E SIC bias. In other words, results suggest that the higher the thin ice proportion, the more the AMSR-E underestimates the SIC.</t>
  </si>
  <si>
    <t>[Shi, Qian; Su, Jie; Shi, Jiuxin] Ocean Univ China, Key Lab Phys Oceanog, Qingdao 266100, Peoples R China; [Shi, Qian; Su, Jie; Shi, Jiuxin] Qingdao Natl Lab Marine Sci &amp; Technol, Qingdao 266100, Peoples R China; [Heygster, Georg; Ludwig, Valentin] Univ Bremen, Inst Environm Phys, D-28359 Bremen, Germany; [Wang, Lianzhong; Zhu, Lizhong; Lou, Quanli] Heilongjiang Adm Surveying Mapping &amp; Geoinformat, Harbin, Peoples R China</t>
  </si>
  <si>
    <t>Ocean University of China; Laoshan Laboratory; University of Bremen</t>
  </si>
  <si>
    <t>Su, J (corresponding author), Ocean Univ China, Key Lab Phys Oceanog, Qingdao 266100, Peoples R China.</t>
  </si>
  <si>
    <t>sujie@ouc.edu.cn</t>
  </si>
  <si>
    <t>Shi, Jiuxin/AAK-5495-2021; Ludwig, Valentin/JPM-3095-2023</t>
  </si>
  <si>
    <t>Shi, Jiuxin/0000-0002-5825-8894; Ludwig, Valentin/0000-0002-4877-5214</t>
  </si>
  <si>
    <t>National Key Research and Development Program of China [2016YFC1402704, 2018YFA0605703]</t>
  </si>
  <si>
    <t>National Key Research and Development Program of China</t>
  </si>
  <si>
    <t>This work was supported by the National Key Research and Development Program of China under Grant 2016YFC1402704 and Grant 2018YFA0605703.</t>
  </si>
  <si>
    <t>0196-2892</t>
  </si>
  <si>
    <t>1558-0644</t>
  </si>
  <si>
    <t>IEEE T GEOSCI REMOTE</t>
  </si>
  <si>
    <t>IEEE Trans. Geosci. Remote Sensing</t>
  </si>
  <si>
    <t>10.1109/TGRS.2020.2989037</t>
  </si>
  <si>
    <t>Geochemistry &amp; Geophysics; Engineering, Electrical &amp; Electronic; Remote Sensing; Imaging Science &amp; Photographic Technology</t>
  </si>
  <si>
    <t>Geochemistry &amp; Geophysics; Engineering; Remote Sensing; Imaging Science &amp; Photographic Technology</t>
  </si>
  <si>
    <t>PL4FE</t>
  </si>
  <si>
    <t>WOS:000603079000030</t>
  </si>
  <si>
    <t>Lobos, ACM; Márquez-Zavalía, MF; Lira, R; Hernández, LB</t>
  </si>
  <si>
    <t>Mugas Lobos, Ana Cecilia; Florencia Marquez-Zavalia, Maria; Lira, Raul; Beatriz Hernandez, Laura</t>
  </si>
  <si>
    <t>Mineralogy and microthermometry of the Escondida, Gabriela and Margarita mineralized structures from the Cerro Moro epithermal deposit, Deseado Massif, Argentina</t>
  </si>
  <si>
    <t>Jurassic magmatism; Epithermal Au-Ag; Deseado massif; Argentina; South America</t>
  </si>
  <si>
    <t>AU-AG DEPOSIT; SANTA-CRUZ; ANTARCTIC PENINSULA; SLEEPER DEPOSIT; BREAK-UP; PATAGONIA; VEIN; GOLD; MAGMATISM; EVOLUTION</t>
  </si>
  <si>
    <t>Cerro Moro deposit is a low sulfidation Au-Ag epithermal deposit located in Santa Cruz province, southern Patagonia Argentina. It is hosted by numerous structurally controlled quartz veins developed in close spatial and temporal relationship with the Jurassic extension and magmatism. The main area in Cerro Moro comprises the Escondida horst block, limited by NW-SE listric faults which provided the channels for the hydrothermal system. The Escondida (including its high grade ore shoot Zoe), Gabriela and Margarita prospects are representative areas documenting the dynamics of the major fault systems. Four stages of mineralization were defined in Cerro Moro. Gabriela and Margarita prospects, at the center and NE of the deposit, respectively, show good development of bladed quartz replacement textures with adularia crystals and scarce translucent/opaque minerals from the stage 1 (pyrite-sphalerite &gt; chalcopyrite &gt;&gt; galena-gold). The Escondida prospect, representing the southwest boundary of the Escondida horst block, is the most significantly mineralized structure hosting the base metal-rich and high grade Au-Ag mineralization. In this vein and in the Zoe high grade ore shoot, the translucent/opaque minerals are abundant (sphalerite, galena, chalcopyrite, lesser pyrite, marcasite, gold, silver and different quantities of Ag-bearing minerals) and mainly related to the dark grey, finely-grained quartz-muscovite veins from the stage 3 and to a lesser degree, from the stage 2. The presence of porous massive, crustiform, moss and colloform textures are interpreted to be formed by a sudden pressure release, where hydrofracturing and repetitive boiling occurred and lead to mineral deposition. Whitish quartz-adularia veinlets from the stage 4 may crosscut the previous sequences. The transparent, translucent and opaque minerals in Cerro Moro express a typical low sulfidation system, where the vein system is the result of the infilling and deposition of low temperature (174-265 degrees C) and salinity (0.4-0.7 wt% NaCl(eq)) hydrothermal fluids.</t>
  </si>
  <si>
    <t>[Mugas Lobos, Ana Cecilia] Consejo Nacl Invest Cient &amp; Tecn, CIGEOBIO, Av Ignacio Roza 590 Oeste,Rivadavia J5402DCS, San Juan, Argentina; [Florencia Marquez-Zavalia, Maria] Consejo Nacl Invest Cient &amp; Tecn, CCT Mendoza, IANIGLA, Av Ruiz Leal S-N, Mendoza, Argentina; [Florencia Marquez-Zavalia, Maria] Univ Nacl Cuyo, FAD, Mineral &amp; Petrol, RA-5502 Mendoza, Argentina; [Lira, Raul] UNC, Fac Ciencias Exactas Fis &amp; Nat, Museo Mineral &amp; Geol Dr A Stelzner, CONICET, Cordoba, Argentina; [Beatriz Hernandez, Laura] Univ Concepcion, Inst Geol Econ Aplicada, Casilla 160C, Concepcion, Chile</t>
  </si>
  <si>
    <t>Consejo Nacional de Investigaciones Cientificas y Tecnicas (CONICET); Consejo Nacional de Investigaciones Cientificas y Tecnicas (CONICET); University Nacional Cuyo Mendoza; University Nacional Cuyo Mendoza; Consejo Nacional de Investigaciones Cientificas y Tecnicas (CONICET); National University of Cordoba; Universidad de Concepcion</t>
  </si>
  <si>
    <t>Lobos, ACM (corresponding author), Consejo Nacl Invest Cient &amp; Tecn, CIGEOBIO, Av Ignacio Roza 590 Oeste,Rivadavia J5402DCS, San Juan, Argentina.</t>
  </si>
  <si>
    <t>amugas@unsj-cuim.edu.ar</t>
  </si>
  <si>
    <t>Consejo Nacional de Investigaciones Cientificas y Tecnicas (CONICET), Argentina [RD1163, 52531]; Agencia Nacional de Promocion Cientifica y Tecnologica [PICT 2015-0224]; Fondo para la Investigacion Cientifica y Tecnologica (AGENCIA-FONCyT) [PICT 2015-0224]; Extorre Gold Mines Limited; Yamana Gold S.A.</t>
  </si>
  <si>
    <t>Consejo Nacional de Investigaciones Cientificas y Tecnicas (CONICET), Argentina(Consejo Nacional de Investigaciones Cientificas y Tecnicas (CONICET)); Agencia Nacional de Promocion Cientifica y Tecnologica(ANPCyTSpanish Government); Fondo para la Investigacion Cientifica y Tecnologica (AGENCIA-FONCyT); Extorre Gold Mines Limited; Yamana Gold S.A.</t>
  </si>
  <si>
    <t>This work was supported by Consejo Nacional de Investigaciones Cientificas y Tecnicas (CONICET), Argentina, through the post-doc fellowship and the funding RD1163 (Grant Number: 52531) given to ACML; the Agencia Nacional de Promocion Cientifica y Tecnologica and Fondo para la Investigacion Cientifica y Tecnologica (AGENCIA-FONCyT-Grant Number: PICT 2015-0224); Extorre Gold Mines Limited and Yamana Gold S.A. made possible the field trip and sampling of the deposit.</t>
  </si>
  <si>
    <t>10.1016/j.jsames.2020.103077</t>
  </si>
  <si>
    <t>PQ8ND</t>
  </si>
  <si>
    <t>WOS:000606799300001</t>
  </si>
  <si>
    <t>Child, SF; Stearns, LA; Girod, L; Brecher, HH</t>
  </si>
  <si>
    <t>Child, Sarah F.; Stearns, Leigh A.; Girod, Luc; Brecher, Henry H.</t>
  </si>
  <si>
    <t>Structure-From-Motion Photogrammetry of Antarctic Historical Aerial Photographs in Conjunction with Ground Control Derived from Satellite Data</t>
  </si>
  <si>
    <t>aerial imagery; photogrammetry; structure-from-motion; historical digital elevation model; Antarctica; Byrd Glacier</t>
  </si>
  <si>
    <t>DIGITAL ELEVATION MODELS; ROSS ICE SHELF; BYRD GLACIER; EAST ANTARCTICA; MASS-BALANCE; SEA; EXTRACTION; PENINSULA; THICKNESS; DYNAMICS</t>
  </si>
  <si>
    <t>A longer temporal scale of Antarctic observations is vital to better understanding glacier dynamics and improving ice sheet model projections. One underutilized data source that expands the temporal scale is aerial photography, specifically imagery collected prior to 1990. However, processing Antarctic historical aerial imagery using modern photogrammetry software is difficult, as it requires precise information about the data collection process and extensive in situ ground control is required. Often, the necessary orientation metadata for older aerial imagery is lost and in situ data collection in regions like Antarctica is extremely difficult to obtain, limiting the use of traditional photogrammetric methods. Here, we test an alternative methodology to generate elevations from historical Antarctic aerial imagery. Instead of relying on pre-existing ground control, we use structure-from-motion photogrammetry techniques to process the imagery with manually derived ground control from high-resolution satellite imagery. This case study is based on vertical aerial image sets collected over Byrd Glacier, East Antarctica in December 1978 and January 1979. Our results are the oldest, highest resolution digital elevation models (DEMs) ever generated for an Antarctic glacier. We use these DEMs to estimate glacier dynamics and show that surface elevation of Byrd Glacier has been constant for the past similar to 40 years.</t>
  </si>
  <si>
    <t>[Child, Sarah F.; Stearns, Leigh A.] Univ Kansas, Dept Geol, Lawrence, KS 66045 USA; [Child, Sarah F.] Univ Colorado, Cooperat Inst Res Environm Sci, Boulder, CO 80309 USA; [Stearns, Leigh A.] Univ Kansas, Ctr Remote Sensing Ice Sheets, Lawrence, KS 66045 USA; [Girod, Luc] Univ Oslo, Dept Geosci, N-0315 Oslo, Norway; [Brecher, Henry H.] Ohio State Univ, Byrd Polar &amp; Climate Res Ctr, Columbus, OH 43210 USA</t>
  </si>
  <si>
    <t>University of Kansas; University of Colorado System; University of Colorado Boulder; University of Kansas; University of Oslo; University System of Ohio; Ohio State University</t>
  </si>
  <si>
    <t>Child, SF (corresponding author), Univ Kansas, Dept Geol, Lawrence, KS 66045 USA.;Child, SF (corresponding author), Univ Colorado, Cooperat Inst Res Environm Sci, Boulder, CO 80309 USA.</t>
  </si>
  <si>
    <t>sarah.child@colorado.edu; stearns@ku.edu; luc.girod@geo.uio.no; brecher.1@osu.edu</t>
  </si>
  <si>
    <t>/0000-0002-5458-7092; Girod, Luc/0000-0003-3627-5885; Child, Sarah/0000-0003-0677-2119; Stearns, Leigh/0000-0001-7358-7015</t>
  </si>
  <si>
    <t>NSF [ANT-1255488, ANT-1543530, DPP-7722204]</t>
  </si>
  <si>
    <t>This research was funded by NSF grants ANT-1255488 and ANT-1543530. The original air photo collection was funded by NSF grant DPP-7722204.</t>
  </si>
  <si>
    <t>10.3390/rs13010021</t>
  </si>
  <si>
    <t>PP8DG</t>
  </si>
  <si>
    <t>WOS:000606086100001</t>
  </si>
  <si>
    <t>Pour, AB; Sekandari, M; Rahmani, O; Crispini, L; Läufer, A; Park, Y; Hong, JK; Pradhan, B; Hashim, M; Hossain, MS; Muslim, AM; Mehranzamir, K</t>
  </si>
  <si>
    <t>Pour, Amin Beiranvand; Sekandari, Milad; Rahmani, Omeid; Crispini, Laura; Laeufer, Andreas; Park, Yongcheol; Hong, Jong Kuk; Pradhan, Biswajeet; Hashim, Mazlan; Hossain, Mohammad Shawkat; Muslim, Aidy M.; Mehranzamir, Kamyar</t>
  </si>
  <si>
    <t>Identification of Phyllosilicates in the Antarctic Environment Using ASTER Satellite Data: Case Study from the Mesa Range, Campbell and Priestley Glaciers, Northern Victoria Land</t>
  </si>
  <si>
    <t>phyllosilicates; alteration; ASTER; Antarctic environments; mesa range; Priestley Glacier; northern Victoria Land; Antarctica</t>
  </si>
  <si>
    <t>SPACEBORNE THERMAL EMISSION; REFLECTION RADIOMETER ASTER; CONSTRAINED ENERGY MINIMIZATION; SUBPIXEL TARGET DETECTION; TRANSANTARCTIC MOUNTAINS; GONDWANA-MARGIN; SNOW-COVER; CRETACEOUS ALTERATION; SPECTRAL-ANALYSIS; DETRITAL ZIRCONS</t>
  </si>
  <si>
    <t>In Antarctica, spectral mapping of altered minerals is very challenging due to the remoteness and inaccessibility of poorly exposed outcrops. This investigation evaluates the capability of Advanced Spaceborne Thermal Emission and Reflection Radiometer (ASTER) satellite remote sensing imagery for mapping and discrimination of phyllosilicate mineral groups in the Antarctic environment of northern Victoria Land. The Mixture-Tuned Matched-Filtering (MTMF) and Constrained Energy Minimization (CEM) algorithms were used to detect the sub-pixel abundance of Al-rich, Fe3+-rich, Fe2+-rich and Mg-rich phyllosilicates using the visible and near-infrared (VNIR), short-wave infrared (SWIR) and thermal-infrared (TIR) bands of ASTER. Results indicate that Al-rich phyllosilicates are strongly detected in the exposed outcrops of the Granite Harbour granitoids, Wilson Metamorphic Complex and the Beacon Supergroup. The presence of the smectite mineral group derived from the Jurassic basaltic rocks (Ferrar Dolerite and Kirkpatrick Basalts) by weathering and decomposition processes implicates Fe3+-rich and Fe2+-rich phyllosilicates. Biotite (Fe2+-rich phyllosilicate) is detected associated with the Granite Harbour granitoids, Wilson Metamorphic Complex and Melbourne Volcanics. Mg-rich phyllosilicates are mostly mapped in the scree, glacial drift, moraine and crevasse fields derived from weathering and decomposition of the Kirkpatrick Basalt and Ferrar Dolerite. Chlorite (Mg-rich phyllosilicate) was generally mapped in the exposures of Granite Harbour granodiorite and granite and partially identified in the Ferrar Dolerite, the Kirkpatrick Basalt, the Priestley Formation and Priestley Schist and the scree, glacial drift and moraine. Statistical results indicate that Al-rich phyllosilicates class pixels are strongly discriminated, while the pixels attributed to Fe3+-rich class, Fe2+-rich and Mg-rich phyllosilicates classes contain some spectral mixing due to their subtle spectral differences in the VNIR+SWIR bands of ASTER. Results derived from TIR bands of ASTER show that a high level of confusion is associated with mafic phyllosilicates pixels (Fe3+-rich, Fe2+-rich and Mg-rich classes), whereas felsic phyllosilicates (Al-rich class) pixels are well mapped. Ground truth with detailed geological data, petrographic study and X-ray diffraction (XRD) analysis verified the remote sensing results. Consequently, ASTER image-map of phyllosilicate minerals is generated for the Mesa Range, Campbell and Priestley Glaciers, northern Victoria Land of Antarctica.</t>
  </si>
  <si>
    <t>[Pour, Amin Beiranvand; Hossain, Mohammad Shawkat; Muslim, Aidy M.] Univ Malaysia Terengganu UMT, Inst Oceanog &amp; Environm INOS, Terengganu 21030, Malaysia; [Sekandari, Milad] Shahid Bahonar Univ Kerman, Dept Min Engn, Kerman 7616913439, Iran; [Rahmani, Omeid] Univ Kurdistan Hewler UKH, Sch Sci &amp; Engn, Dept Nat Resources Engn &amp; Management, Erbil 44001, Kurdistan Regio, Iraq; [Crispini, Laura] Univ Genoa, Dipartimento Sci Terra Ambiente &amp; Vita DISTAV, Corso Europa 26, I-16132 Genoa, Italy; [Laeufer, Andreas] Fed Inst Geosci &amp; Nat Resources BGR, Stilleweg 2, D-30655 Hannover, Germany; [Park, Yongcheol; Hong, Jong Kuk] Korea Polar Res Inst KOPRI, Incheon 21990, South Korea; [Pradhan, Biswajeet] Univ Technol Sydney, Fac Engn &amp; Informat Technol, Ctr Adv Modelling &amp; Geospatial Informat Syst CAMG, Sydney, NSW 2007, Australia; [Pradhan, Biswajeet] Sejong Univ, Dept Energy &amp; Mineral Resources Engn, 209 Neungdong Ro, Seoul 05006, South Korea; [Pradhan, Biswajeet] King Abdulaziz Univ, Ctr Excellence Climate Change Res, Jeddah 21589, Saudi Arabia; [Pradhan, Biswajeet] Univ Kebangsaan Malaysia, Inst Climate Change, Earth Observat Ctr, Bangi 43600, Selangor, Malaysia; [Hashim, Mazlan] Univ Teknol Malaysia UTM, Res Inst Sustainable Environm, Geosci &amp; Digital Earth Ctr INSTeG, Skudai 81310, Johor, Malaysia; [Mehranzamir, Kamyar] Univ Nottingham Malaysia, Dept Elect &amp; Elect Engn, Fac Sci &amp; Engn, Jalan Broga, Semenyih 43500, Selangor, Malaysia</t>
  </si>
  <si>
    <t>Universiti Malaysia Terengganu; Shahid Bahonar University of Kerman (SBUK); University of Kurdistan Hewler; University of Genoa; Korea Polar Research Institute (KOPRI); University of Technology Sydney; Sejong University; King Abdulaziz University; Universiti Kebangsaan Malaysia; Universiti Teknologi Malaysia; University of Nottingham Malaysia</t>
  </si>
  <si>
    <t>Pour, AB (corresponding author), Univ Malaysia Terengganu UMT, Inst Oceanog &amp; Environm INOS, Terengganu 21030, Malaysia.</t>
  </si>
  <si>
    <t>beiranvand.pour@umt.edu.my; m.sekandari@fadak-src.com; omeid.rahmani@ukh.edu.krd; laura.crispini@unige.it; andreas.laeufer@bgr.de; ypark@kopri.re.kr; jkhong@kopri.re.kr; Biswajeet.Pradhan@uts.edu.au; mazlanhashim@utm.my; shawkat@umt.edu.my; aidy@umt.edu.my; kamyar.mehranzamir@nottingham.edu.my</t>
  </si>
  <si>
    <t>Sekandari, Milad/AAC-5108-2022; Pradhan, Biswajeet/E-8226-2010; Rahmani, Omeid/F-5638-2013; Beiranvand Pour, Amin/E-1723-2013; Crispini, Laura/N-1580-2019; Hashim, Mazlan/J-7291-2012; Hossain, Mohammad/N-2469-2019; Muslim, Aidy/L-8645-2018</t>
  </si>
  <si>
    <t>Pradhan, Biswajeet/0000-0001-9863-2054; Rahmani, Omeid/0000-0002-3556-5760; Beiranvand Pour, Amin/0000-0001-8783-5120; Crispini, Laura/0000-0001-5770-8569; Hashim, Mazlan/0000-0001-8284-3332; Hossain, Mohammad/0000-0002-1974-7169; Muslim, Aidy/0000-0001-8421-5874; Hong, Jong Kuk/0000-0002-6705-2310; Mehranzamir, Kamyar/0000-0002-6808-201X; Sekandari, Milad/0000-0003-2523-7242</t>
  </si>
  <si>
    <t>Higher Institution Centre of Excellence (HICoE) Research Grant [66928]; Korea Polar Research Institute (KOPRI) [PE20230]; [PNRA2016_00040-REGGAE]</t>
  </si>
  <si>
    <t>Higher Institution Centre of Excellence (HICoE) Research Grant; Korea Polar Research Institute (KOPRI);</t>
  </si>
  <si>
    <t>This work was supported by the Higher Institution Centre of Excellence (HICoE) Research Grant (Vote Number: 66928), awarded to the Institute of Oceanography and Environment (INOS), Universiti Malaysia Terengganu (UMT). We are also thankful to the Korea Polar Research Institute (KOPRI) research grant PE20230. We acknowledge the logistic support of the Italian National Antarctic Research Programme (PNRA), and the German GANOVEX (German Antarctic North Victoria Land Expedition) research programme of the Federal Institute for Geosciences and Natural Resources (BGR). L.C. acknowledges the financial support of the Italian PNRA2016_00040-REGGAE project. Solveig Estrada from BGR is acknowledged who kindly provided unpublished XRD data.</t>
  </si>
  <si>
    <t>10.3390/rs13010038</t>
  </si>
  <si>
    <t>PQ1KG</t>
  </si>
  <si>
    <t>WOS:000606307100001</t>
  </si>
  <si>
    <t>Zanutta, A; Negusini, M; Vittuari, L; Martelli, L; Cianfarra, P; Salvini, F; Mancini, F; Sterzai, P; Creati, N; Dubbini, M; Capra, A</t>
  </si>
  <si>
    <t>Zanutta, Antonio; Negusini, Monia; Vittuari, Luca; Martelli, Leonardo; Cianfarra, Paola; Salvini, Francesco; Mancini, Francesco; Sterzai, Paolo; Creati, Nicola; Dubbini, Marco; Capra, Alessandro</t>
  </si>
  <si>
    <t>Victoria Land, Antarctica: An Improved Geodynamic Interpretation Based on the Strain Rate Field of the Current Crustal Motion and Moho Depth Model</t>
  </si>
  <si>
    <t>VLNDEF; GNSS time series; strain rate; gravity anomaly; Moho; Antarctica geodynamics; crustal deformations; PNRA</t>
  </si>
  <si>
    <t>GLACIAL ISOSTATIC-ADJUSTMENT; ROSS SEA; CENOZOIC EXTENSION; GRAVITY INVERSION; WEST ANTARCTICA; EAST ANTARCTICA; GPS; THICKNESS; DEFORMATION; SURFACE</t>
  </si>
  <si>
    <t>In Antarctica, the severe climatic conditions and the thick ice sheet that covers the largest and most internal part of the continent make it particularly difficult to systematically carry out geophysical and geodetic observations on a continental scale. It prevents the comprehensive understanding of both the onshore and offshore geology as well as the relationship between the inner part of East Antarctica (EA) and the coastal sector of Victoria Land (VL). With the aim to reduce this gap, in this paper multiple geophysical dataset collected since the 1980s in Antarctica by Programma Nazionale di Ricerche in Antartide (PNRA) were integrated with geodetic observations. In particular, the analyzed data includes: (i) Geodetic time series from Trans Antarctic Mountains DEFormation (TAMDEF), and Victoria Land Network for DEFormation control (VLNDEF) GNSS stations installed in Victoria Land; (ii) the integration of on-shore (ground points data and airborne) gravity measurements in Victoria Land and marine gravity surveys performed in the Ross Sea and the narrow strip of Southern Ocean facing the coasts of northern Victoria Land. Gravity data modelling has improved the knowledge of the Moho depth of VL and surrounding the offshore areas. By the integration of geodetic and gravitational (or gravity) potential results it was possible to better constrain/identify four geodynamic blocks characterized by homogeneous geophysical signature: the Southern Ocean to the N, the Ross Sea to the E, the Wilkes Basin to the W, and VL in between. The last block is characterized by a small but significant clockwise rotation relative to East Antarctica. The presence of a N-S to NNW-SSE 1-km step in the Moho in correspondence of the Rennick Geodynamic Belt confirms the existence of this crustal scale discontinuity, possibly representing the tectonic boundary between East Antarctica and the northern part of VL block, as previously proposed by some geological studies.</t>
  </si>
  <si>
    <t>[Zanutta, Antonio; Vittuari, Luca] Univ Bologna, Dipartimento Ingn Civile Chim Ambientale &amp; Mat DI, I-40136 Bologna, Italy; [Negusini, Monia] Ist Nazl Astrofis INAF, Ist Radioastron IRA, I-40129 Bologna, Italy; [Martelli, Leonardo] Ist Nazl Geofis &amp; Vulcanol INGV, Sez Bologna, I-40128 Bologna, Italy; [Cianfarra, Paola] Univ Genoa, Dipartimento Sci Terra Ambiente &amp; Vita DISTAV, I-16132 Genoa, Italy; [Salvini, Francesco] Univ Roma Tre, Dipartimento Sci Geol, I-00146 Rome, Italy; [Mancini, Francesco; Capra, Alessandro] Univ Modena &amp; Reggio Emilia, Dipartimento Ingn Enzo Ferrari, I-41125 Modena, Italy; [Sterzai, Paolo; Creati, Nicola] Ist Nazl Oceanog &amp; Geofis Sperimentale OGS, Infrastruct Sect IRI, I-34010 Sgonico, Italy; [Dubbini, Marco] Univ Bologna, Dipartimento Storia Culture Civilta DSCI, I-40124 Bologna, Italy</t>
  </si>
  <si>
    <t>University of Bologna; Istituto Nazionale Astrofisica (INAF); Istituto Nazionale Geofisica e Vulcanologia (INGV); University of Genoa; Roma Tre University; Universita di Modena e Reggio Emilia; Istituto Nazionale di Oceanografia e di Geofisica Sperimentale; University of Bologna</t>
  </si>
  <si>
    <t>Zanutta, A (corresponding author), Univ Bologna, Dipartimento Ingn Civile Chim Ambientale &amp; Mat DI, I-40136 Bologna, Italy.</t>
  </si>
  <si>
    <t>antonio.zanutta@unibo.it; negusini@ira.inaf.it; luca.vittuari@unibo.it; leonardo.martelli@ingv.it; paola.cianfarra@unige.it; francesco.salvini@uniroma3.it; francesco.mancini@unimore.it; psterzai@inogs.it; ncreati@inogs.it; marco.dubbini@unibo.it; acapra@unimore.it</t>
  </si>
  <si>
    <t>Negusini, Monia/N-6493-2015; Capra, Alessandro/L-9743-2015; Vittuari, Luca/C-1606-2018; MANCINI, Francesco/L-2937-2015; Dubbini, Marco/J-1765-2016</t>
  </si>
  <si>
    <t>Negusini, Monia/0000-0002-0064-5533; ZANUTTA, ANTONIO/0000-0003-4872-5222; CIANFARRA, Paola/0000-0001-9396-4519; MANCINI, Francesco/0000-0002-8553-345X; Vittuari, Luca/0000-0002-9815-1004; /0000-0003-4698-9996; Dubbini, Marco/0000-0001-6158-2727</t>
  </si>
  <si>
    <t>Programma Nazionale di Ricerche in Antartide (PNRA)</t>
  </si>
  <si>
    <t>Part of this work was supported by the Programma Nazionale di Ricerche in Antartide (PNRA).</t>
  </si>
  <si>
    <t>10.3390/rs13010087</t>
  </si>
  <si>
    <t>PP7VC</t>
  </si>
  <si>
    <t>WOS:000606064800001</t>
  </si>
  <si>
    <t>Mandal, G; Lee, SY; Yu, JY</t>
  </si>
  <si>
    <t>Mandal, Gagan; Lee, Shih-Yu; Yu, Jia-Yuh</t>
  </si>
  <si>
    <t>The Roles of Wind and Sea Ice in Driving the Deglacial Change in the Southern Ocean Upwelling: A Modeling Study</t>
  </si>
  <si>
    <t>Southern Ocean; upwelling; sea ice; buoyancy forcing; wind stress; last deglaciation</t>
  </si>
  <si>
    <t>LAST GLACIAL MAXIMUM; MERIDIONAL OVERTURNING CIRCULATION; ATMOSPHERIC CO2; HEMISPHERE WESTERLIES; SURFACE TEMPERATURE; INTERGLACIAL CHANGES; CARBON-DIOXIDE; CLIMATE; CYCLE; SIMULATION</t>
  </si>
  <si>
    <t>The Southern Ocean (SO) played a fundamental role in the deglacial climate system by exchanging carbon-rich deep ocean water with the surface. The contribution of the SO's physical mechanisms toward improving our understanding of SO upwelling's dynamical changes is developing. Here, we investigated the simulated transient SO atmosphere, ocean, and sea ice evolution during the last deglaciation in a fully coupled Earth system model. Our results showed that decreases in SO upwelling followed the weakening of the Southern Hemisphere surface westerlies, wind stress forcing, and Antarctic sea ice coverage from the Last Glacial Maximum to the Heinrich Stadial 1 and the Younger Dryas. Our results support the idea that the SO upwelling is primarily driven by wind stress forcing. However, during the onset of the Holocene, SO upwelling increased while the strength of the wind stress decreased. The Antarctic sea ice change controlled the salt and freshwater fluxes, ocean density, and buoyancy flux, thereby influencing the SO's dynamics. Our study highlighted the dynamic linkage of the Southern Hemisphere westerlies, ocean, and sea ice in the SO's latitudes. Furthermore, it emphasized that zonal wind stress forcing and buoyancy forcing control by sea ice together regulate the change in the SO upwelling.</t>
  </si>
  <si>
    <t>[Mandal, Gagan] Acad Sinica, Taiwan Int Grad Program, Earth Syst Sci Program, Taipei 11529, Taiwan; [Mandal, Gagan; Yu, Jia-Yuh] Natl Cent Univ, Dept Atmospher Sci, Taoyuan 32001, Taiwan; [Mandal, Gagan; Lee, Shih-Yu] Acad Sinica, Res Ctr Environm Changes, Taipei 11529, Taiwan</t>
  </si>
  <si>
    <t>Academia Sinica - Taiwan; National Central University; Academia Sinica - Taiwan</t>
  </si>
  <si>
    <t>Lee, SY (corresponding author), Acad Sinica, Res Ctr Environm Changes, Taipei 11529, Taiwan.</t>
  </si>
  <si>
    <t>gagan.iitroorkee@gmail.com; shihyu@gate.sinica.edu.tw; jiayuh@atm.ncu.edu.tw</t>
  </si>
  <si>
    <t>LEE, SHIH-YU/AAP-3128-2021; Yu, Jia-Yuh/Y-9365-2019</t>
  </si>
  <si>
    <t>LEE, SHIH-YU/0000-0001-8484-3846; Mandal, Gagan/0000-0002-9586-0665; Yu, Jia-Yuh/0000-0001-7512-2510</t>
  </si>
  <si>
    <t>Ministry of Science and Technology of Taiwan (MOST) [107-2611-M-001-006-, 106-2611-M-001-001-, 107-2119-M-002-051-]; Academia Sinica</t>
  </si>
  <si>
    <t>Ministry of Science and Technology of Taiwan (MOST); Academia Sinica(Academia Sinica - Taiwan)</t>
  </si>
  <si>
    <t>The Ministry of Science and Technology of Taiwan (MOST) provided grants #107-2611-M-001-006-, #106-2611-M-001-001-, and #107-2119-M-002-051-to Gagan Mandal and Shih-Yu Lee. Furthermore, a Taiwan International Graduate Program (TIGP) scholarship was awarded by Academia Sinica to Gagan Mandal.</t>
  </si>
  <si>
    <t>10.3390/su13010353</t>
  </si>
  <si>
    <t>PQ2DF</t>
  </si>
  <si>
    <t>WOS:000606359500001</t>
  </si>
  <si>
    <t>Raymond, JA; Janech, MG; Mangiagalli, M</t>
  </si>
  <si>
    <t>Raymond, James A.; Janech, Michael G.; Mangiagalli, Marco</t>
  </si>
  <si>
    <t>Ice-Binding Proteins Associated with an Antarctic Cyanobacterium, Nostoc sp. HG1</t>
  </si>
  <si>
    <t>APPLIED AND ENVIRONMENTAL MICROBIOLOGY</t>
  </si>
  <si>
    <t>Antarctica; Nostoc; PEP C-terminal signal; horizontal gene transfer; ice-binding proteins</t>
  </si>
  <si>
    <t>ANTIFREEZE PROTEIN; FREEZING TOLERANCE; DIVERSITY; BACTERIA; ALGA; SITE</t>
  </si>
  <si>
    <t>Ice-binding proteins (IBPs) have been identified in numerous polar algae and bacteria, but so far not in any cyanobacteria, despite the abundance of cyanobacteria in polar regions. We previously reported strong IBP activity associated with an Antarctic Nostoc species. In this study, to identify the proteins responsible, as well as elucidate their origin, we sequenced the DNA of an environmental sample of this species, designated Nostoc sp. HG1, and its bacterial community and attempted to identify IBPs by looking for known IBPs in the metagenome and by looking for novel IBPs by tandem mass spectrometry (MS/MS) proteomics analyses of ice affinity-purified proteins. The metagenome contained over 116 DUF3494-type IBP genes, the most common type of IBP identified so far. One of the IBPs could be confidently assigned to Nostoc, while the others could be attributed to diverse bacteria, which, surprisingly, accounted for the great majority of the metagenome. Recombinant Nostoc IBPs (nIBPs) had strong ice-structuring activities, and their circular dichroism spectra were consistent with the secondary structure of a DUF3494-type IBP. nIBP is unusual in that it is the only IBP identified so far to have a PEP (amino acid motif) C-terminal signal, a signal that has been associated with anchoring to the outer cell membrane. These results suggest that the observed IBP activity of Nostoc sp. HG1 was due to a combination of endogenous and exogenous IBPs. Amino acid and nucleotide sequence analyses of nIBP raise the possibility that it was acquired from a planctomycete. IMPORTANCE The horizontal transfer of genes encoding ice-binding proteins (IBPs), proteins that confer freeze-thaw tolerance, has allowed many microorganisms to expand their ranges into polar regions. One group of microorganisms for which nothing is known about its IBPs is cyanobacteria. In this study, we identified a cyanobacterial IBP and showed that it was likely acquired from another bacterium, probably a planctomycete. We also showed that a consortium of IBP-producing bacteria living with the Nostoc contribute to its IBP activity.</t>
  </si>
  <si>
    <t>[Raymond, James A.] Univ Nevada, Sch Life Sci, Las Vegas, NV 89154 USA; [Janech, Michael G.] Med Univ South Carolina, Dept Med, Charleston, SC 29425 USA; [Janech, Michael G.] Coll Charleston, Dept Biol, Charleston, SC 29424 USA; [Mangiagalli, Marco] Univ Milano Bicocca, Dept Biotechnol &amp; Biosci, Milan, Italy</t>
  </si>
  <si>
    <t>Nevada System of Higher Education (NSHE); University of Nevada Las Vegas; Medical University of South Carolina; College of Charleston; University of Milano-Bicocca</t>
  </si>
  <si>
    <t>Raymond, JA (corresponding author), Univ Nevada, Sch Life Sci, Las Vegas, NV 89154 USA.</t>
  </si>
  <si>
    <t>raymond@unlv.nevada.edu</t>
  </si>
  <si>
    <t>MANGIAGALLI, MARCO/Q-9988-2018</t>
  </si>
  <si>
    <t>MANGIAGALLI, MARCO/0000-0001-8211-165X; raymond, james/0000-0002-0391-1630; Janech, Michael/0000-0002-3202-4811</t>
  </si>
  <si>
    <t>NSF [OPP-9814294, OPP-0088000]; NASA pilot grant [80NSSC19M0050]</t>
  </si>
  <si>
    <t>NSF(National Science Foundation (NSF)); NASA pilot grant</t>
  </si>
  <si>
    <t>This study was partially supported by NSF grants OPP-9814294 and OPP-0088000 to J.A.R. and by a NASA pilot grant (80NSSC19M0050) to M.G.J. M.M. acknowledges support for a postdoc research fellow (Assegno di Ricerca) position from the University of Milan-Bicocca.</t>
  </si>
  <si>
    <t>AMER SOC MICROBIOLOGY</t>
  </si>
  <si>
    <t>1752 N ST NW, WASHINGTON, DC 20036-2904 USA</t>
  </si>
  <si>
    <t>0099-2240</t>
  </si>
  <si>
    <t>1098-5336</t>
  </si>
  <si>
    <t>APPL ENVIRON MICROB</t>
  </si>
  <si>
    <t>Appl. Environ. Microbiol.</t>
  </si>
  <si>
    <t>e02499-20</t>
  </si>
  <si>
    <t>10.1128/AEM.02499-20</t>
  </si>
  <si>
    <t>PO9BL</t>
  </si>
  <si>
    <t>WOS:000605459800025</t>
  </si>
  <si>
    <t>Ruiz-Ruiz, PA; Contreras, S; Quiroga, E; Urzúa, A</t>
  </si>
  <si>
    <t>Ruiz-Ruiz, Paula A.; Contreras, Sergio; Quiroga, Eduardo; Urzua, Angel</t>
  </si>
  <si>
    <t>Bioenergetic traits of three keystone marine species in the food web of a pristine Patagonian fjord</t>
  </si>
  <si>
    <t>JOURNAL OF SEA RESEARCH</t>
  </si>
  <si>
    <t>Biochemical composition; Energy; Trophodynamic; High-latitude aquatic ecosystems; Tierra del Fuego</t>
  </si>
  <si>
    <t>ESTUARINE MANGROVE ECOSYSTEM; CRANGON-CRANGON DECAPODA; INVERTEBRATE COMMUNITIES; BIOCHEMICAL-COMPOSITION; CHEMICAL-COMPOSITION; NUTRITIONAL QUALITY; PLANKTON DYNAMICS; ORGANIC-MATTER; BEAGLE CHANNEL; CARBON</t>
  </si>
  <si>
    <t>The Patagonian fjords are high-latitude aquatic ecosystems, highly sensitive to climate change and play a key role in the exchange of organic matter and carbon flows between terrestrial and marine environments. The bioenergetic composition of species living in these ecosystems are fundamental to understanding the distribution, seasonal variations, and exchange of organic matter within benthic communities. This study reports on the bioenergetic characteristics (lipids, protein, glucose, and energy content) of three keystone species with different life-style and feeding habits: a benthic sea star (Ctenodiscus australis); squat lobster (Munida gregaria); and a Patagonian notothenioid (Eleginops maclovinus). Samples were obtained from the Yendegaia Fjord (54 degrees 40'S 68 degrees 50 ' W) in Chilean Patagonia. Our results indicate that M. gregaria has higher concentrations of lipids, proteins, glucose, and total energy compared to either E. maclovinus or C. australis. The predominance of lipids in all species is possibly related to physiological characteristics and feeding strategies. Also, may be associated with the availability of food and environmental conditions typical of a fjord ecosystem and the reproductive stage in that they were collected. These results suggest that marine animals inhabiting glacially influenced environments with low temperature and low productivity, requires a convergent physiological strategy characterized by high levels of energy storage (i.e. lipids) for metabolism and key bioenergetic processes such as growth and reproduction.</t>
  </si>
  <si>
    <t>[Ruiz-Ruiz, Paula A.; Urzua, Angel] Univ Catolica Santisima Concepcion, Fac Ciencias, Dept Ecol, Casilla 297, Concepcion, Chile; [Ruiz-Ruiz, Paula A.; Contreras, Sergio; Urzua, Angel] Univ Catolica Santisima Concepcion, Ctr Invest Biodivers &amp; Ambientes Sustentables CIB, Concepcion, Chile; [Contreras, Sergio] Univ Catolica Santisima Concepcion, Fac Ciencias, Dept Quim Ambiental, Casilla 297, Concepcion, Chile; [Quiroga, Eduardo] Pontificia Univ Catolica Valparaiso PUCV, Escuela Ciencias Mar, Valparaiso, Chile</t>
  </si>
  <si>
    <t>Universidad Catolica de la Santisima Concepcion; Universidad Catolica de la Santisima Concepcion; Universidad Catolica de la Santisima Concepcion; Pontificia Universidad Catolica de Valparaiso</t>
  </si>
  <si>
    <t>Urzúa, A (corresponding author), Univ Catolica Santisima Concepcion, Fac Ciencias, Dept Ecol, Casilla 297, Concepcion, Chile.</t>
  </si>
  <si>
    <t>aurzua@ucsc.cl</t>
  </si>
  <si>
    <t>Contreras, Sergio/ITW-0420-2023; Urzúa, Ángel/AAA-6095-2019; Contreras, Sergio/I-1858-2014</t>
  </si>
  <si>
    <t>Urzúa, Ángel/0000-0001-7706-5126; Ruiz-Ruiz, Paula Andrea/0000-0003-2953-7859; Contreras, Sergio/0000-0001-7192-6810; Quiroga, Eduardo/0000-0002-7651-0213</t>
  </si>
  <si>
    <t>CIBAS project [CIBAS2017-4]; CONICYT-FONDECYT [1190398]; BMBF [N 180034]</t>
  </si>
  <si>
    <t>CIBAS project; CONICYT-FONDECYT(Comision Nacional de Investigacion Cientifica y Tecnologica (CONICYT)CONICYT FONDECYT); BMBF(Federal Ministry of Education &amp; Research (BMBF))</t>
  </si>
  <si>
    <t>We would like to thank the UCSC hydrobiological resources laboratory, especially Fabian Guzman, for all his support during the development of this research. We would like to thank the Laboratory of Environmental Sciences (Labensci), especially Eduardo Tejos for his excellent work and unconditional help. Thanks are due to the CIBAS project (CIBAS2017-4) Disentangle trophic levels in a glacial Chilean Patagonian fjord (Channel Martinez), combining fatty acids and stable isotope analysis of key organisms living in a remote estuarine ecosystem for funding and to the CONICYT-FONDECYT Project No 1190398 (SC) and BMBF N 180034 (AU) for inputs, material and laboratory assistance. We acknowledge the Chilean Antarctic Institute (INACH) for provide the L/C Karpuj for an exploratory research campaign on Yendegaia fjord during January 2017 that allowed to collected of sediment and macrofauna.</t>
  </si>
  <si>
    <t>1385-1101</t>
  </si>
  <si>
    <t>1873-1414</t>
  </si>
  <si>
    <t>J SEA RES</t>
  </si>
  <si>
    <t>J. Sea Res.</t>
  </si>
  <si>
    <t>10.1016/j.seares.2020.101984</t>
  </si>
  <si>
    <t>PM1KE</t>
  </si>
  <si>
    <t>WOS:000603566500002</t>
  </si>
  <si>
    <t>Moreau, C; Jossart, Q; Danis, B; Eléaume, M; Christiansen, H; Guillaumot, C; Downey, R; Saucède, T</t>
  </si>
  <si>
    <t>Moreau, Camille; Jossart, Quentin; Danis, Bruno; Eleaume, Marc; Christiansen, Henrik; Guillaumot, Charlene; Downey, Rachel; Saucede, Thomas</t>
  </si>
  <si>
    <t>The high diversity of Southern Ocean sea stars (Asteroidea) reveals original evolutionary pathways</t>
  </si>
  <si>
    <t>Antarctica; COI mtDNA; Biodiversity; Echinodermata; Evolution; Phylogeography</t>
  </si>
  <si>
    <t>CLIMATE-CHANGE; MOLECULAR PHYLOGENY; BENTHIC FAUNA; MARINE; ECHINODERMATA; PATTERNS; DIVERSIFICATION; SPECIATION; CRUSTACEA</t>
  </si>
  <si>
    <t>Benthic life in the Southern Ocean (SO) features unique life history traits and species assemblages, but the origin and evolution of many of these taxonomic groups is still unclear. Sea stars (Asteroidea) are a diversified and abundant component of benthic ecosystems in the SO, in which they can play key ecological roles. Former studies suggest that the diversity of the entire class is still poorly known and underestimated, hampering the assessment of the origin and evolution of the class in the SO. In the present study, we analyse spatial patterns of SO sea star diversity using an occurrence database of similar to 14,000 entries. The biogeographic analysis is coupled with the exploration of an extensive molecular phylogeny based on over 4,400 specimen sequences to inform, support and/or question the observed diversity patterns. We show that the current taxonomy of SO asteroids needs revision and that their diversity has generally been overlooked and misinterpreted. Molecular results highlight the recent diversification of most studied taxa, at genus and species levels, which supports an evolutionary scenario referring to successive invasion and exchange events between the SO and adjacent regions, and clade diversification during periods of rapid environmental changes driven by the succession of glacial cycles. Our work advocates for employing, and endorsing the use of extensive genetic barcode libraries for biodiversity studies.</t>
  </si>
  <si>
    <t>[Moreau, Camille; Jossart, Quentin; Danis, Bruno; Guillaumot, Charlene] Univ Libre Bruxelles ULB, Marine Biol Lab, CP160-15,50 Av FD Roosevelt, B-1050 Brussels, Belgium; [Moreau, Camille; Guillaumot, Charlene; Saucede, Thomas] Univ Bourgogne Franche Comte, CNRS, Biogeosci, UMR 6282, 6 Bvd Gabriel, F-21000 Dijon, France; [Jossart, Quentin] Vrije Univ Brussel VUB, Marine Biol, Pl Laan 2, B-1050 Brussels, Belgium; [Eleaume, Marc] Sorbonne Univ, Museum Natl Hist Nat, CNRS, EPHE,Inst Syst,Evolut,Biodiversite ISYEB, 57 Rue Cuvier, F-75005 Paris, France; [Christiansen, Henrik] Katholieke Univ Leuven, Lab Biodivers &amp; Evolutionary Genom, Leuven, Belgium; [Downey, Rachel] Australian Natl Univ, Fenner Sch Environm &amp; Soc, Linnaeus Way, Canberra, ACT 2601, Australia</t>
  </si>
  <si>
    <t>Universite Libre de Bruxelles; Centre National de la Recherche Scientifique (CNRS); Universite de Bourgogne; Vrije Universiteit Brussel; Universite PSL; Ecole Pratique des Hautes Etudes (EPHE); Sorbonne Universite; Centre National de la Recherche Scientifique (CNRS); Museum National d'Histoire Naturelle (MNHN); KU Leuven; Australian National University</t>
  </si>
  <si>
    <t>Moreau, C (corresponding author), Univ Libre Bruxelles ULB, Marine Biol Lab, CP160-15,50 Av FD Roosevelt, B-1050 Brussels, Belgium.</t>
  </si>
  <si>
    <t>mr.moreau.camille@gmail.com</t>
  </si>
  <si>
    <t>Christiansen, Henrik/GXG-6057-2022; Danis, Bruno/AAS-8444-2021; Downey, Rachel/Q-4156-2019</t>
  </si>
  <si>
    <t>Christiansen, Henrik/0000-0001-7114-5854; Danis, Bruno/0000-0002-9037-7623; Jossart, Quentin/0000-0002-2280-243X; Moreau, Camille/0000-0002-0981-7442</t>
  </si>
  <si>
    <t>Fonds pour la formation a la Recherche dans l'Industrie et l'Agriculture (FRIA); Belgian Science Policy Office (BELSPO) [BR/132/A1/vERSO]</t>
  </si>
  <si>
    <t>Fonds pour la formation a la Recherche dans l'Industrie et l'Agriculture (FRIA)(Fonds de la Recherche Scientifique - FNRS); Belgian Science Policy Office (BELSPO)(Belgian Federal Science Policy Office)</t>
  </si>
  <si>
    <t>The work was supported by a Fonds pour la formation `a la Recherche dans l'Industrie et l'Agriculture (FRIA) grant to C. Moreau. This is contribution no. 37 to the vERSO project (www.rectoversoproje cts.be), funded by the Belgian Science Policy Office (BELSPO, contract n.BR/132/A1/vERSO). The authors would like to thank all the persons and institutes involved in sharing the samples and sequences analysed in this study as well as research programs that made the collection of samples possible. S. Schiaparelli -University and Museum of Genoa; K. Neill -National Institute of Water and Atmospheric Research; H. Griffiths, D. Barnes and K. Linse -British Antarctic Survey; C. Gallut, N. Am ' eziane, N. Vasset, A. Froger, G. Lecointre and A. Dettai -Museum National d'Histoire Naturelle, Paris; C. Mah -Smithsonian Institution. Programs: PROTEKER (IPEV 1044, French LTER ZATA), POKER 2, REVOLTA (IPEV 1124), CEAMARC, ANTFLOCKs, JR144, JR179, JR230, JR262, JR275, JR287, JR15005, ACE -ASCCC.</t>
  </si>
  <si>
    <t>10.1016/j.pocean.2020.102472</t>
  </si>
  <si>
    <t>PN0NX</t>
  </si>
  <si>
    <t>WOS:000604185400005</t>
  </si>
  <si>
    <t>Sumby, J; Haward, M; Fulton, EA; Pecl, GT</t>
  </si>
  <si>
    <t>Sumby, Jonathan; Haward, Marcus; Fulton, Elizabeth A.; Pecl, Gretta T.</t>
  </si>
  <si>
    <t>Hot fish: The response to climate change by regional fisheries bodies</t>
  </si>
  <si>
    <t>MARINE POLICY</t>
  </si>
  <si>
    <t>Climate change; Hotspots; Fisheries management; Governance; Regional fisheries bodies</t>
  </si>
  <si>
    <t>MARINE FISHERIES; SCIENTIFIC ADVICE; OCEAN; MANAGEMENT; IMPACTS; ADAPTATION; ECOSYSTEMS; VULNERABILITY; BIODIVERSITY; REVIEWS</t>
  </si>
  <si>
    <t>This paper explores institutional responses from Regional Fisheries Bodies (RFBs) to climate change. Fisheries management is highly dependent on the stability or predictability of targeted fish populations. Oceanic changes occurring as a result of climate change will see continuing and potentially irreversible deviations from the conditions of fisheries past. These changes present challenges to fisheries management at all scales - from local to international - relating to food security, sustainability, and ecological integrity. Areas of measurably warmer ocean, or 'hotspots', are a very clear indicator of direct climate change effects. RFBs with hotspots in their areas of competence were chosen for this study. Three levels of institutional engagement were developed: Awareness of climate change; Learning about climate change; Action taken by the institutions. While 94% of institutions demonstrated awareness of climate change and 82% demonstrated learning about climate change, only 41% demonstrated some form of action; and these were mainly procedural and administrative. Only two of the RFBs considered made explicit statements about incorporating climate change into future fishing management plans. The inference is that RFBs are largely practising business-as-usual, with the implication that many exploited fish populations will face additional survival pressure as the sea around them alters.</t>
  </si>
  <si>
    <t>[Sumby, Jonathan; Haward, Marcus; Pecl, Gretta T.] Univ Tasmania, Inst Marine &amp; Antarctic Studies, Private Bag 129, Hobart, Tas 7001, Australia; [Haward, Marcus; Fulton, Elizabeth A.; Pecl, Gretta T.] Univ Tasmania, Ctr Marine Socioecol CMS, Private Bag 49, Hobart, Tas 7001, Australia; [Fulton, Elizabeth A.] CSIRO, Oceans &amp; Atmosphere, POB 1538, Hobart, Tas 7001, Australia</t>
  </si>
  <si>
    <t>University of Tasmania; University of Tasmania; Commonwealth Scientific &amp; Industrial Research Organisation (CSIRO)</t>
  </si>
  <si>
    <t>Sumby, J; Pecl, GT (corresponding author), Univ Tasmania, Inst Marine &amp; Antarctic Studies, Private Bag 129, Hobart, Tas 7001, Australia.</t>
  </si>
  <si>
    <t>jsumby@utas.edu.au; gretta.pecl@utas.edu.au</t>
  </si>
  <si>
    <t>Fulton, Beth/A-2871-2008; Pecl, Gretta/D-7267-2011; Haward, Marcus/G-3369-2014</t>
  </si>
  <si>
    <t>Pecl, Gretta/0000-0003-0192-4339; Haward, Marcus/0000-0003-4775-0864</t>
  </si>
  <si>
    <t>Australian Research Council Future Fellowship [FF140100596]</t>
  </si>
  <si>
    <t>Australian Research Council Future Fellowship(Australian Research Council)</t>
  </si>
  <si>
    <t>Gretta Pecl was supported by an Australian Research Council Future Fellowship (FF140100596).</t>
  </si>
  <si>
    <t>0308-597X</t>
  </si>
  <si>
    <t>1872-9460</t>
  </si>
  <si>
    <t>MAR POLICY</t>
  </si>
  <si>
    <t>Mar. Pol.</t>
  </si>
  <si>
    <t>10.1016/j.marpol.2020.104284</t>
  </si>
  <si>
    <t>Environmental Studies; International Relations</t>
  </si>
  <si>
    <t>Environmental Sciences &amp; Ecology; International Relations</t>
  </si>
  <si>
    <t>PH3MI</t>
  </si>
  <si>
    <t>WOS:000600320900010</t>
  </si>
  <si>
    <t>Eddy, TD; Bernhardt, JR; Blanchard, JL; Cheung, WWL; Colléter, M; du Pontavice, H; Fulton, EA; Gascuel, D; Kearney, KA; Petrik, CM; Roy, T; Rykaczewski, RR; Selden, R; Stock, CA; Wabnitz, CCC; Watson, RA</t>
  </si>
  <si>
    <t>Eddy, Tyler D.; Bernhardt, Joey R.; Blanchard, Julia L.; Cheung, William W. L.; Colleter, Mathieu; du Pontavice, Hubert; Fulton, Elizabeth A.; Gascuel, Didier; Kearney, Kelly A.; Petrik, Colleen M.; Roy, Tilla; Rykaczewski, Ryan R.; Selden, Rebecca; Stock, Charles A.; Wabnitz, Colette C. C.; Watson, Reg A.</t>
  </si>
  <si>
    <t>Energy Flow Through Marine Ecosystems: Confronting Transfer Efficiency</t>
  </si>
  <si>
    <t>TRENDS IN ECOLOGY &amp; EVOLUTION</t>
  </si>
  <si>
    <t>STABLE-ISOTOPE ANALYSIS; FOOD-WEB; TROPHIC AMPLIFICATION; FISH POPULATIONS; ECOLOGICAL ROLE; SIZE; CLIMATE; CARBON; OCEAN; ZOOPLANKTON</t>
  </si>
  <si>
    <t>Transfer efficiency is the proportion of energy passed between nodes in food webs. It is an emergent, unitless property that is difficult to measure, and responds dynamically to environmental and ecosystem changes. Because the consequences of changes in transfer efficiency compound through ecosystems, slight variations can have large effects on food availability for top predators. Here, we review the processes controlling transfer efficiency, approaches to estimate it, and known variations across ocean biomes. Both process-level analysis and observed macro-scale variations suggest that ecosystem-scale transfer efficiency is highly variable, impacted by fishing, and will decline with climate change. It is important that we more fully resolve the processes controlling transfer efficiency in models to effectively anticipate changes in marine ecosystems and fisheries resources.</t>
  </si>
  <si>
    <t>[Eddy, Tyler D.; Rykaczewski, Ryan R.] Univ South Carolina, Nippon Fdn Nereus Program, Baruch Inst Marine &amp; Coastal Sci, Columbia, SC 29208 USA; [Eddy, Tyler D.] Mem Univ Newfoundland, Ctr Fisheries Ecosystems Res, Fisheries &amp; Marine Inst, St John, NF, Canada; [Bernhardt, Joey R.; Cheung, William W. L.; du Pontavice, Hubert; Wabnitz, Colette C. C.] Univ British Columbia, Nippon Fdn Nereus Program, Inst Oceans &amp; Fisheries, Vancouver, BC, Canada; [Bernhardt, Joey R.; Cheung, William W. L.; du Pontavice, Hubert; Wabnitz, Colette C. C.] Univ British Columbia, Changing Ocean Res Unit, Inst Oceans &amp; Fisheries, Vancouver, BC, Canada; [Bernhardt, Joey R.] McGill Univ, Dept Biol, Montreal, PQ, Canada; [Bernhardt, Joey R.] Yale Univ, Dept Ecol &amp; Evolutionary Biol, New Haven, CT USA; [Blanchard, Julia L.; Fulton, Elizabeth A.; Watson, Reg A.] Univ Tasmania, Ctr Marine Socioecol, Hobart, Tas, Australia; [Blanchard, Julia L.; Watson, Reg A.] Univ Tasmania, Inst Marine &amp; Antarctic Studies, Hobart, Tas, Australia; [Colleter, Mathieu] BLOOM Assoc, Paris, France; [du Pontavice, Hubert; Gascuel, Didier] Agrocampus Ouest, ESE, Ecol &amp; Ecosyst Hlth, Rennes, France; [Fulton, Elizabeth A.] CSIRO Oceans &amp; Atmosphere, Hobart, Tas, Australia; [Kearney, Kelly A.] Univ Washington, Joint Inst Study Atmosphere &amp; Oceans JISAO, Seattle, WA 98195 USA; [Petrik, Colleen M.] Texas A&amp;M Univ, Dept Oceanog, College Stn, TX 77843 USA; [Roy, Tilla] Ecoceana Ecosyst Climate &amp; Ocean Anal, Paris, France; [Roy, Tilla] Ecole Normale Super, Dept Geosci, Paris, France; [Rykaczewski, Ryan R.] NOAA, Pacific Isl Fisheries Sci Ctr, Natl Marine Fisheries Serv, Honolulu, HI USA; [Selden, Rebecca] Wellesley Coll, Dept Biol Sci, Wellesley, MA 02181 USA; [Stock, Charles A.] NOAA, Geophys Fluid Dynam Lab, Princeton, NJ USA; [Wabnitz, Colette C. C.] Stockholm Univ, Stockholm Resilience Ctr, Stockholm, Sweden; [Wabnitz, Colette C. C.] Stanford Univ, Ctr Ocean Solut, Stanford, CA 94305 USA</t>
  </si>
  <si>
    <t>University of South Carolina System; University of South Carolina Columbia; Memorial University Newfoundland; University of British Columbia; University of British Columbia; McGill University; Yale University; University of Tasmania; University of Tasmania; Institut Agro; Agrocampus Ouest; Commonwealth Scientific &amp; Industrial Research Organisation (CSIRO); University of Washington; University of Washington Seattle; Texas A&amp;M University System; Texas A&amp;M University College Station; Universite PSL; Ecole Normale Superieure (ENS); National Oceanic Atmospheric Admin (NOAA) - USA; National Aeronautics &amp; Space Administration (NASA); Wellesley College; National Oceanic Atmospheric Admin (NOAA) - USA; Stockholm University; Stanford University</t>
  </si>
  <si>
    <t>Eddy, TD (corresponding author), Univ South Carolina, Nippon Fdn Nereus Program, Baruch Inst Marine &amp; Coastal Sci, Columbia, SC 29208 USA.;Eddy, TD (corresponding author), Mem Univ Newfoundland, Ctr Fisheries Ecosystems Res, Fisheries &amp; Marine Inst, St John, NF, Canada.</t>
  </si>
  <si>
    <t>tyler.eddy@mi.mun.ca</t>
  </si>
  <si>
    <t>Eddy, Tyler/ABE-7092-2021; Fulton, Beth/A-2871-2008; Gascuel, Didier/C-1439-2011; Bernhardt, Joey/ABG-5168-2021; Blanchard, Julia L/E-4919-2010; Kearney, Kelly A/A-8673-2014; Cheung, William/F-5104-2013</t>
  </si>
  <si>
    <t>Eddy, Tyler/0000-0002-2833-9407; Gascuel, Didier/0000-0001-5447-6977; Bernhardt, Joey/0000-0003-1824-2801; Petrik, Colleen/0000-0003-3253-0455; Blanchard, Julia/0000-0003-0532-4824; Wabnitz, Colette C.C./0000-0002-5076-9163; Selden, Rebecca/0000-0001-7956-5984; Du Pontavice, Hubert/0000-0001-9571-0651; Stock, Charles/0000-0001-9549-8013</t>
  </si>
  <si>
    <t>Nippon Foundation Nereus Program; Natural Sciences and Engineering Research Council of Canada [RGPIN-201803864]; Australian Research Council [DP140101377]; US Joint Institute for the Study of the Atmosphere and Ocean under US National Oceanic and Atmospheric Administration [NA15OAR4320063]; Walton Family Foundation [2018-1371]; David and Lucile Packard Foundation [2019-68336]; Gordon and Betty Moore Foundation [GBMF5668.02]</t>
  </si>
  <si>
    <t>Nippon Foundation Nereus Program; Natural Sciences and Engineering Research Council of Canada(Natural Sciences and Engineering Research Council of Canada (NSERC)CGIAR); Australian Research Council(Australian Research Council); US Joint Institute for the Study of the Atmosphere and Ocean under US National Oceanic and Atmospheric Administration(National Oceanic Atmospheric Admin (NOAA) - USA); Walton Family Foundation; David and Lucile Packard Foundation(The David &amp; Lucile Packard Foundation); Gordon and Betty Moore Foundation(Gordon and Betty Moore Foundation)</t>
  </si>
  <si>
    <t>We gratefully thank the Nippon Foundation Nereus Program who provided research fellowship and research associate funding for T.D.E., J.R.B., H.dP., R.S., and C.C.C.W. The Nippon Foundation Nereus Program also funded the annual science meeting that led to this collaboration and contribution. W.W.L.C. acknowledges funding support from the Nippon Foundation Nereus Program and the Natural Sciences and Engineering Research Council of Canada (RGPIN-201803864). E. A.F. and R.A.W. acknowledge funding support from the Australian Research Council Discovery Project (DP140101377). K.A.K. acknowledges funding support from the US Joint Institute for the Study of the Atmosphere and Ocean under US National Oceanic and Atmospheric Administration Cooperative AgreementNA15OAR4320063, Contribution No. 2020-1102. C.C.C.W. acknowledges funding support fromtheWalton Family Foundation (grant 2018-1371), the David and Lucile Packard Foundation (grant 2019-68336), and the Gordon and Betty Moore Foundation (grant GBMF5668.02).</t>
  </si>
  <si>
    <t>0169-5347</t>
  </si>
  <si>
    <t>1872-8383</t>
  </si>
  <si>
    <t>TRENDS ECOL EVOL</t>
  </si>
  <si>
    <t>Trends Ecol. Evol.</t>
  </si>
  <si>
    <t>10.1016/j.tree.2020.09.006</t>
  </si>
  <si>
    <t>Ecology; Evolutionary Biology; Genetics &amp; Heredity</t>
  </si>
  <si>
    <t>Environmental Sciences &amp; Ecology; Evolutionary Biology; Genetics &amp; Heredity</t>
  </si>
  <si>
    <t>PN1WB</t>
  </si>
  <si>
    <t>WOS:000604275900016</t>
  </si>
  <si>
    <t>Spector, P; Balco, G</t>
  </si>
  <si>
    <t>Spector, Perry; Balco, Greg</t>
  </si>
  <si>
    <t>Exposure-age data from across Antarctica reveal mid-Miocene establishment of polar desert climate</t>
  </si>
  <si>
    <t>GEOLOGY</t>
  </si>
  <si>
    <t>NUCLIDE PRODUCTION-RATES; MARIE-BYRD-LAND; ICE-SHEET; IN-SITU; TRANSANTARCTIC MOUNTAINS; GLACIAL EROSION; DRY VALLEYS; PALYNOMORPHS; HISTORY; BE-10</t>
  </si>
  <si>
    <t>High-elevation rock surfaces in Antarctica have some of the oldest cosmogenic-nuclide exposure ages on Earth, dating back to the Miocene. A compilation of all available He-3, Be-10, and Ne-21 exposure-age data from the Antarctic continent shows that exposure histories recorded by these surfaces extend back to, but not before, the mid-Miocene cooling at 14-15 Ma. At high elevation, this cooling entailed a transition between a climate in which liquid water and biota were present and could contribute to surface weathering and erosion, and a polar desert climate in which virtually all weathering and erosion processes had been shut off. This climate appears to have continued uninterrupted between the mid-Miocene and the present.</t>
  </si>
  <si>
    <t>[Spector, Perry; Balco, Greg] Berkeley Geochronol Ctr, 2455 Ridge Rd, Berkeley, CA 94709 USA</t>
  </si>
  <si>
    <t>Berkeley Geochronolgy Center</t>
  </si>
  <si>
    <t>Spector, P (corresponding author), Berkeley Geochronol Ctr, 2455 Ridge Rd, Berkeley, CA 94709 USA.</t>
  </si>
  <si>
    <t>Ann and Gordon Getty Foundation (San Francisco, California, USA); U.S. National Science Foundation [OPP-1744771]</t>
  </si>
  <si>
    <t>Ann and Gordon Getty Foundation (San Francisco, California, USA); U.S. National Science Foundation(National Science Foundation (NSF))</t>
  </si>
  <si>
    <t>Support for this work was provided by the Ann and Gordon Getty Foundation (San Francisco, California, USA) and by the U.S. National Science Foundation under grant OPP-1744771. We thank David Sugden, David Fink, and an anonymous reviewer for constructive feedback that improved the manuscript.</t>
  </si>
  <si>
    <t>GEOLOGICAL SOC AMER, INC</t>
  </si>
  <si>
    <t>PO BOX 9140, BOULDER, CO 80301-9140 USA</t>
  </si>
  <si>
    <t>0091-7613</t>
  </si>
  <si>
    <t>1943-2682</t>
  </si>
  <si>
    <t>10.1130/G47783.1</t>
  </si>
  <si>
    <t>PL7IZ</t>
  </si>
  <si>
    <t>WOS:000603292000019</t>
  </si>
  <si>
    <t>Vazquez-Hernandez, M; Romero, I; Sanchez-Ballesta, MT; Merodio, C; Escribano, MI</t>
  </si>
  <si>
    <t>Vazquez-Hernandez, Maria; Romero, Irene; Teresa Sanchez-Ballesta, Maria; Merodio, Carmen; Isabel Escribano, Maria</t>
  </si>
  <si>
    <t>Functional characterization of VviDHN2 and VviDHN4 dehydrin isoforms from Vitis vinifera (L.): An in silico and in vitro approach</t>
  </si>
  <si>
    <t>PLANT PHYSIOLOGY AND BIOCHEMISTRY</t>
  </si>
  <si>
    <t>Dehydrin; In silico sequence analysis; In vitro functionality; (dis)ordered structural elements; Post-translational modification; Vitis vinifera</t>
  </si>
  <si>
    <t>CRYOPROTECTIVE ACTIVITY; METAL-BINDING; LEA PROTEINS; K-SEGMENTS; DEHYDRATION; STRESS; PROTECTION; CITRUS; ERD14; COLD</t>
  </si>
  <si>
    <t>Dehydrins, a family of hydrophilic and intrinsically disordered proteins, are a subgroup of late embryogenesis abundant proteins that perform different protective roles in plants. Although the transition from a disordered to an ordered state has been associated with dehydrin function or interactions with specific partner molecules, the question of how the primary and secondary dehydrin protein structure is related to specific functions or target molecule preferences remains unresolved. This work addresses the in silico sequencing analysis and in vitro functional characterization of two dehydrin isoforms, VviDHN2 and VviDHN4, from Vitis vinifera. Conformational changes suggest potential interactions with a broad range of molecules and could point to more than one function. The in silico analysis showed differences in conserved segments, specific amino acid binding sequences, heterogeneity of structural properties and predicted sites accessible for various post-translational modifications between the sequence of both dehydrins. Moreover, in vitro functional analysis revealed that although they both showed slight antifungal activity, only VviDHN4 acts as a molecular shield that protects proteins from freezing and dehydration. VviDHN4 also demonstrated high potential as a chaperone and reactive oxygen species scavenger, in addition to presenting antifreeze activity, all of which confirms its multifunctional nature. Our findings highlight the significant role of Y-segments and the differential and specific amino acid composition of less conserved segments that are rich in polar/charged residues between S- and K-segments, coupled with posttranslational modifications, in modulating and switching dehydrin biological function.</t>
  </si>
  <si>
    <t>[Vazquez-Hernandez, Maria; Romero, Irene; Teresa Sanchez-Ballesta, Maria; Merodio, Carmen; Isabel Escribano, Maria] ICTAN CSIC, Dept Caracterizac Calidad &amp; Seguridad, Inst Ciencia &amp; Tecnol Alimentos &amp; Nutr, Grp Biotecnol &amp; Calidad Posrecolecc, Jose Antonio Novais 10,Ciudad Univ, E-28040 Madrid, Spain; [Vazquez-Hernandez, Maria] Univ Extremadura, Inst Univ Invest Recursos Agr INURA, Badajoz, Spain</t>
  </si>
  <si>
    <t>Consejo Superior de Investigaciones Cientificas (CSIC); CSIC - Instituto de Ciencia y Tecnologia de Alimentos y Nutricion (ICTAN); Universidad de Extremadura</t>
  </si>
  <si>
    <t>Escribano, MI (corresponding author), ICTAN CSIC, Dept Caracterizac Calidad &amp; Seguridad, Inst Ciencia &amp; Tecnol Alimentos &amp; Nutr, Grp Biotecnol &amp; Calidad Posrecolecc, Jose Antonio Novais 10,Ciudad Univ, E-28040 Madrid, Spain.</t>
  </si>
  <si>
    <t>escribano@ictan.csic.es</t>
  </si>
  <si>
    <t>ROMERO, IRENE/R-3586-2018; Hernández, María Vázquez/AAA-9435-2021; Sanchez-Ballesta, M. Teresa/K-7779-2014; Escribano, Maria Isabel/L-5264-2014; Merodio, Carmen/L-7647-2014</t>
  </si>
  <si>
    <t>ROMERO, IRENE/0000-0003-0083-485X; Hernández, María Vázquez/0000-0002-9358-5727; Sanchez-Ballesta, M. Teresa/0000-0001-7993-9077; Escribano, Maria Isabel/0000-0002-2101-0676; Merodio, Carmen/0000-0001-6549-5487</t>
  </si>
  <si>
    <t>CICYT Spanish Project (MINECO) [AGL 2014-53081-R]; CICYT Spanish Project (MINECO/AEI/FEDER, UE) [AGL 2017-85291-R]; FPI program - MICINN</t>
  </si>
  <si>
    <t>CICYT Spanish Project (MINECO); CICYT Spanish Project (MINECO/AEI/FEDER, UE); FPI program - MICINN(Spanish Government)</t>
  </si>
  <si>
    <t>BL21-CodonPlus (DE3)-RIL was provided by Dra. Carmen Lisset of the Institute of Biomedical Research (IIB CSIC) of Madrid. AFP of type III of the Antarctic fish Austrolycichthys brachycephalus was provided by Dr. A. DeVries, Illinois, USA. This research was financed by the CICYT Spanish Projects AGL 2014-53081-R (MINECO) and AGL 2017-85291-R (MINECO/AEI/FEDER, UE). M. Vazquez-Hernandez acknowledges the support of the FPI program financed by the MICINN.</t>
  </si>
  <si>
    <t>ELSEVIER FRANCE-EDITIONS SCIENTIFIQUES MEDICALES ELSEVIER</t>
  </si>
  <si>
    <t>ISSY-LES-MOULINEAUX</t>
  </si>
  <si>
    <t>65 RUE CAMILLE DESMOULINS, CS50083, 92442 ISSY-LES-MOULINEAUX, FRANCE</t>
  </si>
  <si>
    <t>0981-9428</t>
  </si>
  <si>
    <t>PLANT PHYSIOL BIOCH</t>
  </si>
  <si>
    <t>Plant Physiol. Biochem.</t>
  </si>
  <si>
    <t>10.1016/j.plaphy.2020.12.003</t>
  </si>
  <si>
    <t>PF8LS</t>
  </si>
  <si>
    <t>WOS:000599299700015</t>
  </si>
  <si>
    <t>Ye, WJ; Yuan, LX; Zhu, RB; Yin, XB; Banuelos, G</t>
  </si>
  <si>
    <t>Ye, Wenjuan; Yuan, Linxi; Zhu, Renbin; Yin, Xuebin; Banuelos, Gary</t>
  </si>
  <si>
    <t>Selenium volatilization from tundra soils in maritime Antarctica</t>
  </si>
  <si>
    <t>ENVIRONMENT INTERNATIONAL</t>
  </si>
  <si>
    <t>Antarctica; Tundra soil; Selenium volatilization; Selenium methylation; Penguin guano</t>
  </si>
  <si>
    <t>ZEA-MAYS L.; ATMOSPHERIC DEPOSITION; FREEZE-THAW; ORNITHOGENIC SOILS; ORGANIC AMENDMENTS; AMMONIA EMISSIONS; TRACE-ELEMENTS; AMINO-ACIDS; SPECIATION; ACCUMULATION</t>
  </si>
  <si>
    <t>Maritime Antarctica harbors a large number of penguins and seals that provide considerable input of selenium (Se) originating as guano into terrestrial ecosystems. Subsequent Se emissions via biomethylation and volatilization from these sources of Se have not been studied. Here, penguin colony soils (PCS) and adjacent tundra marsh soils (TMS), seal colony soils (SCS) and adjacent tundra soils (STS), and normal upland tundra soils (NTS) were collected in maritime Antarctica. For the first time, Se volatilization and speciation were investigated in these soils through incubation experiments using chemo-trapping method. The Se contents in PCS, SCS, STS and TMS were highly enriched compared with NTS, with organic matter-bound Se accounting for 70%-80%. Laboratory incubations yielded the greatest Se volatilization rates (VRSe) in PCS (0.20 +/- 0.01 mu g kg(-degrees 1) d(-1)), followed by SCS (0.14 +/- 0.01 mu g kg(-1) d(-1)) at low temperature (4 C). Soil frozen-thawing induced 1-4 fold increase in VRSe, and the VRSe continuously increased until the soils fully thawed. The VRSe showed a significant positive correlation (R-2 = 0.96, p &lt; 0.01) with soil temperature. Methylated Se species were dominated by dimethylselenide (DMSe) in PCS and dimethyldiselenide (DMDSe) in SCS. Our results imply that the combination of climate warming, frozen-thawing processes, and high-Se inputs from sea animals will significantly increase tundra soil Se volatilization in maritime Antarctica. High VRSe from penguin colony soils, and significantly elevated Se levels in the mosses close to penguin colony, suggest that volatilization of Se from penguin colony soils play an important role in the mobilization and regional biogeochemical cycling of Se in maritime Antarctica.</t>
  </si>
  <si>
    <t>[Ye, Wenjuan; Zhu, Renbin] Univ Sci &amp; Technol China, Sch Earth &amp; Space Sci, Anhui Prov Key Lab Polar Environm &amp; Global Change, Hefei 230026, Peoples R China; [Yuan, Linxi] Xian Jiaotong Liverpool Univ, Dept Hlth &amp; Environm Sci, Suzhou 215123, Jiangsu, Peoples R China; [Yin, Xuebin] Univ Sci &amp; Technol China, Suzhou Res Inst, Key Lab Funct Agr, Suzhou 215123, Jiangsu, Peoples R China; [Banuelos, Gary] USDA ARS, Parlier, CA USA</t>
  </si>
  <si>
    <t>Chinese Academy of Sciences; University of Science &amp; Technology of China, CAS; Xi'an Jiaotong-Liverpool University; Chinese Academy of Sciences; University of Science &amp; Technology of China, CAS; United States Department of Agriculture (USDA)</t>
  </si>
  <si>
    <t>Zhu, RB (corresponding author), Univ Sci &amp; Technol China, Hefei, Peoples R China.</t>
  </si>
  <si>
    <t>zhurb@ustc.edu.cn</t>
  </si>
  <si>
    <t>Yuan, Linxi/Y-9313-2019</t>
  </si>
  <si>
    <t>Yuan, Linxi/0000-0002-1043-8933</t>
  </si>
  <si>
    <t>National Natural Science Foundation of China [41776190, 41976220]; Strategic Priority Research Program of Chinese Academy of Sciences [XDB40010200]; Polar Office of National Ocean Bureau of China</t>
  </si>
  <si>
    <t>National Natural Science Foundation of China(National Natural Science Foundation of China (NSFC)); Strategic Priority Research Program of Chinese Academy of Sciences(Chinese Academy of Sciences); Polar Office of National Ocean Bureau of China</t>
  </si>
  <si>
    <t>This study was supported by the National Natural Science Foundation of China (No. 41776190; 41976220) and the Strategic Priority Research Program of Chinese Academy of Sciences (No. XDB40010200). We acknowledgment the support and help from the members of Chinese Antarctic Research Expedition and Polar Office of National Ocean Bureau of China.</t>
  </si>
  <si>
    <t>0160-4120</t>
  </si>
  <si>
    <t>1873-6750</t>
  </si>
  <si>
    <t>ENVIRON INT</t>
  </si>
  <si>
    <t>Environ. Int.</t>
  </si>
  <si>
    <t>10.1016/j.envint.2020.106189</t>
  </si>
  <si>
    <t>PN6ZK</t>
  </si>
  <si>
    <t>WOS:000604625100009</t>
  </si>
  <si>
    <t>Turnbull, A; Malhi, N; Seger, A; Jolley, J; Hallegraeff, G; Fitzgibbon, Q</t>
  </si>
  <si>
    <t>Turnbull, Alison; Malhi, Navreet; Seger, Andreas; Jolley, Jessica; Hallegraeff, Gustaaf; Fitzgibbon, Quinn</t>
  </si>
  <si>
    <t>Accumulation of paralytic shellfish toxins by Southern Rock lobster Jasus edwardsii causes minimal impact on lobster health</t>
  </si>
  <si>
    <t>AQUATIC TOXICOLOGY</t>
  </si>
  <si>
    <t>Biotoxin; Spiny lobster; Stress response; Physiology</t>
  </si>
  <si>
    <t>CRUSTACEAN HYPERGLYCEMIC HORMONE; AMERICAN LOBSTER; PANULIRUS-CYGNUS; SPINY LOBSTER; NUTRITIONAL CONDITION; SAGMARIASUS-VERREAUXI; HEMOLYMPH PARAMETERS; HOMARUS-AMERICANUS; DISCARD MORTALITY; POISONING TOXINS</t>
  </si>
  <si>
    <t>Recurrent dinoflagellate blooms of Alexandrium catenella expose the economically and ecologically important Southern Rock Lobster in Tasmania to paralytic shellfish toxins (PST), and it is unknown if PST accumulation adversely affects lobster performance, health and catchability. In a controlled aquaculture setting, lobsters were fed highly contaminated mussels to accumulate toxin levels in the hepatopancreas (mean of 6.65 mg STX center dot 2HCl equiv. kg(-1)), comparable to those observed in nature. Physiological impact of PST accumulation was comprehensively assessed by a range of behavioural (vitality score, righting ability and reflex impairment score), health (haemocyte count, bacteriology, gill necrosis and parasite load), nutritional (hepatopancreas index and haemolymph refractive index) and haemolymph biochemical (21 parameters including electrolytes, metabolites, and enzymes) parameters during a 63 day period of uptake and depuration of toxins. Exposure to PST did not result in mortality nor significant changes in the behavioural, health, or nutritional measures suggesting limited gross impact on lobster performance. Furthermore, most haemolymph biochemical parameters measured exhibited no significant difference between control and exposed animals. However, the concentration of potassium in the haemolymph increased with PST, whilst the concentration of lactate and the sodium:potassium ratio decreased with PST. In addition, exposed lobsters showed a hyperglycaemic response to PST exposure, indicative of stress. These findings suggest that PST accumulation results in some measurable indicators of stress for lobsters. However, these changes are likely within the adaptive range for Jasus edwardsii and do not result in a significant impairment of gross performance. Our findings support previous conclusions that crustaceans are relatively tolerant to PST and the implications for the lobster fishery are discussed.</t>
  </si>
  <si>
    <t>[Turnbull, Alison; Malhi, Navreet; Seger, Andreas; Jolley, Jessica] South Australian Res &amp; Dev Inst, GPO Box 397, Adelaide, SA 5001, Australia; [Turnbull, Alison; Hallegraeff, Gustaaf; Fitzgibbon, Quinn] Univ Tasmania, Inst Marine &amp; Antarctic Studies, Private Bag 129, Hobart, Tas, Australia</t>
  </si>
  <si>
    <t>South Australian Research &amp; Development Institute (SARDI); University of Tasmania</t>
  </si>
  <si>
    <t>Turnbull, A (corresponding author), South Australian Res &amp; Dev Inst, GPO Box 397, Adelaide, SA 5001, Australia.;Turnbull, A (corresponding author), Univ Tasmania, Inst Marine &amp; Antarctic Studies, Private Bag 129, Hobart, Tas, Australia.</t>
  </si>
  <si>
    <t>Alison.Turnbull@utas.edu.au</t>
  </si>
  <si>
    <t>Seger, Andreas/AAH-4093-2019; Hallegraeff, Gustaaf/C-8351-2013</t>
  </si>
  <si>
    <t>Seger, Andreas/0000-0001-7018-0455; Fitzgibbon, Quinn/0000-0002-1104-3052; Hallegraeff, Gustaaf/0000-0001-8464-7343</t>
  </si>
  <si>
    <t>Southern Rocklobster Limited; New Zealand Rock Lobster Industry Council; Australian Seafood Cooperative Research Centre; Fisheries Research and Development Corporation [FRDC 2017-051, FRDC 2017-086]</t>
  </si>
  <si>
    <t>Southern Rocklobster Limited; New Zealand Rock Lobster Industry Council; Australian Seafood Cooperative Research Centre(Australian GovernmentDepartment of Industry, Innovation and ScienceCooperative Research Centres (CRC) Programme); Fisheries Research and Development Corporation</t>
  </si>
  <si>
    <t>This research was funded by Southern Rocklobster Limited, the New Zealand Rock Lobster Industry Council, the Australian Seafood Cooperative Research Centre, and the Fisheries Research and Development Corporation [grant numbers FRDC 2017-051 and FRDC 2017-086]. The funding bodies had no role in the study design; collection, analysis and interpretation of the data; writing of the report; or the decision to submit the work for publication.</t>
  </si>
  <si>
    <t>0166-445X</t>
  </si>
  <si>
    <t>1879-1514</t>
  </si>
  <si>
    <t>AQUAT TOXICOL</t>
  </si>
  <si>
    <t>Aquat. Toxicol.</t>
  </si>
  <si>
    <t>10.1016/j.aquatox.2020.105704</t>
  </si>
  <si>
    <t>Marine &amp; Freshwater Biology; Toxicology</t>
  </si>
  <si>
    <t>PI1CS</t>
  </si>
  <si>
    <t>WOS:000600837200017</t>
  </si>
  <si>
    <t>Renedo, M; Pedrero, Z; Amouroux, D; Cherel, Y; Bustamante, P</t>
  </si>
  <si>
    <t>Renedo, Marina; Pedrero, Zoyne; Amouroux, David; Cherel, Yves; Bustamante, Paco</t>
  </si>
  <si>
    <t>Mercury isotopes of key tissues document mercury metabolic processes in seabirds</t>
  </si>
  <si>
    <t>Methylmercury; Metabolism; Detoxification; Demethylation; Moult</t>
  </si>
  <si>
    <t>Seabirds accumulate significant amounts of mercury (Hg) due to their long-life span together with their medium to high trophic position in marine food webs. Hg speciation and Hg isotopic analyses of total Hg in different tissues (pectoral muscles, liver, brain, kidneys, blood and feathers) were assessed to investigate their detoxification mechanisms. Three species with contrasted ecological characteristics were studied: the Antarctic prion (zooplankton feeder), the white-chinned petrel (pelagic generalist consumer) and the southern giant petrel (scavenger on seabirds and marine mammals). The difference of mass-dependent fractionation (MDF, delta Hg-202) values between liver and muscles (up to 0.94%) in all three seabirds strongly suggests hepatic demethylation of the isotopically lighter methylmercury (MeHg) and subsequent redistribution of the isotopically heavier fraction of MeHg towards the muscles. Similarly, higher delta Hg-202 values in feathers (up to 1.88 parts per thousand) relative to muscles and higher proportion of MeHg in feathers (94-97%) than muscles (30-70%) likely indicate potential MeHg demethylation in muscle and preferential excretion of MeHg (isotopically heavier) in the growing feathers during moult. The extents of these key detoxification processes were strongly dependent on the species-specific detoxification strategies and levels of dietary MeHg exposure. We also found higher mass-independent fractionation (MIF, Delta Hg-199) values in feathers relative to internal tissues, possibly due to different integration times of Hg exposure between permanently active organs and inert tissues as feathers. Hg isotope variations reported in this study show evidence of detoxification processes in seabirds and propose a powerful approach for deep investigation of the Hg metabolic processes in seabirds. (C) 2020 Elsevier Ltd. All rights reserved.</t>
  </si>
  <si>
    <t>[Renedo, Marina; Bustamante, Paco] La Rochelle Univ, UMR 7266, Littoral Environm &amp; Soc LIENSs, CNRS, 2 Rue Olympe Gouges, F-17000 La Rochelle, France; [Renedo, Marina; Pedrero, Zoyne; Amouroux, David] Univ Pau &amp; Pays Adour, Inst Sci Analyt &amp; Phys Chim Environm &amp; Mat, UPPA E2S, CNRS,IPREM, Pau, France; [Cherel, Yves] La Rochelle Univ, Ctr Etud Biol Chize, UMR 7372, CNRS, F-79360 Villiers En Bois, France; [Bustamante, Paco] Inst Univ France IUF, 1 Rue Descartes, F-75005 Paris, France</t>
  </si>
  <si>
    <t>Centre National de la Recherche Scientifique (CNRS); CNRS - Institute of Ecology &amp; Environment (INEE); Centre National de la Recherche Scientifique (CNRS); Universite de Pau et des Pays de l'Adour; Centre National de la Recherche Scientifique (CNRS); CNRS - Institute of Ecology &amp; Environment (INEE); Institut Universitaire de France</t>
  </si>
  <si>
    <t>Renedo, M (corresponding author), La Rochelle Univ, UMR 7266, Littoral Environm &amp; Soc LIENSs, CNRS, 2 Rue Olympe Gouges, F-17000 La Rochelle, France.;Pedrero, Z (corresponding author), Univ Pau &amp; Pays Adour, Inst Sci Analyt &amp; Phys Chim Environm &amp; Mat, UPPA E2S, CNRS,IPREM, Pau, France.</t>
  </si>
  <si>
    <t>marina.renedo@ird.fr; zoyne.pedrerozayas@univ-pau.fr</t>
  </si>
  <si>
    <t>Renedo, Marina/ABG-4572-2020; Bustamante, Paco/G-5833-2011</t>
  </si>
  <si>
    <t>Bustamante, Paco/0000-0003-3877-9390; Amouroux, David/0000-0002-0056-8590; Renedo Elizalde, Marina/0000-0002-9224-8745; Cherel, Yves/0000-0001-9469-9489</t>
  </si>
  <si>
    <t>IPEV [109]; Terres Australes et Antarctiques Francaises (TAAF); Region Nouvelle Aquitaine; French national program EC2CO Biohefect/Ecodyn//Dril/MicrobiEen (TIMOTAAF project); IUF (Institut Universitaire de France)</t>
  </si>
  <si>
    <t>IPEV; Terres Australes et Antarctiques Francaises (TAAF); Region Nouvelle Aquitaine(Region Nouvelle-Aquitaine); French national program EC2CO Biohefect/Ecodyn//Dril/MicrobiEen (TIMOTAAF project); IUF (Institut Universitaire de France)</t>
  </si>
  <si>
    <t>The authors wish to thank the fieldworkers who collected the samples, including the TAAF fishery observer N. Gasco who sampled white-chinned petrels. Field procedures were authorized by the Comite d'Ethique of the Institut Polaire Francais Paul Emile Victor (IPEV) and by the Comite de l'Environnement Polaire. This study received financial and logistical support from the IPEV (program no. 109, H. Weimerskirch) and the Terres Australes et Antarctiques Francaises (TAAF). It was supported financially by the Region Poitou-Charentes (now the Region Nouvelle Aquitaine) through a Ph.D. scholarship to MR, and by the French national program EC2CO Biohefect/Ecodyn//Dril/MicrobiEen (TIMOTAAF project, P.I. D. Amouroux). The IUF (Institut Universitaire de France) is also acknowledged for its support to PB as a senior member.</t>
  </si>
  <si>
    <t>10.1016/j.chemosphere.2020.127777</t>
  </si>
  <si>
    <t>PA7HQ</t>
  </si>
  <si>
    <t>WOS:000595802200012</t>
  </si>
  <si>
    <t>Rodrigues, S; Hernández-Molina, FJ; Kirby, A</t>
  </si>
  <si>
    <t>Rodrigues, S.; Hernandez-Molina, F. J.; Kirby, A.</t>
  </si>
  <si>
    <t>A Late Cretaceous mixed (turbidite-contourite) system along the Argentine Margin: Paleoceanographic and conceptual implications</t>
  </si>
  <si>
    <t>MARINE AND PETROLEUM GEOLOGY</t>
  </si>
  <si>
    <t>Mixed and hybrid systems; Turbidite; Contourite; Seismic stratigraphy; Paleoceanography; Late cretaceous; Argentine continental margin</t>
  </si>
  <si>
    <t>CHANNEL-LEVEE EVOLUTION; RIVER MOUTH BASIN; ANTARCTIC PENINSULA; COLORADO BASIN; SEDIMENT DRIFT; SOUTHWESTERN GONDWANA; SOUTHEAST GREENLAND; CONTINENTAL-MARGIN; BOTTOM CURRENTS; ALGARVE MARGIN</t>
  </si>
  <si>
    <t>The Late Cretaceous record offshore Argentina comprises an extensive mixed (turbidite-contourite) depositional system over 280,000 km(2). This offers a key site to investigate complex assemblages of morphosedimentary features and their depositional processes during one of the major tectonic events in the southern hemisphere: the breakup of Gondwana (125 Ma) and the opening of the South Atlantic Ocean. The mixed depositional system was studied using a new 2D multichannel seismic reflection dataset and well data. This system developed along the continental slope and rise between 3500 and 6500 m SSL with nineteen 300-500 m thick, mounded drifts, separated by sixteen 2-5 km wide submarine channels. Seismic interpretation and correlations suggest four main evolutionary stages: a) the pre-drift stage (similar to 125-89.8 Ma) from the Aptian to the Coniacian marks thermal subsidence of the margin followed by initiation of a turbidite depositional system; b) the onset stage (similar to 89.8-81 Ma) from the Coniacian to the Campanian records the first exchange between SE turbidity flows and weak SW bottom currents; c) the growth stage (similar to 81-66 Ma) records maximum growth from the Campanian to the Maas-trichtian, characterized by the SW progradation and expansion of the mixed system due to more frequent interactions between turbidity and alongslope bottom currents; and d) the burial stage (similar to 66 Ma) marks the cessation of the mixed system in the Paleocene due to bottom current intensification and transition to a pure contourite system, which persists until the present day. These four evolutionary phases register the Mesozoic to Cenozoic paleoceanographic fluctuations, associated with the northward opening of the South Atlantic Ocean and the establishment of a new deep-water circulation regime. Control factors for this mixed depositional system link inherited morphological structures, regional tectonic events, a mutable oceanic circulation, and recurrent gravity-driven processes. The present results were also compared with other mixed systems of similar or different geological age to contextualize the paleoceanographic and conceptual implications for deep-marine sedimentary environments. This comparison allowed us to identify two end members of drift and channel migration (upstream versus downstream), differentiated by the dominance of alongslope bottom currents vs. downslope turbidity currents. The distribution of the morphological elements and their lateral migration reflects the imprint of the most influential process and the changing energy, velocity, frequency and timing between the two processes. A future challenge will be to determine the full spectrum of mixed/hybrid systems, from turbidite-dominated to contourite-dominated settings, and how they differ vertically and spatially in the sedimentary record.</t>
  </si>
  <si>
    <t>[Rodrigues, S.; Hernandez-Molina, F. J.; Kirby, A.] Royal Holloway Univ London, Dept Earth Sci, Egham TW20 0EX, Surrey, England</t>
  </si>
  <si>
    <t>University of London; Royal Holloway University London</t>
  </si>
  <si>
    <t>Rodrigues, S (corresponding author), Royal Holloway Univ London, Dept Earth Sci, Egham TW20 0EX, Surrey, England.</t>
  </si>
  <si>
    <t>sara.rodrigues.2017@live.rhul.ac.uk</t>
  </si>
  <si>
    <t>Rodrigues, Sara/IWD-9868-2023; Rodrigues, Sara/KCY-5884-2024; Rodrigues, Sara/ABG-5049-2021</t>
  </si>
  <si>
    <t>Rodrigues, Sara/0000-0002-4806-8480; Rodrigues, Sara/0000-0002-4806-8480</t>
  </si>
  <si>
    <t>TOTAL; BP; ENI; ExxonMobil; Wintershall; TGS; [CTM2016-75129-C3-1-R]</t>
  </si>
  <si>
    <t>TOTAL(Total SA); BP; ENI; ExxonMobil(Exxon Mobil Corporation); Wintershall; TGS;</t>
  </si>
  <si>
    <t>This project is funded by the Joint Industry Project supported by TOTAL, BP, ENI, ExxonMobil, Wintershall and TGS. Research was performed within the framework of The Drifters Research Group at Royal Holloway University of London (RHUL). This research was partially funded by Project CTM2016-75129-C3-1-R. We thank Spectrum (now TGS) in particular for allowing us to study the regional seismic and well datasets and for its support and scientific discussions at numerous meetings. We appreciated the help and information provided by Howard Nicholls and Jon Rogers (TGS) on the seismic acquisition and processing parameters. We would also like to thank the Editor, the two reviewers Chenglin Gong and Julien Bourget plus another anonymous reviewer for their valuable comments and suggestions, which helped us improve this work.</t>
  </si>
  <si>
    <t>0264-8172</t>
  </si>
  <si>
    <t>1873-4073</t>
  </si>
  <si>
    <t>MAR PETROL GEOL</t>
  </si>
  <si>
    <t>Mar. Pet. Geol.</t>
  </si>
  <si>
    <t>10.1016/j.marpetgeo.2020.104768</t>
  </si>
  <si>
    <t>PE8NT</t>
  </si>
  <si>
    <t>WOS:000598618900001</t>
  </si>
  <si>
    <t>Civel-Mazens, M; Crosta, X; Cortese, G; Michel, E; Mazaud, A; Ther, O; Ikehara, M; Itaki, T</t>
  </si>
  <si>
    <t>Civel-Mazens, M.; Crosta, X.; Cortese, G.; Michel, E.; Mazaud, A.; Ther, O.; Ikehara, M.; Itaki, T.</t>
  </si>
  <si>
    <t>Impact of the Agulhas Return Current on the oceanography of the Kerguelen Plateau region, Southern Ocean, over the last 40 kyrs</t>
  </si>
  <si>
    <t>Southern Ocean; Kerguelen Plateau; Agulhas Current; Diatoms; Radiolarians; Transfer functions</t>
  </si>
  <si>
    <t>SEA-SURFACE TEMPERATURE; INDIAN-OCEAN; PALEOENVIRONMENTAL RECONSTRUCTIONS; FRONTAL STRUCTURE; ATLANTIC; CIRCULATION; LEAKAGE; ICE; SECTOR; VARIABILITY</t>
  </si>
  <si>
    <t>The oceanography of the western Indian sector of the Southern Ocean is extremely complex due to the presence of several subantartic islands and plateaus that alter the zonal flow of the Antarctic Circumpolar Current. The circulation is even more complex around the Kerguelen Islands (KI) as the hydrological fronts merge with the Agulhas Return Current, the latter transporting warm surface waters from the low latitudes to the Subantarctic Zone (SAZ) east of KI. Here we present new sea-surface and sub-surface temperatures, based on diatom and radiolarian census counts respectively, in two cores covering the last 40,000 years (40 kyrs) to infer past oceanographic changes in the KI region. In core MD11-3353, located in the Polar Front Zone (PFZ) west of KI, both sea-surface and sub-surface temperatures follow the expected glacial-interglacial pattern, with a constant difference of similar to 3 degrees C, suggesting that the structure of the top 500 m of the water column did not change drastically over this period. In core MD12-3396CQ, located in the SAZ east of KI, the sub-surface temperature record again follows the expected glacial-interglacial pattern while the diatom-based reconstruction shows a strong warming during the 40-24 kyrs period, with a mean difference between the two of similar to 9 degrees C. The temperature difference subsequently reverts to similar to 3 degrees C during the glacial termination and Holocene. We suggest that the large difference between surface and sub-surface temperatures during the 40-24 kyrs period resulted from the injection of warm surface waters from the Indian low latitudes. This signal was transported to the core site by a strengthened Agulhas Return Current during the glacial, when the Agulhas leakage to the Atlantic was reduced. Our study thus proposes that the surface conditions in the SAZ of the KI region are shaped by the interplay between the migration of the Southern Ocean hydrological fronts and the Agulhas (Return) Current, both being climatically modulated. (C) 2020 Elsevier Ltd. All rights reserved.</t>
  </si>
  <si>
    <t>[Civel-Mazens, M.; Ikehara, M.] Kochi Univ, Grad Sch Integrated Arts &amp; Sci, Kochi, Japan; [Civel-Mazens, M.; Itaki, T.] Geol Survey Japan AIST, Tsukuba, Ibaraki, Japan; [Crosta, X.; Ther, O.] Univ Bordeaux, UMR CNRS 5805 EPOC, Bordeaux, France; [Cortese, G.] GNS Sci, Lower Hutt, New Zealand; [Michel, E.; Mazaud, A.] Lab Sci Climat &amp; Environm LSCE, Gif Sur Yvette, France; [Ikehara, M.] Kochi Univ, Ctr Adv Marine Core Res, Kochi, Japan</t>
  </si>
  <si>
    <t>Kochi University; National Institute of Advanced Industrial Science &amp; Technology (AIST); Universite de Bordeaux; GNS Science - New Zealand; CEA; Centre National de la Recherche Scientifique (CNRS); Universite Paris Saclay; Kochi University</t>
  </si>
  <si>
    <t>Civel-Mazens, M (corresponding author), Kochi Univ, Grad Sch Integrated Arts &amp; Sci, Kochi, Japan.</t>
  </si>
  <si>
    <t>civelmatthieu@hotmail.fr</t>
  </si>
  <si>
    <t>Itaki, Takuya/0000-0001-5232-0055; Michel, Elisabeth/0000-0001-7810-8888; Cortese, Giuseppe/0000-0003-1780-3371; Civel-Mazens, Matthieu/0000-0002-0884-6890; Ikehara, Minoru/0000-0002-2695-4713</t>
  </si>
  <si>
    <t>LEFE DYNACC project; LEFE GLACOCEAN project; New Zealand Ministry of Business, Innovation and Employment through the Antarctic Science Platform [ANTA1801]; Global Change through Time Program; JSPS KAKENHI [JP17H06318]; IDEX Bordeaux Visiting Scholar scheme</t>
  </si>
  <si>
    <t>LEFE DYNACC project; LEFE GLACOCEAN project; New Zealand Ministry of Business, Innovation and Employment through the Antarctic Science Platform(New Zealand Ministry of Business, Innovation and Employment (MBIE)); Global Change through Time Program; JSPS KAKENHI(Ministry of Education, Culture, Sports, Science and Technology, Japan (MEXT)Japan Society for the Promotion of ScienceGrants-in-Aid for Scientific Research (KAKENHI)); IDEX Bordeaux Visiting Scholar scheme</t>
  </si>
  <si>
    <t>We thank Thibaut Caley for constructive discussions. We are grateful to people from the MD185 and MD189 oceanographic expeditions operated by the IPEV-TAAF. Financial support to this study was provided by LEFE DYNACC and LEFE GLACOCEAN projects for the diatom part. Funding for this project was provided by the New Zealand Ministry of Business, Innovation and Employment through the Antarctic Science Platform (ANTA1801) and Global Change through Time Program (both to GC) along with the JSPS KAKENHI (Grants-in-Aid for Scientific Research) Grant Number JP17H06318 attributed to MI and TI for the radiolarian part and MCM salary. We are also thankful to IDEX Bordeaux Visiting Scholar scheme that funded GC stay at EPOC in 2017. We thank both reviewers, anonymous and Dr. Bostock, for their constructive comments, which helped improve the manuscript.</t>
  </si>
  <si>
    <t>10.1016/j.quascirev.2020.106711</t>
  </si>
  <si>
    <t>PH9RD</t>
  </si>
  <si>
    <t>WOS:000600739300013</t>
  </si>
  <si>
    <t>Koffman, BG; Goldstein, SL; Winckler, G; Borunda, A; Kaplan, MR; Bolge, L; Cai, Y; Recasens, C; Koffman, TNB; Vallelonga, P</t>
  </si>
  <si>
    <t>Koffman, Bess G.; Goldstein, Steven L.; Winckler, Gisela; Borunda, Alejandra; Kaplan, Michael R.; Bolge, Louise; Cai, Yue; Recasens, Cristina; Koffman, Tobias N. B.; Vallelonga, Paul</t>
  </si>
  <si>
    <t>New Zealand as a source of mineral dust to the atmosphere and ocean</t>
  </si>
  <si>
    <t>Dust and sediment provenance; Sr-Nd-Pb isotopes; Rare earth elements; New Zealand; Australia; Antarctica; South Pacific</t>
  </si>
  <si>
    <t>LAST GLACIAL MAXIMUM; TRACE-ELEMENT COMPOSITION; DEEP-SEA SEDIMENTS; C ICE-CORE; EAST ANTARCTICA; SOUTHERN ALPS; ISOTOPIC COMPOSITIONS; 40AR/39AR AGES; NORTH-ATLANTIC; DOME C</t>
  </si>
  <si>
    <t>The chemical and isotopic compositions of sediments and dust can be used to trace their provenance, providing insights into many Earth surface processes. During past glacial climates, much of the New Zealand (NZ) South Island was blanketed by erosive glacier systems that produced large volumes of sediment. We estimate the expansion of glacial outwash plains based on a sea level lowering of 130 m at the Last Glacial Maximum (LGM), and find that the Canterbury Plains in the central South Island likely expanded by 30,000 km(2), a nearly five-fold increase, while the Southland/southern Otago region may have extended southward to cover an additional similar to 45,000 km(2), an eight-fold increase of the coastal plain area. Considering NZ's extreme uplift and erosion rates (similar to 10 m kyr(-1)), the South Island, though limited in extent compared to larger Southern Hemisphere landmasses, may serve as an important dust source to the high-latitude atmosphere and ocean. To facilitate accurate tracing of the extent of aeolian and oceanic transport of NZ dust, this study presents major/trace element and Sr-Nd-Pb isotope ratios on sediments from the major present-day dust and sediment producing regions of the South Island. The sediment compositions strongly reflect the regional geology. For example, compared to the central South Island, Nd isotope ratios in the southern South Island are more variable and show younger crustal residence ages. The combined Sr-Nd-Pb isotopic ratios show that the central NZ South Island can be distinguished geochemically from many other Southern Hemisphere dust sources. Although isotopic similarities between the central NZ South Island and more northerly regions of South America, including Central Western Argentina and the PunaAltiplano Plateau, and Kati Thanda-Lake Eyre in Australia (based on new data in this study) hinder downstream source attribution, a key finding is that these isotopes successfully discriminate NZ from other locations in Australia, such as the Murray-Darling Basin, Northern Territory, and Western Australia, as well as southern Africa and regions of South America south of similar to 37 degrees S (Patagonia and Tierra del Fuego). A comparison of the NZ data with East Antarctic ice core dust samples indicates that NZ was not a significant dust supplier to East Antarctica; rather, the East Antarctic dust compositions can be explained by dust supplied by Patagonia, Tierra del Fuego, and Central Western Argentina in South America, and West Antarctic Rift System volcanism. In contrast, the compositions of marine sediments in the Pacific sector of the Southern Ocean are compatible with mixing of South and North Island NZ dust sources, consistent with NZ's role as an active dust supplier to the Southern Ocean. New data from Kati ThandaLake Eyre in Australia show that it may also be a contributor, if dust from this region is able to reach the Pacific sector independent of other Australian sources. (C) 2020 Elsevier Ltd. All rights reserved.</t>
  </si>
  <si>
    <t>[Koffman, Bess G.] Colby Coll, Dept Geol, Waterville, ME 04901 USA; [Koffman, Bess G.; Goldstein, Steven L.; Winckler, Gisela; Borunda, Alejandra; Kaplan, Michael R.; Bolge, Louise; Cai, Yue; Recasens, Cristina; Koffman, Tobias N. B.] Columbia Univ, Lamont Doherty Earth Observ, Palisades, NY USA; [Goldstein, Steven L.; Winckler, Gisela; Borunda, Alejandra] Columbia Univ, Dept Earth &amp; Environm Sci, Palisades, NY USA; [Vallelonga, Paul] Univ Copenhagen, Niels Bohr Inst, Phys Ice Climate &amp; Earth, Copenhagen, Denmark; [Vallelonga, Paul] Univ Western Australia, UWA Oceans Inst, Perth, WA, Australia</t>
  </si>
  <si>
    <t>Colby College; Columbia University; Columbia University; University of Copenhagen; Niels Bohr Institute; University of Western Australia</t>
  </si>
  <si>
    <t>Koffman, BG (corresponding author), Colby Coll, Dept Geol, Waterville, ME 04901 USA.</t>
  </si>
  <si>
    <t>bess.koffman@colby.edu</t>
  </si>
  <si>
    <t>Vallelonga, Paul/I-9650-2016; Kaplan, Michael R/D-4720-2011; Cai, Yue/K-8283-2016</t>
  </si>
  <si>
    <t>Goldstein, Steven L/0000-0001-7252-8064; Cai, Yue/0000-0002-2318-2359; Koffman, Bess/0000-0002-9451-4138</t>
  </si>
  <si>
    <t>NSF [NSF ANT-1204050]; Dartmouth Society of Fellows Postdoctoral Fellowship; Storke Endowment of the Department of Earth and Environmental Sciences of Columbia University</t>
  </si>
  <si>
    <t>NSF(National Science Foundation (NSF)); Dartmouth Society of Fellows Postdoctoral Fellowship; Storke Endowment of the Department of Earth and Environmental Sciences of Columbia University</t>
  </si>
  <si>
    <t>We thank Christopher Moy for generously providing a loess sample from Oamaru. We appreciate help in the field and with GIS from Noah Pollock. Thanks also go to Jonathan Chipman and Steve Gaughan, who provided help with GIS analysis. Our field sampling approach benefited from conversations with David Barrell and Aaron Putnam. Trevor Williams and Bob Hawley helped with GMT. We thank Torben Struve for discussions about the South Pacific core data. Thanks also go to Peter Koons, who helped inspire this work by asking what about New Zealand? This project was largely supported by an NSF Postdoctoral Fellowship (NSF ANT-1204050) as well as by a Dartmouth Society of Fellows Postdoctoral Fellowship to B.G.K, and by the Storke Endowment of the Department of Earth and Environmental Sciences of Columbia University. This is LDEO publication #8457. Data from this paper are available through the EarthChem data repository at the following link: https://doi.org/10.26022/IEDA/111726.</t>
  </si>
  <si>
    <t>10.1016/j.quascirev.2020.106659</t>
  </si>
  <si>
    <t>WOS:000600739300003</t>
  </si>
  <si>
    <t>Lebas, E; Gromig, R; Krastel, S; Wagner, B; Fedorov, G; Görtz, C; Averes, T; Subetto, D; Naumenko, M; Melles, M</t>
  </si>
  <si>
    <t>Lebas, E.; Gromig, R.; Krastel, S.; Wagner, B.; Fedorov, G.; Goertz, C.; Averes, T.; Subetto, D.; Naumenko, M.; Melles, M.</t>
  </si>
  <si>
    <t>Pre-glacial and post-glacial history of the Scandinavian Ice Sheet in NW Russia - Evidence from Lake Ladoga</t>
  </si>
  <si>
    <t>Seismic stratigraphy; Seismic geomorphology; Moraine-mound complex; Moraine; Early Weichselian; Valdai glaciation; Saalian; Moscow glaciation; Quaternary</t>
  </si>
  <si>
    <t>NORTHWESTERN RUSSIA; BALTIC SEA; SUBMARINE LANDFORMS; POHJA-UHTJU; NORTH-SEA; DEGLACIATION; BASIN; CLIMATE; STRATIGRAPHY; POLLEN</t>
  </si>
  <si>
    <t>Lacustrine sedimentary records are valuable archives of regional paleoenvironmental and paleoclimatic changes. High-resolution seismic reflection data collected in 2013, in conjunction with data from sediment core Co1309, provide a detailed reconstruction of the preglacial and postglacial environmental and sedimentological history of Lake Ladoga (NW Russia) during the late Quaternary. The exceptionally good quality of the seismic data reveals an up to 90-m-thick sedimentary infill in undisturbed places, containing four distinct sequences documented in unprecedented detail. The deepest sequence S1 most likely represents the bedrock of the lacustrine basin, which was reshaped during the subsequent glaciations. The overlying sequence S2 contains large-scale mounds of variable dimension, shape and internal architecture, which suggest a complex history of formation and deformation. We interpret these mounds as a moraine-mound complex resulting from thrusting and bulldozing processes of pre-existing, subglacial sediments during the overall retreat of the Scandinavian Ice Sheet following the Last Glacial Maximum. The finely-layered sequence S3 coincides with varved sediments in core Co1309 that mark the Scandinavian Ice Sheet deglaciation in the Ladoga basin. The youngest sequence S4, characterised by a semi-transparent facies in the acoustic data, coincides with lacustrine sediments in core Co1309 that were deposited during the Holocene. Our results also document major thoroughgoing fault systems in the northwestern part of the lake basin, along with unconformities related to lake-level fluctuations, notably in the eastern-, western- and southernmost regions. By coupling hydroacoustic and sedimentological data, we are able to pinpoint lateral variations and modifications of sedimentary inputs through time during the evolution of the Ladoga basin, along with unravelling the paleoenvironmental history of Lake Ladoga since the pre-LGM. (C) 2020 Elsevier Ltd. All rights reserved.</t>
  </si>
  <si>
    <t>[Lebas, E.; Krastel, S.; Goertz, C.; Averes, T.] Univ Kiel, Inst Geosci, Kiel, Germany; [Gromig, R.; Wagner, B.; Melles, M.] Univ Cologne, Inst Geol &amp; Mineral, Cologne, Germany; [Fedorov, G.] St Petersburg State Univ, Inst Earth Sci, St Petersburg, Russia; [Fedorov, G.] Arctic &amp; Antarctic Res Inst, St Petersburg, Russia; [Subetto, D.] Herzen State Pedag Univ Russia, St Petersburg, Russia; [Subetto, D.] Russian Acad Sci, Northern Water Problems Inst, Karelian Res Ctr, Petrozavodsk, Russia; [Subetto, D.] Russian Acad Sci, Inst Water &amp; Environm Problems, Siberian Branch, Barnaul, Russia; [Naumenko, M.] Russian Acad Sci, St Petersburg Fed Res Ctr, Inst Limnol, 9 Sevastyanova St, St Petersburg 196105, Russia</t>
  </si>
  <si>
    <t>University of Kiel; University of Cologne; Saint Petersburg State University; Arctic &amp; Antarctic Research Institute; Herzen State Pedagogical University of Russia; Russian Academy of Sciences; Karelian Research Centre of the Russian Academy of Sciences; Northern Water Problems Institute, Karelian Scientific Center, RAS; Institute for Water &amp; Environmental Problems, Siberian Branch of the Russian Academy of Sciences; Russian Academy of Sciences; Russian Academy of Sciences; St. Petersburg Scientific Centre of the Russian Academy of Sciences; St. Petersburg Federal Research Center of the Russian Academy of Sciences</t>
  </si>
  <si>
    <t>Lebas, E (corresponding author), Univ Paris, CNRS, Inst Phys Globe Paris, F-75005 Paris, France.</t>
  </si>
  <si>
    <t>elebas@ipgp.fr</t>
  </si>
  <si>
    <t>Wagner, Bernd/J-4682-2012; Melles, Martin/J-4070-2012; Fedorov, Grigory/N-5788-2019; Krastel, Sebastian/C-2001-2017; Subetto, Dmitry/A-4467-2014; Naumenko, Mikhail/K-9415-2013</t>
  </si>
  <si>
    <t>Wagner, Bernd/0000-0002-1369-7893; Melles, Martin/0000-0003-0977-9463; Fedorov, Grigory/0000-0003-2269-4501; Krastel, Sebastian/0000-0002-5899-9748; Lebas, Elodie/0000-0003-1617-143X; Subetto, Dmitry/0000-0002-3585-8598; Naumenko, Mikhail/0000-0002-3055-2629</t>
  </si>
  <si>
    <t>German Federal Ministry for Education and Research (BMBF) [03G0859A, 03 F0830B, 03G0839B]; Russian Foundation for Basic Research [18-05-60291]; Russian Science Foundation [18-17-00176]; Ministry of Science and Higher Education of the Russian Federation [FSZN-2020-0016]; Russian Science Foundation [18-17-00176] Funding Source: Russian Science Foundation</t>
  </si>
  <si>
    <t>German Federal Ministry for Education and Research (BMBF)(Federal Ministry of Education &amp; Research (BMBF)); Russian Foundation for Basic Research(Russian Foundation for Basic Research (RFBR)Spanish Government); Russian Science Foundation(Russian Science Foundation (RSF)); Ministry of Science and Higher Education of the Russian Federation; Russian Science Foundation(Russian Science Foundation (RSF))</t>
  </si>
  <si>
    <t>We thank the captain, officers, crews and scientific team aboard the R/V Poseidon for their efficient work on Lake Ladoga during the acquisition of the seismic data. Financial support for this study was provided by the German Federal Ministry for Education and Research (BMBF; Grants03G0839B, Grant 03G0859A, Grant03 F0830B). The work of G. Fedorov was partly funded by the Russian Foundation for Basic Research (project No. 18-05-60291). D. Subetto received support from the Russian Science Foundation (project No. 18-17-00176) and from the Ministry of Science and Higher Education of the Russian Federation (project No. FSZN-2020-0016). The IHS Kingdom (c) and Schlumberger Vista (c) software provided free academic licenses at Kiel University. The authors thank Shray Badhani for fruitful comments on an earlier version of the manuscript. We are also grateful to the Editor, Colm O'Cofaigh, and two anonymous reviewers for their constructive suggestions, which strengthened the study and improved the manuscript.</t>
  </si>
  <si>
    <t>10.1016/j.quascirev.2020.106637</t>
  </si>
  <si>
    <t>WOS:000600739300001</t>
  </si>
  <si>
    <t>Aitken, ARA; Urosevic, L</t>
  </si>
  <si>
    <t>Aitken, A. R. A.; Urosevic, L.</t>
  </si>
  <si>
    <t>A probabilistic and model-based approach to the assessment of glacial detritus from ice sheet change</t>
  </si>
  <si>
    <t>East Antarctic Ice Sheet; Detrital Provenance; Wilkes land; Bayesian analysis</t>
  </si>
  <si>
    <t>Detrital provenance methods aid to understand ice sheet conditions in the past, often seeking to define the location of the eroding ice sheet margin. To support interpretation, we develop a probabilistic approach to predict detrital production linked to changing ice sheet conditions. The approach is applied in western Wilkes Land, Antarctica. Considering four candidate ice sheet states, spatial variations in erosion likelihood are estimated from ice sheet models. Spatial analysis with a graticule shows that this process is highly effective in eliminating unlikely source regions. Spatial analysis with a subglacial bedrock geology classification, returns a more comprehensive result tied to geology. Analysis results are consistent with observed modern detritus in the region and highlight variations in predicted detritus production with ice sheet retreat, including the changing importance of different source regions and changes in the nature and diversity of detritus from these. We use the relative likelihood and its deviation from base-rate probability to define qualitatively the level of support for different ice sheet states from detrital records. With current detrital records, qualitative interpretations cannot categorically differentiate ice sheet states, except locally. The quantitative differentiation of ice sheet states is demonstrated for detrital occurrences, given a prior probability and a transport effectiveness for each ice sheet state, showing a high power of discrimination. Our approach supports a more robust capacity to use the detrital record to interpret ice sheet change, even where records are sparse, but high-quality and well constrained detrital records are needed to maximise benefit from quantitative analysis.</t>
  </si>
  <si>
    <t>[Aitken, A. R. A.; Urosevic, L.] Univ Western Australia, Sch Earth Sci, Perth, WA, Australia</t>
  </si>
  <si>
    <t>University of Western Australia</t>
  </si>
  <si>
    <t>Aitken, ARA (corresponding author), Univ Western Australia, Sch Earth Sci, Perth, WA, Australia.</t>
  </si>
  <si>
    <t>alan.aitken@uwa.edu.au</t>
  </si>
  <si>
    <t>Aitken, Alan/0000-0002-6375-2504</t>
  </si>
  <si>
    <t>Australian Antarctic Science Program [4460]; School of Earth Sciences at UWA</t>
  </si>
  <si>
    <t>Australian Antarctic Science Program; School of Earth Sciences at UWA</t>
  </si>
  <si>
    <t>This research was supported by Australian Antarctic Science Program project grant 4460. The School of Earth Sciences at UWA supported the Master's project of LU, in which the basis of this work was developed (doi:https://doi.org/10.4225/23/5a9f94e6377a7) and in which initial mapping and early analyses were performed. AA developed the theoretical framework, supervised the thesis of LU conducted additional analysis and wrote the final text. We thank Nick Golledge for supplying the ice sheet models. The authors thank Jacqui Halpin for her comments during the drafting stage as well as the comments of two anonymous reviewers, and the editor Paul Hesse.</t>
  </si>
  <si>
    <t>10.1016/j.palaeo.2020.110053</t>
  </si>
  <si>
    <t>PA4XC</t>
  </si>
  <si>
    <t>WOS:000595639600010</t>
  </si>
  <si>
    <t>Morley, RJ; Hasan, SS; Morley, HP; Jais, JHM; Mansor, A; Aripin, MR; Nordin, MH; Rohaizar, MH</t>
  </si>
  <si>
    <t>Morley, Robert J.; Hasan, Sanatul Salwa; Morley, Harsanti P.; Jais, Jaizan Hardi M.; Mansor, Amiruddin; Aripin, M. Raziken; Nordin, M. Hafiz; Rohaizar, M. Helmi</t>
  </si>
  <si>
    <t>Sequence biostratigraphic framework for the Oligocene to Pliocene of Malaysia: High-frequency depositional cycles driven by polar glaciation</t>
  </si>
  <si>
    <t>Glacio-eustasy; Systems-tracts; Cenozoic sea-level curve; Unconformities; Malay Basin seismic groups; Sarawak Cycles; Sabah Stages</t>
  </si>
  <si>
    <t>RECENT TURBIDITE DEPOSITION; GLOBAL SEA-LEVEL; ISOTOPE STRATIGRAPHY; LATE MIOCENE; ICE-VOLUME; BASIN; ATLANTIC; POLLEN; RECORD; CALIBRATION</t>
  </si>
  <si>
    <t>This paper reviews quantitative biostratigraphic data from 101 petroleum exploration wells from the Malay, Sarawak and Sabah basins, and places the stratigraphy of each area into a precise chronostratigraphic framework comprising 41 transgressive-regressive depositional packages which are fully defined here. Each package is 'fingerprinted' by foraminiferal, nannofossil and palynological index fossils, and then tied to the global pattern of glacio-eustatic sea level and climate changes based on the global delta O-18 and delta C-13 datasets used to calibrate the geological timescale. The result is a tightly constrained chronostratigraphic framework that is applicable from deep to shallow water and is of high accuracy. It is concluded that there is a sedimentation 'pulsebeat' across Southeast Asia, independent of local and regional tectonics, driven by patterns of global climate change. For the Oligocene and Miocene, Antarctic glaciation is the key driver, whereas the Pliocene cycles are mainly driven by the expansion and contraction of Northern Hemisphere glaciers. The new chronostratigraphic framework allows unconformities across Malaysia to be better characterised, and the different classification schemes of seismic Groups in Malay and Penyu basins, Cycles in offshore Sarawak and Stages in offshore western Sabah to be correlated. Also, with a clear understanding of the effect of fluctuating sea levels on the stratigraphy of the region, it is easier to make firm judgments regarding the effect of tectonics. The study also characterises systems tracts from shelf to basin floor using biostatigraphic assemblages, which should help in ground-truthing the architecture of depositional sequences in the region based on seismic. The new framework is proposed as an alternative to the outdated TB scheme of Haq et al. (1988), widely used to interpret depositional cycles across Sarawak and Sabah.</t>
  </si>
  <si>
    <t>[Morley, Robert J.; Morley, Harsanti P.] Palynova Ltd, Littleport, England; [Hasan, Sanatul Salwa; Jais, Jaizan Hardi M.; Mansor, Amiruddin; Aripin, M. Raziken; Nordin, M. Hafiz; Rohaizar, M. Helmi] KLCC, PETRONAS MPM, Kuala Lumpur, Malaysia</t>
  </si>
  <si>
    <t>Morley, RJ (corresponding author), Palynova Ltd, Littleport, England.</t>
  </si>
  <si>
    <t>palynova@btinternet.com; salwa@petronas.com; jaizan@petronas.com; amirum@petronas.com; raziken@petronas.com; hafiz_nordin@petronas.com; mhelmi_rohaizar@petronas.com</t>
  </si>
  <si>
    <t>PETRONAS</t>
  </si>
  <si>
    <t>The lead author is especially grateful to Antione Wonders for long discussions on how to use foraminifera in sequence stratigraphy, to Tony Swiecicki with whom the VIM depositional cycle scheme was developed, and to Stuart Burley, who helped with issues relating to calcite dissolution. The data on which the study is based was generated by service company biostratigraphers over many years, all of whom are gratefully acknowledged. However, we would particularly like to thank Keith Richards for the excellent palynological work on Bukoh-1, and to Yuli Pane, Sukarno and Wantoro for their similar quality work on Dengkis-1. Mazlan Madon, Chris Howells and Tg M. Syazwan B. Tg Hassan, Tom Algeo and two anonymous reviewers made very helpful suggestions to the original manuscript. The authors would also like to thank PETRONAS for enabling the Chrono-Sequence project to go ahead and for funding the project on which this study was based, and also for permission to publish this paper.</t>
  </si>
  <si>
    <t>10.1016/j.palaeo.2020.110058</t>
  </si>
  <si>
    <t>WOS:000595639600013</t>
  </si>
  <si>
    <t>Fang, C; Zheng, RH; Hong, FK; Jiang, YL; Chen, JC; Lin, HS; Lin, LS; Lei, RB; Bailey, C; Bo, J</t>
  </si>
  <si>
    <t>Fang, Chao; Zheng, Ronghui; Hong, Fukun; Jiang, Yulu; Chen, Jincan; Lin, Heshan; Lin, Longshan; Lei, Ruibo; Bailey, Christyn; Bo, Jun</t>
  </si>
  <si>
    <t>Microplastics in three typical benthic species from the Arctic: Occurrence, characteristics, sources, and environmental implications</t>
  </si>
  <si>
    <t>ENVIRONMENTAL RESEARCH</t>
  </si>
  <si>
    <t>Arctic; Sea anemone; Marine plastic; Climate warming; Sea ice; Surface characteristics</t>
  </si>
  <si>
    <t>DEEP-SEA SEDIMENTS; SURFACE WATERS; ORGANISMS; PACIFIC; ABUNDANCE; POLLUTION; INGESTION; FISH; CONTAMINATION; REGION</t>
  </si>
  <si>
    <t>Microplastics (MPs) in the Arctic have raised increasing concern, but knowledge on MP contamination in benthic organisms from Arctic shelf regions, e.g., the Chukchi Sea is still limited. Therefore, the present study investigated the occurrence, characteristics, sources, and environmental implications of MPs in the three most common benthic species, namely sea anemone (Actiniidae und.), deposit-feeding starfish (Ctenodiscus crispatus), and snow crab (Chionoecetes opilio), from the Chukchi Sea. The abundances of MPs in the three benthic species were significantly greater than those from the Bering Sea, but lower than those from other regions globally. The top three compositions of MPs in the three species were polyester, nylon, and polyethylene terephthalate. The detection limit for MP size in the present study was 0.03 mm and the mean size of MP in the three species was 0.89 +/- 0.06 mm. The surfaces of MPs found in the starfish and crabs were covered with many attachments, cracks, and hollows, while the surfaces of MPs found in the sea anemones were smooth, which was likely a consequence of different feeding behaviors. There was a significantly positive correlation between the abundances of MPs and other anthropogenic substances. The mean MP abundances in the sea anemones ranged from 0.2 items/individual to 1.7 items/individual, which was significantly higher than that in the deposit-feeding starfish (0.1-1.4 items/individual) and snow crabs (0.0-0.6 items/individual). Sea anemones inhabiting lower latitudes ingested relatively higher levels of MPs than those inhabiting higher latitudes. The MP abundances in the sea anemones are significantly and positively correlated with the seasonal reduced ratio of sea ice coverage from August to September. Our findings indicate that sea anemones could function as a bioindicator of MP pollution, and that the MPs in the benthos from the Chukchi Sea might originate from the melting sea ice, fishery activities and ocean currents.</t>
  </si>
  <si>
    <t>[Fang, Chao; Zheng, Ronghui; Hong, Fukun; Jiang, Yulu; Chen, Jincan; Lin, Heshan; Lin, Longshan; Bo, Jun] Minist Nat Resources, Lab Marine Biol &amp; Ecol, Inst Oceanog 3, Xiamen 361005, Peoples R China; [Jiang, Yulu; Chen, Jincan] Xiamen Univ, Coll Ocean &amp; Earth Sci, State Key Lab Marine Environm Sci, Xiamen 361005, Peoples R China; [Lei, Ruibo] Polar Res Inst China, Minist Nat Resources, Key Lab Polar Sci, Shanghai 200136, Peoples R China; [Bailey, Christyn] Anim Hlth Res Ctr CISA INIA, Fish Immunol &amp; Pathol Lab, Madrid, Spain</t>
  </si>
  <si>
    <t>Third Institute of Oceanography, Ministry of Natural Resources; Ministry of Natural Resources of the People's Republic of China; Xiamen University; Polar Research Institute of China; Ministry of Natural Resources of the People's Republic of China</t>
  </si>
  <si>
    <t>Bo, J (corresponding author), Minist Nat Resources, Lab Marine Biol &amp; Ecol, Inst Oceanog 3, Xiamen 361005, Peoples R China.</t>
  </si>
  <si>
    <t>bojun@tio.org.cn</t>
  </si>
  <si>
    <t>Chen, Jincan/AAA-1906-2022; Bailey, Christyn/JXY-0114-2024; Jiang, yulu/IQU-5600-2023; Bo, Jun/ABG-7639-2020; Bailey, Christyn/AFV-6214-2022; Chen, Jincan/IYJ-2608-2023</t>
  </si>
  <si>
    <t>Chen, Jincan/0000-0003-0312-7034; Bo, Jun/0000-0002-8726-1654; Chen, Jincan/0000-0003-0312-7034; Fang, Chao/0000-0002-9311-4677</t>
  </si>
  <si>
    <t>Scientific Research Foundation of the Third Institute of Oceanography, Ministry of Natural Resources [2018019]; Chinese Arctic and Antarctic Administration; Ninth Chinese National Arctic Research Expedition (9th CHINARE-Arctic); National Key Research and Development Program of China [2019YFD0901101]; National Natural Science Foundation of China [41977211, 41722605]; National Program on Global Change and Air-Sea Interaction [GASI-02-SCS-YDsum]; SNF Post Doc Mobility Fellowship [P400PB_183824]</t>
  </si>
  <si>
    <t>Scientific Research Foundation of the Third Institute of Oceanography, Ministry of Natural Resources; Chinese Arctic and Antarctic Administration; Ninth Chinese National Arctic Research Expedition (9th CHINARE-Arctic); National Key Research and Development Program of China; National Natural Science Foundation of China(National Natural Science Foundation of China (NSFC)); National Program on Global Change and Air-Sea Interaction; SNF Post Doc Mobility Fellowship</t>
  </si>
  <si>
    <t>This work was sponsored by the Scientific Research Foundation of the Third Institute of Oceanography, Ministry of Natural Resources (No. 2018019), the Chinese Arctic and Antarctic Administration, the Ninth Chinese National Arctic Research Expedition (9th CHINARE-Arctic), the National Key Research and Development Program of China (No. 2019YFD0901101), the National Natural Science Foundation of China (Nos. 41977211 and 41722605), and the National Program on Global Change and Air-Sea Interaction (GASI-02-SCS-YDsum). CB was funded by SNF Post Doc Mobility Fellowship number P400PB_183824.</t>
  </si>
  <si>
    <t>0013-9351</t>
  </si>
  <si>
    <t>1096-0953</t>
  </si>
  <si>
    <t>ENVIRON RES</t>
  </si>
  <si>
    <t>Environ. Res.</t>
  </si>
  <si>
    <t>10.1016/j.envres.2020.110326</t>
  </si>
  <si>
    <t>Environmental Sciences; Public, Environmental &amp; Occupational Health</t>
  </si>
  <si>
    <t>Environmental Sciences &amp; Ecology; Public, Environmental &amp; Occupational Health</t>
  </si>
  <si>
    <t>PG4KG</t>
  </si>
  <si>
    <t>WOS:000599705200005</t>
  </si>
  <si>
    <t>Ji, Q; Li, BJ; Pang, XP; Zhao, X; Lei, RB</t>
  </si>
  <si>
    <t>Ji, Qing; Li, Bingjie; Pang, Xiaoping; Zhao, Xi; Lei, Ruibo</t>
  </si>
  <si>
    <t>Arctic sea ice density observation and its impact on sea ice thickness retrieval from CryoSat-2</t>
  </si>
  <si>
    <t>Sea ice density; In situ measurement; Sea ice thickness; Arctic</t>
  </si>
  <si>
    <t>SNOW DEPTH; FREEBOARD; BEAUFORT; CHUKCHI</t>
  </si>
  <si>
    <t>Sea ice density is an important physics parameter for the climate models, and is a critical parameter for the retrieval of sea ice thickness (SIT) from satellite altimeters. In the context of rapid Arctic sea ice changes, the value of sea ice density may need to be adapted for SIT retrieving from satellite radar altimeters. In this study, we collected in situ sea ice density measurements from various literatures for the period between 2000 and 2015, and carried out spatio-temporal variability analyses. We then applied Ordinary Kriging interpolation technique on sea ice density distribution and calculated SIT based on a static equilibrium equation. The impact of sea ice density on retrieved SIT from CryoSat-2 altimeter was assessed. The measured sea ice density during 2000-2015 varies between 675 kg.m(-3) and 954 kg.m(-3), which indeed has a wider range than the values measured before 21 century. Monthly mean sea ice density in the Arctic varies between 832 kg.m(-3) (August) and 916 kg.m(-3) (February). The difference between CryoSat-2 derived SIT and buoy-measured SIT reduced from 24 +/- 11 cm when using fixed ice densities to 7 +/- 3 cm when using sea ice densities after data interpolation in March 2012-2015. It is suitable to use updated sea ice density values than to use the traditional fixed values for retrieving Arctic SIT from CryoSat-2. Analysis of Arctic in situ sea-ice density observations and application of them in SIT retrievals could benefit further research on Arctic sea ice and climate change.</t>
  </si>
  <si>
    <t>[Ji, Qing; Li, Bingjie; Pang, Xiaoping; Zhao, Xi] Wuhan Univ, Chinese Antarctic Ctr Surveying &amp; Mapping, Wuhan 430079, Peoples R China; [Lei, Ruibo] Polar Res Inst China, Key Lab Polar Sci MNR, Shanghai 200136, Peoples R China</t>
  </si>
  <si>
    <t>Wuhan University; Polar Research Institute of China</t>
  </si>
  <si>
    <t>Ji, Q (corresponding author), Wuhan Univ, Chinese Antarctic Ctr Surveying &amp; Mapping, Wuhan 430079, Peoples R China.</t>
  </si>
  <si>
    <t>jiqing@whu.edu.cn</t>
  </si>
  <si>
    <t>National Key Research and Development Program of China [2017FYA0603104, 2018YFA0605903]; Program of High-Resolution Images Surveying and Mapping Application System-Phase II [42-Y30B04-9001-19/21]; National Natural Science Foundation of China [41876223, 42076235]</t>
  </si>
  <si>
    <t>National Key Research and Development Program of China; Program of High-Resolution Images Surveying and Mapping Application System-Phase II; National Natural Science Foundation of China(National Natural Science Foundation of China (NSFC))</t>
  </si>
  <si>
    <t>The authors would like to thank all the ice-density data providers in Table 1, the Alfred Wegener Institute (AWI) for providing CryoSat-2 derived sea ice freeboard data, and the Cold Regions Research and Engineering Laboratory for providing IMB measured SIT data. We acknowledge the joint support from the National Key Research and Development Program of China (2017FYA0603104, 2018YFA0605903), the Program of High-Resolution Images Surveying and Mapping Application System-Phase II (42-Y30B04-9001-19/21), and the National Natural Science Foundation of China (41876223, 42076235). Comments from two anonymous referees and the editors (Prof. Knut Hoyland and Prof. Jukka Tuhkuri) are also gratefully appreciated.</t>
  </si>
  <si>
    <t>10.1016/j.coldregions.2020.103177</t>
  </si>
  <si>
    <t>OZ2TL</t>
  </si>
  <si>
    <t>WOS:000594784700003</t>
  </si>
  <si>
    <t>Hu, SJ; Wu, JH; Zhu, BW; Du, M; Wu, C; Yu, CP; Song, L; Xu, XB</t>
  </si>
  <si>
    <t>Hu, Sijie; Wu, Jianhai; Zhu, Beiwei; Du, Ming; Wu, Chao; Yu, Cuiping; Song, Liang; Xu, Xianbing</t>
  </si>
  <si>
    <t>Low oil emulsion gel stabilized by defatted Antarctic krill (Euphausia superba) protein using high-intensity ultrasound</t>
  </si>
  <si>
    <t>ULTRASONICS SONOCHEMISTRY</t>
  </si>
  <si>
    <t>Defatted antarctic krill protein; Ultrasound; Emulsion gel; Rheological properties</t>
  </si>
  <si>
    <t>INTERNAL PHASE EMULSION; FILLED GELS; RHEOLOGY; ISOLATE; COLD</t>
  </si>
  <si>
    <t>Emulsion gels with low oil contents have been continuously developed in recent decades. In this study, the use of high-intensity ultrasound for the preparation of low oil emulsion gel (oil fraction of 0.25) was investigated. Specifically, defatted Antarctic krill protein (dAKP) was used to stabilize the interface of soybean oil and water. Then, the microstructure and the stabilization mechanism of the formed emulsion gel were evaluated by cryoSEM, CLSM, zeta potential, rheological measurements, and FTIR. Besides, the particle diameter was measured to be around 5 mu m. The results of CLSM indicated that the emulsion gel was the oil-in-water type. The emulsion gel exhibited gel-like viscoelastic behavior even at a low concentration of dAKP due to the formation of a rigid particle network while the rheological behavior of the emulsion gel was significantly affected by the concentration of dAKP. The stabilization of the emulsion gel can be maintained by space steric hindrance and hydrophobic interactions between particles in the emulsion gel system.</t>
  </si>
  <si>
    <t>[Hu, Sijie; Wu, Jianhai; Zhu, Beiwei; Du, Ming; Wu, Chao; Yu, Cuiping; Song, Liang; Xu, Xianbing] Dalian Polytech Univ, Sch Food Sci &amp; Technol, Collaborat Innovat Ctr Prov &amp; Ministerial Coconst, Natl Engn Res Ctr Seafood, Dalian 116034, Peoples R China</t>
  </si>
  <si>
    <t>Dalian Polytechnic University</t>
  </si>
  <si>
    <t>Xu, XB (corresponding author), Dalian Polytech Univ, Sch Food Sci &amp; Technol, Natl Engn Res Ctr Seafood, 1 Qinggongyuan, Dalian 116034, Peoples R China.</t>
  </si>
  <si>
    <t>xianbingxu@gmail.com</t>
  </si>
  <si>
    <t>Du, Ming/AEQ-0613-2022</t>
  </si>
  <si>
    <t>13th Five Years Key Programs for Science and Technology Development of China [2017YFD0400103]</t>
  </si>
  <si>
    <t>13th Five Years Key Programs for Science and Technology Development of China</t>
  </si>
  <si>
    <t>This work was supported by the 13th Five Years Key Programs for Science and Technology Development of China (Grant No. 2017YFD0400103).</t>
  </si>
  <si>
    <t>1350-4177</t>
  </si>
  <si>
    <t>1873-2828</t>
  </si>
  <si>
    <t>ULTRASON SONOCHEM</t>
  </si>
  <si>
    <t>Ultrason. Sonochem.</t>
  </si>
  <si>
    <t>10.1016/j.ultsonch.2020.105294</t>
  </si>
  <si>
    <t>Acoustics; Chemistry, Multidisciplinary</t>
  </si>
  <si>
    <t>Acoustics; Chemistry</t>
  </si>
  <si>
    <t>OZ9QV</t>
  </si>
  <si>
    <t>WOS:000595254400004</t>
  </si>
  <si>
    <t>Urbanek, AK; Strzelecki, MC; Mironczuk, AM</t>
  </si>
  <si>
    <t>Urbanek, Aneta K.; Strzelecki, Mateusz C.; Mironczuk, Aleksandra M.</t>
  </si>
  <si>
    <t>The potential of cold-adapted microorganisms for biodegradation of bioplastics</t>
  </si>
  <si>
    <t>WASTE MANAGEMENT</t>
  </si>
  <si>
    <t>Biodegradation; Cold-adapted microorganisms; Polyesters; Geomyces sp.</t>
  </si>
  <si>
    <t>MICROBIAL-DEGRADATION; SUCCINATE; POLYESTER; PLASTICS; DEPOLYMERASE; ENVIRONMENT; FILM; PCL</t>
  </si>
  <si>
    <t>Due to the extensive use of plastics, their quantity in the environment is constantly increasing, which creates a global problem. In the present study, we sought to isolate, test and identify Antarctic microorganisms which possess the ability to biodegrade bioplastics such as poly(e-caprolactone) (PCL), poly (butylene succinate) (PBS) and poly(butylene succinate-co-butylene adipate) (PBSA) at low temperatures. 161 bacterial and 38 fungal isolates were isolated from 22 Antarctic soil samples. Among them, 92.16% of bacterial and 77.27% of fungal isolates formed a clear zone on emulsified PBSA, 98.04% and 81.82% on PBS and 100% and 77.27% on PCL as an additive to minimal medium at 20 degrees C. Based on the 16S and 18S rRNA sequences, bacterial strains were identified as species belonging to Pseudomonas and Bacillus and fungal strains as species belonging to Geomyces, Sclerotinia, Fusarium and Mortierella, while the yeast strain was identified as Hansenula anomala. In the biodegradation process conducted under laboratory conditions at 14, 20 and 28 degrees C, Sclerotinia sp. B11IV and Fusarium sp. B30M strains showed the highest biodegradation activity at 20 degrees C (49.68% for PBSA and 33.7% for PCL, 45.99% for PBSA and 49.65% for PCL, respectively). The highest biodegradation rate for Geomyces sp. B10I was noted at 14 degrees C (25.67% for PBSA and 5.71% for PCL), which suggested a preference for lower temperatures (at 20 degrees C the biodegradation rate was only 11.34% for PBSA, and 4.46% for PCL). These data showed that microorganisms isolated from Antarctic regions are good candidates for effective plastic degradation at low temperatures. (C) 2020 Elsevier Ltd. All rights reserved.</t>
  </si>
  <si>
    <t>[Urbanek, Aneta K.; Mironczuk, Aleksandra M.] Wroclaw Univ Environm &amp; Life Sci, Dept Biotechnol &amp; Food Microbiol, Chelmonskiego 37, PL-51630 Wroclaw, Poland; [Strzelecki, Mateusz C.] Univ Wroclaw, Inst Geog &amp; Reg Dev, Pl Uniwersytecki 1, PL-50137 Wroclaw, Poland</t>
  </si>
  <si>
    <t>Wroclaw University of Environmental &amp; Life Sciences; University of Wroclaw</t>
  </si>
  <si>
    <t>Mironczuk, AM (corresponding author), Wroclaw Univ Environm &amp; Life Sci, Dept Biotechnol &amp; Food Microbiol, Chelmonskiego 37, PL-51630 Wroclaw, Poland.</t>
  </si>
  <si>
    <t>aleksandra.mironczuk@upwr.edu.pl</t>
  </si>
  <si>
    <t>Urbanek, Aneta K/KCL-5677-2024; Strzelecki, Mateusz C/Y-9851-2019; Mironczuk, Aleksandra Maria/A-1823-2017</t>
  </si>
  <si>
    <t>Urbanek, Aneta K/0000-0002-4418-0512; Strzelecki, Mateusz C/0000-0003-0479-3565; Mironczuk, Aleksandra Maria/0000-0003-1604-1635</t>
  </si>
  <si>
    <t>Wroclaw University of Environmental and Life Sciences [D220/0006/18]; National Science Centre, Poland [UMO2017/27/B/NZ9/02218]; National Science Centre, Poland project 'POROCO -Mechanisms controlling the evolution and geomorphology of rock coasts in polar climates' [UMO2013/11/B/ST10/00283]</t>
  </si>
  <si>
    <t>Wroclaw University of Environmental and Life Sciences; National Science Centre, Poland(National Science Centre, Poland); National Science Centre, Poland project 'POROCO -Mechanisms controlling the evolution and geomorphology of rock coasts in polar climates'</t>
  </si>
  <si>
    <t>This studywasperformed as the Ph.D. research program'Innowacyjny Doktorat' (no. D220/0006/18) financially supported by Wroclaw University of Environmental and Life Sciences. AMM was financed by the National Science Centre, Poland project UMO2017/27/B/NZ9/02218. Sample collection was supported by the National Science Centre, Poland project 'POROCO -Mechanisms controlling the evolution and geomorphology of rock coasts in polar climates' (UMO2013/11/B/ST10/00283). The authors thank the staff of Arctowski Polish Antarctic Station for support in field logistics.</t>
  </si>
  <si>
    <t>0956-053X</t>
  </si>
  <si>
    <t>1879-2456</t>
  </si>
  <si>
    <t>WASTE MANAGE</t>
  </si>
  <si>
    <t>Waste Manage.</t>
  </si>
  <si>
    <t>10.1016/j.wasman.2020.09.031</t>
  </si>
  <si>
    <t>PG5HR</t>
  </si>
  <si>
    <t>WOS:000599766200007</t>
  </si>
  <si>
    <t>Enengl, F; Evans, H; Horne, RB</t>
  </si>
  <si>
    <t>Enengl, F.; Evans, H.; Horne, R. B.</t>
  </si>
  <si>
    <t>Investigtion of Inner Belt Flux Anisotropies</t>
  </si>
  <si>
    <t>2021 21ST EUROPEAN CONFERENCE ON RADIATION AND ITS EFFECTS ON COMPONENTS AND SYSTEMS (RADECS)</t>
  </si>
  <si>
    <t>21st European Conference on Radiation and Its Effects on Components and Systems (RADECS)</t>
  </si>
  <si>
    <t>Vienna, AUSTRIA</t>
  </si>
  <si>
    <t>Flux Anisotropies; Inner Radiation Belt</t>
  </si>
  <si>
    <t>We investigate pitch angle distributions in the inner radiation belt for L-shells between 2-2.5 REarth and in the equatorial regions with B=B0 of &lt;1.05. The data from the INTEGRAL Radiation Monitor (IREM) onboard ESA's INTEGRAL satellite is analysed for the years from 2010-2014 and 20192020 during its descent into the proton belt during two solar minima. The Proton Telescope (PROTEL) onboard the CRRES mission (NASA, U.S. Department of Defense; 1990-1991) is used for comparison of the data in the same regions, divided into a pre-storm, storm and post-storm period. The channels used for this study are most susceptible to protons and least affected by electron contamination. The pitch angles of the instruments to the magnetic field is retrieved and their countrate dependence is investigated. The peak countrates are observed at around 90 degrees for all investigated channels. For IREM, the fitted anisotropy factor (n) is larger (n=8-9) for the lower energy channel (&gt;12 MeV) for the L-shell 2 - 2.25 RE and lower (n=2-4) for the higher energy channels ( &gt;43 MeV). For L-shell= 2.25-2.5 RE the anisotropy factors for the lower energy channel are also large (n=6-7) and for the higher energy channels low (n=2-6). Similar behaviour is found for the PROTEL data. In the low energy channel ( &gt;11 MeV) the highest anisotropy (n=5.5) is found. During the storm the anistropy increases to about 20 in the higher energy channels ( &gt;44 MeV) and stays elevated in the post-storm period.</t>
  </si>
  <si>
    <t>[Enengl, F.; Evans, H.] European Space Agcy, Estec, NL-2200 AG Noordwijk, Netherlands; [Enengl, F.] Univ Oslo, Dept Phys, N-0371 Oslo, Norway; [Horne, R. B.] British Antarctic Survey, Madingley Rd, Cambridge CB3 0ET, England</t>
  </si>
  <si>
    <t>European Space Agency; University of Oslo; UK Research &amp; Innovation (UKRI); Natural Environment Research Council (NERC); NERC British Antarctic Survey</t>
  </si>
  <si>
    <t>Enengl, F (corresponding author), Univ Oslo, Dept Phys, N-0371 Oslo, Norway.</t>
  </si>
  <si>
    <t>Florine.Enengl@fys.uio.no; Hugh.Evans@esa.int</t>
  </si>
  <si>
    <t>978-1-6654-3794-3</t>
  </si>
  <si>
    <t>10.1109/RADECS53308.2021.9954471</t>
  </si>
  <si>
    <t>Engineering, Electrical &amp; Electronic; Nuclear Science &amp; Technology</t>
  </si>
  <si>
    <t>Engineering; Nuclear Science &amp; Technology</t>
  </si>
  <si>
    <t>BU4OP</t>
  </si>
  <si>
    <t>WOS:000904311100031</t>
  </si>
  <si>
    <t>Allison, P; Beatty, JJ; Beaufore, L; Chen, Y; Coutu, S; Ellingwood, E; Gebhard, M; Green, N; Hanna, D; Kunkler, B; Mognet, I; Mbarek, R; McBride, K; Michaels, K; Müller, D; Musser, J; Nutter, S; O'Brien, S; Park, N; Rosin, T; Schreyer, E; Tarlé, G; Tabata, M; Tomasch, A; Visser, G; Wakely, SP; Werner, T; Wisher, I; Yu, M</t>
  </si>
  <si>
    <t>Desiati, P</t>
  </si>
  <si>
    <t>Allison, P.; Beatty, J. J.; Beaufore, L.; Chen, Y.; Coutu, S.; Ellingwood, E.; Gebhard, M.; Green, N.; Hanna, D.; Kunkler, B.; Mognet, I.; Mbarek, R.; McBride, K.; Michaels, K.; Mueller, D.; Musser, J.; Nutter, S.; O'Brien, S.; Park, N.; Rosin, T.; Schreyer, E.; Tarle, G.; Tabata, M.; Tomasch, A.; Visser, G.; Wakely, S. P.; Werner, T.; Wisher, I.; Yu, M.</t>
  </si>
  <si>
    <t>Cosmic-ray isotope measurements with HELIX</t>
  </si>
  <si>
    <t>36TH INTERNATIONAL COSMIC RAY CONFERENCE, ICRC2019</t>
  </si>
  <si>
    <t>36th International Cosmic Ray Conference (ICRC)</t>
  </si>
  <si>
    <t>JUL 24-AUG 01, 2019</t>
  </si>
  <si>
    <t>Madison, WI</t>
  </si>
  <si>
    <t>HELIX (High Energy Light Isotope eXperiment) is a balloon-borne experiment designed to measure the chemical and isotopic abundances of light cosmic ray nuclei. Detailed measurements by HELIX, especially of Be-10 from 0.2 GeV/n to beyond 3 GeV/n, will provide an essential set of data for the study of propagation processes of the cosmic rays. HELIX consists of a 1 Tesla superconducting magnet with a high-resolution gas tracking system, time-of-flight detector, and a ring-imaging Cherenkov detector. The instrument is scheduled to have a long-duration balloon flight out of McMurdo Station during NASA's 2020/21 Antarctic balloon campaign. Here, we discuss the scientific goals and the design of the experiment, and report on its current status.</t>
  </si>
  <si>
    <t>[Allison, P.; Beatty, J. J.; McBride, K.] Ohio State Univ, Columbus, OH 43210 USA; [Beaufore, L.; Mbarek, R.; Mueller, D.; Schreyer, E.; Wakely, S. P.; Werner, T.; Wisher, I.] Univ Chicago, Chicago, IL 60637 USA; [Chen, Y.; Coutu, S.; Mognet, I.; Yu, M.] Penn State Univ, University Pk, PA 16802 USA; [Ellingwood, E.; Hanna, D.; O'Brien, S.; Rosin, T.] McGill Univ, Montreal, PQ H3A 2T8, Canada; [Gebhard, M.; Kunkler, B.; Michaels, K.; Musser, J.; Visser, G.] Indiana Univ, Bloomington, IN 47405 USA; [Green, N.; Tarle, G.; Tomasch, A.] Univ Michigan, Ann Arbor, MI 48109 USA; [Nutter, S.] Northern Kentucky Univ, Highland Hts, KY 41099 USA; [Park, N.] Univ Wisconsin, Madison, WI 53706 USA; [Tabata, M.] Chiba Univ, Chiba 2638522, Japan</t>
  </si>
  <si>
    <t>University System of Ohio; Ohio State University; University of Chicago; Pennsylvania Commonwealth System of Higher Education (PCSHE); Pennsylvania State University; Pennsylvania State University - University Park; McGill University; Indiana University System; Indiana University Bloomington; University of Michigan System; University of Michigan; Northern Kentucky University; University of Wisconsin System; University of Wisconsin Madison; Chiba University</t>
  </si>
  <si>
    <t>Park, N (corresponding author), Univ Wisconsin, Madison, WI 53706 USA.</t>
  </si>
  <si>
    <t>npark7@wisc.edu</t>
  </si>
  <si>
    <t>Beatty, James/D-9310-2011</t>
  </si>
  <si>
    <t>Beatty, James/0000-0003-0481-4952</t>
  </si>
  <si>
    <t>PROCEEDINGS OF SCIENCE</t>
  </si>
  <si>
    <t>Trieste</t>
  </si>
  <si>
    <t>Via Bonomea, 265, Trieste, ITALY</t>
  </si>
  <si>
    <t>Astronomy &amp; Astrophysics; Physics, Particles &amp; Fields</t>
  </si>
  <si>
    <t>Astronomy &amp; Astrophysics; Physics</t>
  </si>
  <si>
    <t>BV7QR</t>
  </si>
  <si>
    <t>WOS:001070848401119</t>
  </si>
  <si>
    <t>Anchordoqui, LA; Antoniadis, I; Barger, V; Cornet, F; Canal, CG; Gutiérrez, M; Illana, JI; Learned, JG; Marfatia, D; Masip, M; Pakvasa, S; Palomares-Rui, S; Soriano, JF; Weiler, TJ</t>
  </si>
  <si>
    <t>Anchordoqui, L. A.; Antoniadis, I.; Barger, V.; Cornet, F.; Garcia Canal, C.; Gutierrez, M.; Illana, J. I.; Learned, J. G.; Marfatia, D.; Masip, M.; Pakvasa, S.; Palomares-Rui, S.; Soriano, J. F.; Weiler, T. J.</t>
  </si>
  <si>
    <t>The pros and cons of beyond standard model interpretations of ANITA events</t>
  </si>
  <si>
    <t>The Antarctic Impulsive Transient Antenna (ANITA) experiment has observed two air shower events with energy similar to 500 PeV emerging from the Earth with exit angles similar to 30 degrees above the horizon. As was immediately noted by the ANITA Collaboration, these events (in principle) could originate in the atmospheric decay of an upgoing tau-lepton produced through a charged current interaction of a v(tau) inside the Earth. However, the relatively steep arrival angles of these perplexing events create tension with the standard model (SM) neutrino-nucleon interaction cross section. Deepening the conundrum, the IceCube neutrino telescope and the Pierre Auger Observatory with substantially larger exposures to cosmic v(tau)'s in this energy range have not observed any events. This lack of observation implies that the messenger particle (MP) giving rise to ANITA events must produce an air shower event rate at least a factor of 40 larger than that produced by a flux of tau-neutrinos to avoid conflicts with the upper limits reported by the IceCube and the Pierre Auger collaborations. In addition, the sensitivity of ANITA to MP-induced events must be comparable to or larger than those of IceCube and Auger to avoid conflict with the non-observation of any signal at these facilities. Beyond SM interpretations of ANITA events can be classified according to whether the MPs: (i) live inside the Earth, (ii) originate in neutrino-nucleon collisions inside the Earth, (iii) come from cosmological distances. In this communication we investigate the positive and negative facets of these three classes of models.</t>
  </si>
  <si>
    <t>[Anchordoqui, L. A.; Soriano, J. F.] CUNY Lehman Coll, Bronx, NY 10468 USA; [Anchordoqui, L. A.; Soriano, J. F.] CUNY Grad Ctr, New York, NY 10016 USA; [Anchordoqui, L. A.] Amer Museum Nat Hist, New York, NY 10024 USA; [Antoniadis, I.] Sorbonne Univ, LPTHE, Paris, France; [Antoniadis, I.] Univ Bern, Albert Einstein Ctr, Inst Theoret Phys, Bern, Switzerland; [Barger, V.] Univ Wisconsin, Madison, WI USA; [Cornet, F.; Gutierrez, M.; Illana, J. I.; Masip, M.] Univ Granada, Granada, Spain; [Garcia Canal, C.] Univ Nacl La Plata, IFLP, CONICET, La Plata, Argentina; [Learned, J. G.; Marfatia, D.; Pakvasa, S.] Univ Hawaii Manoa, Honolulu, HI USA; [Palomares-Rui, S.] Univ Valencia, CSIC, Inst Fis Corpuscular IFIC, Valencia, Spain; [Weiler, T. J.] Vanderbilt Univ, Nashville, TN USA</t>
  </si>
  <si>
    <t>City University of New York (CUNY) System; City University of New York (CUNY) System; City University of New York (CUNY) Graduate School; American Museum of Natural History (AMNH); Sorbonne Universite; University of Bern; University of Wisconsin System; University of Wisconsin Madison; University of Granada; National University of La Plata; Consejo Nacional de Investigaciones Cientificas y Tecnicas (CONICET); University of Hawaii System; University of Hawaii Manoa; Consejo Superior de Investigaciones Cientificas (CSIC); CSIC - Instituto de Fisica Corpuscular (IFIC); University of Valencia; Vanderbilt University</t>
  </si>
  <si>
    <t>Anchordoqui, LA (corresponding author), CUNY Lehman Coll, Bronx, NY 10468 USA.;Anchordoqui, LA (corresponding author), CUNY Grad Ctr, New York, NY 10016 USA.;Anchordoqui, LA (corresponding author), Amer Museum Nat Hist, New York, NY 10024 USA.</t>
  </si>
  <si>
    <t>NASA [80NSSC18K0464]; U.S. NSF [PHY-1620661]; DoE [DE-SC-0010504, DE-SC-001198]; Institute Lagrange de Paris; Swiss NSF; CNRS PICS; AN-PCyT; MICINN of Spain [FPA2016-78220, FPA2017-84543-P, SEV-2014-0398]; Junta de Andalucia [FQM101]; European Union [690575, 674896]</t>
  </si>
  <si>
    <t>NASA(National Aeronautics &amp; Space Administration (NASA)); U.S. NSF(National Science Foundation (NSF)); DoE(United States Department of Energy (DOE)); Institute Lagrange de Paris; Swiss NSF(Swiss National Science Foundation (SNSF)); CNRS PICS(Centre National de la Recherche Scientifique (CNRS)); AN-PCyT(ANPCyT); MICINN of Spain(Spanish Government); Junta de Andalucia(Junta de Andalucia); European Union(European Union (EU))</t>
  </si>
  <si>
    <t>We thank Peter Gorham and David Saltzberg for valuable discussions. This work has been supported by NASA (80NSSC18K0464), U.S. NSF (PHY-1620661), DoE (DE-SC-0010504, DE-SC-001198), Institute Lagrange de Paris, Swiss NSF, CNRS PICS, AN-PCyT, MICINN of Spain (FPA2016-78220, FPA2017-84543-P and SEV-2014-0398), Junta de Andalucia (FQM101), and European Union's Horizon 2020 program (Marie Sklodowska-Curie No. 690575 and 674896).</t>
  </si>
  <si>
    <t>WOS:001070848406051</t>
  </si>
  <si>
    <t>Ayuso, S; Tejedor, JIG; Blanco, JJ; Gómez-Herrero, R; Población, OG; Medina, J; Prieto, M; López-Comazzi, A</t>
  </si>
  <si>
    <t>Ayuso, S.; Garcia Tejedor, J. I.; Blanco, J. J.; Gomez-Herrero, R.; Garcia Poblacion, O.; Medina, J.; Prieto, M.; Lopez-Comazzi, A.</t>
  </si>
  <si>
    <t>MITO, a new directional muon telescope design. First observations</t>
  </si>
  <si>
    <t>The Muon Impact Tracer and Observer (MITO) is a new cosmic ray detector, part of the Antarctic Cosmic Ray Observatory (ORCA), recently deployed by the University of Alcala at the Juan Carlos I Spanish Antarctic Station (JCI) on Livingston Island, Antarctic Peninsula (S62 degrees 39'46, W60 degrees 23'20, 12 m asl). MITO is composed of two stacked 100 cm x 100 cm x 5 cm BC-400 organic scintillators, eight photomultiplier tubes (PMTs) with corresponding light guides, a 16 cm lead separation layer, and an electronic data acquisition module able to register muon flux and pulse amplitude data. The goal of this setup is to provide a real-time estimation of the muon impact points on each scintillator and, thus, the muon arrival directions, based on the comparison of the pulse heights registered by each PMT. The electronic data acquisition module has been designed using different approaches and processing technologies (analogue and digital) producing some theoretically equivalent and redundant results which can be compared and used for better reliability. In this work we present the MITO design and discuss the preliminary results of the latitudinal survey of cosmic ray fluxes performed during its cruise aboard the Sarmiento de Gamboa oceanographic research vessel from Vigo (Spain) to the Antarctic Peninsula, from November 14th, 2018 to January 2nd, 2019.</t>
  </si>
  <si>
    <t>[Ayuso, S.; Garcia Tejedor, J. I.; Blanco, J. J.; Gomez-Herrero, R.; Garcia Poblacion, O.; Medina, J.; Prieto, M.; Lopez-Comazzi, A.] Univ Alcala, Plaza S Diego S-N, Alcala De Henares, Spain</t>
  </si>
  <si>
    <t>Universidad de Alcala</t>
  </si>
  <si>
    <t>Ayuso, S (corresponding author), Univ Alcala, Plaza S Diego S-N, Alcala De Henares, Spain.</t>
  </si>
  <si>
    <t>sindulfo.ayuso@edu.uah.es; ignacio.garcia@uah.es; juanjo.blanco@uah.es; raul.gomezh@uah.es; oscar.gpoblacion@uah.es; jose.medina@calmanm.es; manuel.prieto@uah.es; alejandrofrancisco.l@edu.uah.es</t>
  </si>
  <si>
    <t>G. Tejedor, J. Ignacio/AAB-5573-2019; Prieto, Manuel/K-8822-2014</t>
  </si>
  <si>
    <t>G. Tejedor, J. Ignacio/0000-0003-1397-5950; Prieto, Manuel/0000-0003-3050-3445</t>
  </si>
  <si>
    <t>Ministerio de Speaker [CTM2016-77325-C2-1-P]</t>
  </si>
  <si>
    <t>Ministerio de Speaker</t>
  </si>
  <si>
    <t>This work has been supported by the project CTM2016-77325-C2-1-P funded by Ministerio de Speaker</t>
  </si>
  <si>
    <t>WOS:001070848402028</t>
  </si>
  <si>
    <t>Barbano, A; Montaruli, T; Pizzuto, A; Vandenbroucke, J</t>
  </si>
  <si>
    <t>Barbano, Anastasia; Montaruli, Teresa; Pizzuto, Alex; Vandenbroucke, Justin</t>
  </si>
  <si>
    <t>IceCube Collaboration</t>
  </si>
  <si>
    <t>A search for IceCube events in the direction of ANITA neutrino candidates</t>
  </si>
  <si>
    <t>ASTROPHYSICAL SOURCES; EMISSION; BURSTS; YR</t>
  </si>
  <si>
    <t>The Antarctic Impulsive Transient Antenna (ANITA) collaboration has reported a total of three neutrino candidates from the experiment's first three flights. One of these was the lone candidate in a search for Askaryan radio emission, and the others can be interpreted as tau-neutrinos, with important caveats. Among a variety of explanations for these events, they may be produced by astrophysical transients with various characteristic timescales. We test the hypothesis that these events are astrophysical in origin by searching for IceCube counterparts. Using seven years of IceCube data from 2011 through 2018, we search for neutrino point sources using integrated, triggered, and untriggered approaches, and account for the substantial uncertainty in the directional reconstruction of the ANITA events. Due to its large livetime and effective area over many orders of magnitude in energy, IceCube is well suited to test the astrophysical origin of the ANITA events.</t>
  </si>
  <si>
    <t>[Barbano, Anastasia; Montaruli, Teresa] Univ Geneva, Dept Phys Nucl &amp; Corpusculaire, CH-1211 Geneva, Switzerland; [Pizzuto, Alex; Vandenbroucke, Justin] Univ Wisconsin, Dept Phys, Madison, WI 53706 USA; [Pizzuto, Alex; Vandenbroucke, Justin] Univ Wisconsin, Wisconsin IceCube Particle Astrophys Ctr, Madison, WI 53706 USA</t>
  </si>
  <si>
    <t>University of Geneva; University of Wisconsin System; University of Wisconsin Madison; University of Wisconsin System; University of Wisconsin Madison</t>
  </si>
  <si>
    <t>Barbano, A; Montaruli, T (corresponding author), Univ Geneva, Dept Phys Nucl &amp; Corpusculaire, CH-1211 Geneva, Switzerland.;Pizzuto, A; Vandenbroucke, J (corresponding author), Univ Wisconsin, Dept Phys, Madison, WI 53706 USA.;Pizzuto, A; Vandenbroucke, J (corresponding author), Univ Wisconsin, Wisconsin IceCube Particle Astrophys Ctr, Madison, WI 53706 USA.</t>
  </si>
  <si>
    <t>pizzuto@wisc.edu</t>
  </si>
  <si>
    <t>WOS:001070848407003</t>
  </si>
  <si>
    <t>Blanco, JJ; Población, OG; Tejedor, JIG; Steigies, CT; Medina, J; Prieto, M; López-Comazzi, A; Ayuso, S; Gómez-Herrero, R; Garzón, JA; García-Castro, D; Cabanelas, P; Gomis-Moreno, A; Villasante-Marcos, V; Heber, B; Morozova, A; Kornakov, G; Kurtukian, T; Blanco, A; Lopes, L; Saravia, JP; Kruger, H; Strauss, VD; Yanke, G</t>
  </si>
  <si>
    <t>Blanco, J. J.; Garcia Poblacion, O.; Garcia Tejedor, J. I.; Steigies, C. T.; Medina, J.; Prieto, M.; Lopez-Comazzi, A.; Ayuso, S.; Gomez-Herrero, R.; Garzon, J. A.; Garcia-Castro, D.; Cabanelas, P.; Gomis-Moreno, A.; Villasante-Marcos, V.; Heber, B.; Morozova, Anna; Kornakov, G.; Kurtukian, T.; Blanco, A.; Lopes, L.; Saravia, J. P.; Kruger, H.; Strauss, Du Toit, V; Yanke, G.</t>
  </si>
  <si>
    <t>ORCA Team</t>
  </si>
  <si>
    <t>ORCA (Antarctic Cosmic Ray Observatory): 2018 latitudinal survey</t>
  </si>
  <si>
    <t>A set of detectors devoted to investigate secondary cosmic rays has performed a latitudinal observation from Vigo (Spain) to Juan Carlos I Spanish Antarctic Station (Livingston Island, Antarctic Peninsula) aboard the Sarmiento de Gamboa oceanographic vessel from November 14(th) to January 2(nd). The experiment is split into two modules, one composed by a stack of 3NM64, three BF3 bare counters (NEMO) and a muon telescope (MITO) with a mini neutron monitor in a 20' maritime container on the Sarmiento de Gamboa's deck and a second module (TRISTAN) consisting of a set of 3 RPC planes with a lead layer in between the second and the third plane placed in a separate temperature controlled room below the ship's deck. The complete set of instruments is the Antarctic Cosmic Ray Observatory (ORCA) that has been be installed in the Juan Carlos I Spanish Antarctic Base in Livingston Island (Antarctica). The latitudinal survey took ORCA throughout the South Atlantic magnetic anomaly along the Brazilian coast. ORCA is able to measure fluxes of neutrons of different energies, charged particles (mostly muons) and muon incident directions on the detector surface. In this work, we present the preliminary results of the latitudinal survey.</t>
  </si>
  <si>
    <t>[Blanco, J. J.; Garcia Poblacion, O.; Garcia Tejedor, J. I.; Medina, J.; Prieto, M.; Lopez-Comazzi, A.; Ayuso, S.; Gomez-Herrero, R.] Univ Alcala, Alcala De Henares, Madrid, Spain; [Garzon, J. A.; Garcia-Castro, D.; Cabanelas, P.] Univ Santiago de Compostela, Santiago De Compostela, Spain; [Steigies, C. T.; Heber, B.] Christian Albrechts Univ Kiel, IEAP, Kiel, Germany; [Morozova, Anna] CITEUC, Coimbra, Portugal; [Gomis-Moreno, A.; Villasante-Marcos, V.] Inst Geog Nacl Expanol, Madrid, Spain; [Kornakov, G.] Tech Univ Darmstadt, Darmstadt, Germany; [Kurtukian, T.] CEN Bordeaux, Bordeaux, France; [Blanco, A.; Lopes, L.; Saravia, J. P.] LIP Coimbra, Coimbra, Portugal; [Kruger, H.; Strauss, Du Toit, V] North West Univ, Ctr Space Res, Potchefstroom, South Africa; [Yanke, G.] Inst Terr Magnetism Ionosphere &amp; Radio Wave Propa, Moscow, Russia</t>
  </si>
  <si>
    <t>Universidad de Alcala; Universidade de Santiago de Compostela; University of Kiel; Universidade de Coimbra; Technical University of Darmstadt; Universite de Bordeaux; Laboratorio de Instrumentacao e Fisica Experimental de Particulas; Universidade de Coimbra; North West University - South Africa; Russian Academy of Sciences; Pushkov Institute of Terrestrial Magnetism, Ionosphere &amp; Radio Wave Propagation</t>
  </si>
  <si>
    <t>Blanco, JJ (corresponding author), Univ Alcala, Alcala De Henares, Madrid, Spain.</t>
  </si>
  <si>
    <t>juanjo.blanco@uah.es</t>
  </si>
  <si>
    <t>Kornakov, Georgy/ABB-5902-2021; Lopes, Luis/KEH-7448-2024; Cabanelas, Pablo/B-2034-2016; Prieto, Manuel/K-8822-2014; Kurtukian-Nieto, Teresa/J-1707-2014; G. Tejedor, J. Ignacio/AAB-5573-2019</t>
  </si>
  <si>
    <t>Kornakov, Georgy/0000-0002-3652-6683; Cabanelas, Pablo/0000-0002-5416-4647; Prieto, Manuel/0000-0003-3050-3445; Kurtukian-Nieto, Teresa/0000-0002-0028-0220; G. Tejedor, J. Ignacio/0000-0003-1397-5950</t>
  </si>
  <si>
    <t>WOS:001070848401016</t>
  </si>
  <si>
    <t>Blanco, JJ; Población, OG; Tejedor, JIG; Medina, J; Prieto, M; López-Comazzi, A; Ayuso, S; Gómez-Herrero, R; Steigies, CT</t>
  </si>
  <si>
    <t>Blanco, J. J.; Garcia Poblacion, O.; Garcia Tejedor, J. I.; Medina, J.; Prieto, M.; Lopez-Comazzi, A.; Ayuso, S.; Gomez-Herrero, R.; Steigies, C. T.</t>
  </si>
  <si>
    <t>A new neutron monitor at the Juan Carlos I Spanish Antarctic Station (Livingston Island-Antarctic Peninsula)</t>
  </si>
  <si>
    <t>A new neutron monitor was installed at Juan Carlos I Spanish Antarctic Base (S 62 degrees 39' 46'', W 60 degrees 23' 20'', 12 m asl) last January 2019. The Base is located at Livingston Island (South Shetland Archipelago) close to the Antarctic Peninsula. The vertical rigidity cut-off for this new station is estimated as 3.52 GV. This new station (Antarctic Cosmic Ray Observatory) is composed by a BF3-based 3NM64 (ORCA) and 3 bare BF3 counters (ORCB). The neutron monitor is complemented by a muon telescope sharing a common room in a single stack. ORCA and ORCB with the Castilla-La Mancha neutron monitor (CaLMa) are the Spanish contribution to the Neutron Monitor Data Base. Juan Carlos I Base is a summer station, that that it operates only during the antarctic summer. This affects to communications and data transmission implying two different modes of data transmission, one minute resolution data and almost real time in summer and one hour resolution data that is sent once a day. Nevertheless, data with one minute resolution is stored in a NAS hard drive system along the year. First measurements and future plans are presented in this work.</t>
  </si>
  <si>
    <t>[Blanco, J. J.; Garcia Poblacion, O.; Garcia Tejedor, J. I.; Medina, J.; Prieto, M.; Lopez-Comazzi, A.; Ayuso, S.; Gomez-Herrero, R.] Univ Alcala, Alcala De Henares, Madrid, Spain; [Steigies, C. T.] Christian Albrechts Univ Kiel, IEAP, Kiel, Germany</t>
  </si>
  <si>
    <t>Universidad de Alcala; University of Kiel</t>
  </si>
  <si>
    <t>Prieto, Manuel/K-8822-2014; G. Tejedor, J. Ignacio/AAB-5573-2019</t>
  </si>
  <si>
    <t>Prieto, Manuel/0000-0003-3050-3445; G. Tejedor, J. Ignacio/0000-0003-1397-5950</t>
  </si>
  <si>
    <t>Ministerio de Economia y Competitividad [CTM2016-77325-C2-1-P]; European Regional Development Fund, FEDER</t>
  </si>
  <si>
    <t>Ministerio de Economia y Competitividad(Spanish Government); European Regional Development Fund, FEDER(European Union (EU))</t>
  </si>
  <si>
    <t>Data of neutron monitors has been downloaded from NMDB page: http://www.nmdb.eu/nest/.The neutron monitor data from South Pole are provided by the University of Wisconsin, River Falls. Terre Adelie neutron monitor data were kindly provided by Observatoire de Paris and the French polar institute (IPEV), France. CaLMa neutron monitor data were kindly provided by the Space Research Group (SRG-UAH), University of Alcala, Spain. This work has been supported by the project CTM2016-77325-C2-1-P funded by Ministerio de Economia y Competitividad and by the European Regional Development Fund, FEDER.</t>
  </si>
  <si>
    <t>WOS:001070848401017</t>
  </si>
  <si>
    <t>Bradascio, F; Garrappa, S; Goldack, M; Schwerdt, C; Stachurska, J; Stein, R; Walter, M</t>
  </si>
  <si>
    <t>Bradascio, Federica; Garrappa, Simone; Goldack, Miriam; Schwerdt, Carolin; Stachurska, Juliana; Stein, Robert; Walter, Michael</t>
  </si>
  <si>
    <t>Cosmic@Web - Astroparticle learning platform for students</t>
  </si>
  <si>
    <t>Encouraging young people to actively participate in science is a longstanding and important priority at DESY. To provide high-school students with an opportunity to learn more about astroparticle physics, a number of simple experiments were developed at the DESY Zeuthen campus. Data from these experiments are published on the Cosmic@Web learning platform, along with a range of online analysis tools and introductory material. In addition to local experiments, data are provided from a global network of continuously-operating cosmic particle experiments. Diverse sites participate in this network, including the pole-to-pole research vessel Polarstern, the Antarctic Neumayer III station, as well as the high altitude research stations in Aragats, Armenia and Moussala, Bulgaria. Using Cosmic@Web, students without direct access to an experiment can analyse data in a classroom or at home. The learning platform can also be used to participate in the annual International Cosmic Day. With Cosmic@Web, students can work like real scientists and do their own astroparticle physics research. These developments form part of the German outreach network Netzwerk Teilchenwelt.</t>
  </si>
  <si>
    <t>[Bradascio, Federica; Garrappa, Simone; Goldack, Miriam; Schwerdt, Carolin; Stachurska, Juliana; Stein, Robert; Walter, Michael] DESY, D-15735 Zeuthen, Germany</t>
  </si>
  <si>
    <t>Helmholtz Association; Deutsches Elektronen-Synchrotron (DESY)</t>
  </si>
  <si>
    <t>Bradascio, F (corresponding author), DESY, D-15735 Zeuthen, Germany.</t>
  </si>
  <si>
    <t>federica.bradascio@desy.de; simone.garrappa@desy.de; miriam.goldack@desy.de; carolin.schwerdt@desy.de; juliana.stachurska@desy.de; robert.stein@desy.de; michael.walter@desy.de</t>
  </si>
  <si>
    <t>[AWI_PS116_00]</t>
  </si>
  <si>
    <t>We thank Gesamtmetall -Nachwuchssicherung [1] and the German outreach network Netzwerk Teilchenwelt [2] for their support. We also thank A. Alikhanyan National Lab in Yerevan, Armenia for providing data from the SEVAN detector [4]. The Fall 2018 upgrade of the data acquisition of the MNM and muon detector was made possible by Grant-No. AWI_PS116_00.</t>
  </si>
  <si>
    <t>WOS:001070848403098</t>
  </si>
  <si>
    <t>Calderón-Ardila, R; Jaimes-Motta, A; Pena-Rodríguez, J; Sarmiento-Cano, C; Suárez-Durán, M; Vásquez-Ramírez, A</t>
  </si>
  <si>
    <t>Calderon-Ardila, R.; Jaimes-Motta, A.; Pena-Rodriguez, J.; Sarmiento-Cano, C.; Suarez-Duran, M.; Vasquez-Ramirez, A.</t>
  </si>
  <si>
    <t>LAGO Collaboration</t>
  </si>
  <si>
    <t>Modeling the LAGO's detectors response to secondary particles at ground level from the Antarctic to Mexico</t>
  </si>
  <si>
    <t>GAMMA-RAY BURSTS; WATER; CALIBRATION</t>
  </si>
  <si>
    <t>The Latin American Giant Observatory (LAGO) is an observatory spanning over Latin America in a wide range of latitudes with different rigidity cut offs and atmospheric depths. The motivation of the Observatory is to study, using Water Cherenkov Detectors (WCD), the atmospheric radiation and the space weather through the measurement of secondary particles produced during the interaction of astroparticles with the atmosphere. Here, we present the methodology for estimating the number of Cherenkov photons detected by the photo-multiplier tube in a WCD in any geographical position. To do this, the secondary particle flux of cosmic rays is calculated and a geomagnetic field correction is applied. The CORSIKA and MAGCOS programs are used. In addition, the outcome of the simulation is used as an input to the Geant4 program in order to mimic the response of the detector. As a result, the distribution of photo-electrons is obtained for the total particle flux, where its behavior resembles the characteristic signals of this kind of detector and could be used to calibrate the system. This methodology was applied for five LAGO detector sites, located at different latitudes and altitudes above sea level, between Chile and Mexico.</t>
  </si>
  <si>
    <t>[Jaimes-Motta, A.; Pena-Rodriguez, J.; Suarez-Duran, M.; Vasquez-Ramirez, A.] Univ Ind Santander, Escuela Fis, Bucaramanga, Colombia; [Calderon-Ardila, R.; Sarmiento-Cano, C.] Univ Nacl San Martin UNSAM, Buenos Aires, Argentina; [Calderon-Ardila, R.; Sarmiento-Cano, C.; Suarez-Duran, M.] Inst Tecnol Detecc &amp; Astroparticulas ITeDA, Buenos Aires, Argentina; [Suarez-Duran, M.] Univ Pamplona, Dept Fis &amp; Geol, Pamplona, Norte De Santan, Spain</t>
  </si>
  <si>
    <t>Universidad Industrial de Santander</t>
  </si>
  <si>
    <t>Sarmiento-Cano, C (corresponding author), Univ Nacl San Martin UNSAM, Buenos Aires, Argentina.;Sarmiento-Cano, C (corresponding author), Inst Tecnol Detecc &amp; Astroparticulas ITeDA, Buenos Aires, Argentina.</t>
  </si>
  <si>
    <t>christian.sarmiento@iteda.cnea.gov.ar</t>
  </si>
  <si>
    <t>UIS Vicerrectoria de Investigacion y Extension (VIE-UIS)</t>
  </si>
  <si>
    <t>The LAGO Collaboration is very thankful to all the participating institutions and to the Pierre 127 Auger Collaboration for their continuous support. In addition, some results presented in this paper were carried out using the GridUIS-2 experimental testbed, being developed under the Universidad Industrial de Santander (SC3UIS) High Performance and Scientific Computing Centre, develop ment action with support from UIS Vicerrectoria de Investigacion y Extension (VIE-UIS) and sev eral UIS research groups as well as other funding bodies (http://www.sc3.uis.edu.co).</t>
  </si>
  <si>
    <t>WOS:001070848403091</t>
  </si>
  <si>
    <t>Connolly, A</t>
  </si>
  <si>
    <t>Connolly, Amy</t>
  </si>
  <si>
    <t>ARA Collaboration</t>
  </si>
  <si>
    <t>Recent Results from The Askaryan Radio Array</t>
  </si>
  <si>
    <t>The Askaryan Radio Array (ARA) is an ultra-high energy (UHE) neutrino telescope at the South Pole consisting of an array of radio antennas aimed at detecting the Askaryan radiation produced by neutrino interactions in the ice. Currently, the experiment has five stations in operation that have been deployed in stages since 2012. This contribution focuses on the development of a search for a diffuse flux of neutrinos in two ARA stations (A2 and A3) from 2013-2016. A background of similar to 0:01 0:02 events is expected in one station in each of two search channels in horizontal- and vertical-polarizations. The expected new constraints on the flux of ultra-high energy neutrinos based on four years of analysis with two stations improve on the previous limits set by ARA by a factor of about two. The projected sensitivity of ARA's five-station dataset is beginning to be competitive with other neutrino telescopes at high energies near 10(10.5) GeV.</t>
  </si>
  <si>
    <t>[Connolly, Amy] Ohio State Univ, Columbus, OH 43210 USA</t>
  </si>
  <si>
    <t>University System of Ohio; Ohio State University</t>
  </si>
  <si>
    <t>Connolly, A (corresponding author), Ohio State Univ, Columbus, OH 43210 USA.</t>
  </si>
  <si>
    <t>connolly@physics.osu.edu</t>
  </si>
  <si>
    <t>National Science Foundation Office of Polar Programs and Physics Division [NSF OPP-902483, NSF OPP-1359535, NSF OPP-1404212]; National Science Foundation [1806923]; NSF CAREER [1255557]; BIGDATA [1250720]; United States-Israel Binational Science Foundation [2012077]</t>
  </si>
  <si>
    <t>National Science Foundation Office of Polar Programs and Physics Division; National Science Foundation(National Science Foundation (NSF)); NSF CAREER(National Science Foundation (NSF)NSF - Office of the Director (OD)); BIGDATA; United States-Israel Binational Science Foundation(US-Israel Binational Science Foundation)</t>
  </si>
  <si>
    <t>We thank the National Science Foundation Office of Polar Programs and Physics Division for their generous support through Grant NSF OPP-902483, Grant NSF OPP-1359535 and Grant NSF OPP-1404212. Furthermore, we are grateful to the Raytheon Polar Services Corporation and the Antarctic Support Contractor for field support. A. Connolly thanks the National Science Foundation for their support through NSF award 1806923, NSF CAREER award 1255557, BIGDATA Grant 1250720, and thanks the United States-Israel Binational Science Foundation for their support through Grant 2012077. A. Connolly is also grateful to the Ohio Supercomputer Center (OSC) for computational resources.</t>
  </si>
  <si>
    <t>WOS:001070848406031</t>
  </si>
  <si>
    <t>Deaconu, C</t>
  </si>
  <si>
    <t>Deaconu, Cosmin</t>
  </si>
  <si>
    <t>ANITA Collaboration</t>
  </si>
  <si>
    <t>Searches for Ultra-High Energy Neutrinos with ANITA</t>
  </si>
  <si>
    <t>DIGITIZER</t>
  </si>
  <si>
    <t>The ANtarctic Impulsive Transient Antenna (ANITA) long-duration balloon experiment flies an interferometric radio array over Antarctica with a primary goal of detecting impulsive Askaryan radio emission from ultra-high-energy neutrinos interacting in the ice sheet. The third and fourth ANITA flights were completed in January 2015 and December 2016, respectively, obtaining the most stringent limits on the diffuse ultra-high-energy neutrino flux above 10(19.5) eV to date. We also discuss ongoing analyses and the proposed Payload for Ultrahigh Energy Observations (PUEO), the successor to the ANITA program. PUEO's larger number of antennas and improved trigger would significantly improve sensitivity compared to ANITA-IV.</t>
  </si>
  <si>
    <t>[Deaconu, Cosmin] Univ Chicago, Dept Phys, Enrico Fermi Inst, Kavli Inst Cosmol Phys, Chicago, IL 60637 USA</t>
  </si>
  <si>
    <t>University of Chicago</t>
  </si>
  <si>
    <t>Deaconu, C (corresponding author), Univ Chicago, Dept Phys, Enrico Fermi Inst, Kavli Inst Cosmol Phys, Chicago, IL 60637 USA.</t>
  </si>
  <si>
    <t>cozzyd@kicp.uchicago.edu</t>
  </si>
  <si>
    <t>NASA [NNX15AC24G]</t>
  </si>
  <si>
    <t>NASA(National Aeronautics &amp; Space Administration (NASA))</t>
  </si>
  <si>
    <t>ANITA is funded by NASA grant NNX15AC24G and relies on the NSF for logistics support. We particularly thank the team at the Columbia Scientific Ballooning Facility (CSBF) responsible for keeping ANITA aloft and the NSF personnel in Antarctica who are dedicated to making science happen on a harsh continent. This work was supported by the Kavli Institute for Cosmological Physics at the University of Chicago. Computing resources were provided by the Research Computing Center at the University of Chicago.</t>
  </si>
  <si>
    <t>WOS:001070848406038</t>
  </si>
  <si>
    <t>Dujmovic, H; Jeong, M; Tönnis, C</t>
  </si>
  <si>
    <t>Dujmovic, H.; Jeong, M.; Tonnis, C.</t>
  </si>
  <si>
    <t>The SPICEcore Hole Camera System</t>
  </si>
  <si>
    <t>ICE</t>
  </si>
  <si>
    <t>IceCube is a cubic-kilometer scale neutrino telescope located at the geographic South Pole. The detector utilizes the extremely transparent Antarctic ice as a medium for detecting Cherenkov radiation from neutrino interactions. As a result of extensive studies of the optical properties of ice, the light propagation in IceCube is well understood. The ice properties are, however, still dominant sources of detector systematic uncertainties in many IceCube analyses. We have designed a camera system to measure the optical properties of the Antarctic ice surrounding the SPICEcore hole that is an ice-core hole drilled down to 1.7 km near the IceCube detector. The device uses CMOS image sensors to measure the back-scattered light from bright LEDs pointing into the ice. Having a similar measurement principle, the device can also serve as a proof of concept of a camera system designed for the optical modules for IceCube Upgrade. During the 2018/2019 austral summer season, a prototype of the instrument was deployed in the ice-core hole. In this contribution, we present the hardware design of the camera system and the result of the first deployment at the South Pole.</t>
  </si>
  <si>
    <t>[Dujmovic, H.; Jeong, M.; Tonnis, C.] Sungkyunkwan Univ, Dept Phys, Suwon 16419, South Korea</t>
  </si>
  <si>
    <t>Sungkyunkwan University (SKKU)</t>
  </si>
  <si>
    <t>Dujmovic, H; Jeong, M; Tönnis, C (corresponding author), Sungkyunkwan Univ, Dept Phys, Suwon 16419, South Korea.</t>
  </si>
  <si>
    <t>hrvoje.dujmovic@icecube.wisc.edu; minjin.jeong@g.skku.edu; christoph.toennis@gmx.de</t>
  </si>
  <si>
    <t>WOS:001070848406085</t>
  </si>
  <si>
    <t>Fortescue, D; de Wasseige, G</t>
  </si>
  <si>
    <t>Fortescue, Donald; de Wasseige, Gwenhael</t>
  </si>
  <si>
    <t>Synergy between Art and Science: Collaboration at the South Pole</t>
  </si>
  <si>
    <t>We present the result of a cross-disciplinary collaboration between Prof. Donald Fortescue of the California College of the Arts in San Francisco and the Dr. Gwenhael de Wasseige of the IceCube Collaboration. The work presented was initiated during Fortescue's US National Science Foundation funded Antarctic Artists and Writers Fellowship at the South Pole in the austral summer of 2016/17. One outcome of this collaboration is the video work Axis Mundi a timelapse movie captured during 24 hours at the South Pole, combined with a simultaneous sampling of IceCube data transduced into sound. Axis Mundi captures the rotation of the Earth in space, the transient motions of the atmosphere, and the passage of subatomic particles through the polar ice, to provide a means for us to physically engage with these phenomena. We detail how both the timelapse and the transduction of atmospheric muon data have been realized and discuss the benefits of such a collaboration.</t>
  </si>
  <si>
    <t>[Fortescue, Donald] Calif Coll Arts, San Francisco, CA 94107 USA; [de Wasseige, Gwenhael] Lab APC, Paris, France</t>
  </si>
  <si>
    <t>Universite PSL; Observatoire de Paris; CEA; Centre National de la Recherche Scientifique (CNRS); Universite Paris Cite</t>
  </si>
  <si>
    <t>Fortescue, D (corresponding author), Calif Coll Arts, San Francisco, CA 94107 USA.;de Wasseige, G (corresponding author), Lab APC, Paris, France.</t>
  </si>
  <si>
    <t>dfortescue@cca.edu; gdewasse@icecube.wisc.edu</t>
  </si>
  <si>
    <t>United States National Science Foundation (NSF) through an Antarctic Artists and Writers Fellowship; School of Art and Design at the Australian National University; Australian Government Research Training Program Scholarship; IceCube Neutrino Observatory</t>
  </si>
  <si>
    <t>United States National Science Foundation (NSF) through an Antarctic Artists and Writers Fellowship(National Science Foundation (NSF)); School of Art and Design at the Australian National University; Australian Government Research Training Program Scholarship(Australian GovernmentDepartment of Industry, Innovation and Science); IceCube Neutrino Observatory</t>
  </si>
  <si>
    <t>Fortescue's research in Antarctica, in the austral summer of 2016/2017, was supported by the United States National Science Foundation (NSF) through an Antarctic Artists and Writers Fellowship, by the School of Art and Design at the Australian National University and by an Australian Government Research Training Program Scholarship. Particular thanks go to the scientists and staff of the IceCube Neutrino Observatory for their advice and assistance and for hosting Fortescue and de Wasseige at the South Pole. The data used in this research was generously provided by and used with the permission of the IceCube Collaboration. This project would never have gotten off the ground without the direct and generous support of Dr. Jim Madsen (Associate Director for Education &amp; Outreach at the IceCube Neutrino Observatory).</t>
  </si>
  <si>
    <t>WOS:001070848406053</t>
  </si>
  <si>
    <t>García-Castro, D</t>
  </si>
  <si>
    <t>Garcia-Castro, D.</t>
  </si>
  <si>
    <t>TRISTAN Collaboration</t>
  </si>
  <si>
    <t>The TRISTAN Antarctic Cosmic Ray detector</t>
  </si>
  <si>
    <t>TRISTAN detector is part of a new family of high accuracy multitracking capabilities. TRISTAN was designed to be installed at the Spanish Antartic Base in Livignston Island, as one of the dectectors of ORCA (Antarctic Cosmic Ray Observaroty). It will be complemented by a neutron monitor and a muon telescope with the purpose of mesuring cosmic rays at different latitudes. Preliminary results on the study of rates of cosmic rays measured during the two-way journey from Vigo (Spain) to Punta Arenas (Chile) are shown in this paper.</t>
  </si>
  <si>
    <t>[Garcia-Castro, D.; TRISTAN Collaboration] Univ Santiago De Compostela, Inst Galego Fis Altas Enerxias, Santiago De Compostela, Spain</t>
  </si>
  <si>
    <t>Universidade de Santiago de Compostela</t>
  </si>
  <si>
    <t>García-Castro, D (corresponding author), Univ Santiago De Compostela, Inst Galego Fis Altas Enerxias, Santiago De Compostela, Spain.</t>
  </si>
  <si>
    <t>damian.garcia@usc.es</t>
  </si>
  <si>
    <t>Spanish Agencia Estatal de Investigacion [CTM2016-77325-C2-2-P]; European Regional Development Fund, FEDER; Ministerio de Ciencia, Investigacion y Universidades; European Social Fund (FSE)</t>
  </si>
  <si>
    <t>Spanish Agencia Estatal de Investigacion(Spanish Government); European Regional Development Fund, FEDER(European Union (EU)); Ministerio de Ciencia, Investigacion y Universidades; European Social Fund (FSE)(European Social Fund (ESF))</t>
  </si>
  <si>
    <t>Authors thanks all the members of the TRISTAN project for their high engagement and also acknowledge the financial support provided by the C. Desarrollo de las Ciencias, of Madrid to the Trasgo project. The TRISTAN project is being funded by the Spanish Agencia Estatal de Investigacion under the contract CTM2016-77325-C2-2-P and by the European Regional Development Fund, FEDER. D. Garcia-Castro thanks to the Ministerio de Ciencia, Investigacion y Universidades and the European Social Fund (FSE) for a predoctoral grant (FPI 2017).</t>
  </si>
  <si>
    <t>WOS:001070848400046</t>
  </si>
  <si>
    <t>Gaswint, G</t>
  </si>
  <si>
    <t>Gaswint, Geoffrey</t>
  </si>
  <si>
    <t>ARIANNA Collaboration</t>
  </si>
  <si>
    <t>New results on angular reconstruction of deep pulser radio signals</t>
  </si>
  <si>
    <t>High energy neutrino detection via radio emission from the interaction vertex is an efficient method for neutrino energies between 1016 eV and 1020 eV. The ARIANNA radio Askaryan detectors are located in the Antarctic ice just beneath the surface. Neutrino observation requires that radio pulses propagate to the surface with minimum distortion by the ice and firn medium. Using the residual hole from the South Pole Ice Core Project, radio pulses were sent at 1 Hz from a transmitter located up to 1:7 km below the snow surface. We quantify the direction reconstruction abilities of ARIANNA and refractive bending of signal trajectories in the firn using radio pulse data from 2018. After deconvolving the raw signals for amplifier and antenna response and correcting for cable delays, the electric fields reveal no significant distortion, e.g. birefringence, due to ice propagation. These studies also suggest that the polarization of the electric field, which is required to measure the direction of the neutrino, is not altered by the natural ice medium to a significant extent.</t>
  </si>
  <si>
    <t>[Gaswint, Geoffrey; ARIANNA Collaboration] Univ Calif Irvine, Irvine, CA 92717 USA</t>
  </si>
  <si>
    <t>University of California System; University of California Irvine</t>
  </si>
  <si>
    <t>Gaswint, G (corresponding author), Univ Calif Irvine, Irvine, CA 92717 USA.</t>
  </si>
  <si>
    <t>ggaswint@uci.edu</t>
  </si>
  <si>
    <t>U.S. National Science Foundation-Physics Division [NSF-1607719]; German Research Foundation (DFG) [NE 2031/2-1, GL 914/1-1]; Taiwan Ministry of Science and Technology; Swedish Government strategic program Stand Up for Energy; Uppsala university Vice-Chancellor's travel grant - Knut and AliceWallenberg Foundation; C.F. Liljewalch travel scholarships; MEPhI Academic Excellence Project [02.a03.21.0005]; Megagrant 2013 program of Russia [14.12.31.0006]</t>
  </si>
  <si>
    <t>U.S. National Science Foundation-Physics Division(National Science Foundation (NSF)); German Research Foundation (DFG)(German Research Foundation (DFG)); Taiwan Ministry of Science and Technology; Swedish Government strategic program Stand Up for Energy; Uppsala university Vice-Chancellor's travel grant - Knut and AliceWallenberg Foundation; C.F. Liljewalch travel scholarships; MEPhI Academic Excellence Project; Megagrant 2013 program of Russia</t>
  </si>
  <si>
    <t>We are grateful to the U.S. National Science Foundation-Office of Polar Programs, the U.S. National Science Foundation-Physics Division (grant NSF-1607719) and the U.S. Department of Energy. We thank generous support from the German Research Foundation (DFG), grant NE 2031/2-1 and GL 914/1-1, the Taiwan Ministry of Science and Technology. H. Bernhoff acknowledge support from the Swedish Government strategic program Stand Up for Energy. E. Unger acknowledge support from the Uppsala university Vice-Chancellor's travel grant (sponsored by the Knut and AliceWallenberg Foundation) and the C.F. Liljewalch travel scholarships. D. Besson and A. Novikov acknowledge support from the MEPhI Academic Excellence Project (Contract No. 02.a03.21.0005) and the Megagrant 2013 program of Russia, via agreement 14.12.31.0006 from 24.06.2013</t>
  </si>
  <si>
    <t>WOS:001070848406063</t>
  </si>
  <si>
    <t>Huber, M</t>
  </si>
  <si>
    <t>Huber, Matthias</t>
  </si>
  <si>
    <t>Searches for steady neutrino emission from 3FHL blazars using eight years of IceCube data from the Northern hemisphere</t>
  </si>
  <si>
    <t>COUNTERPARTS</t>
  </si>
  <si>
    <t>Located at the South Pole, the IceCube Neutrino Observatory is the world largest neutrino telescope, instrumenting one cubic kilometre of Antarctic ice at a depth between 1450m to 2450 m. In 2013 IceCube reported the first observations of a diffuse astrophysical high-energy neutrino flux. Although the IceCube Collaboration has identified more than 100 high-energy neutrino events, the origin of this neutrino flux is still not known. Blazars, a subclass of Active Galactic Nuclei and one of the most powerful classes of objects in the Universe, have long been considered promising sources of high energy neutrinos. A blazar origin of this high-energy neutrino flux can be examined using stacking methods testing the correlation between IceCube neutrinos and catalogs of hypothesized sources. Here we present the results of a stacking analysis for 1301 blazars from the third catalog of hard Fermi-LAT sources (3FHL). The analysis is performed on 8 years of through-going muon data from the Northern Hemisphere, recorded by IceCube between 2009 and 2016. No excess of neutrinos from the blazar position was found and first limits on the neutrino production of these sources will be shown</t>
  </si>
  <si>
    <t>[Huber, Matthias] Tech Univ Munich, Physik Dept, James Franck Str 1, D-85748 Garching, Germany</t>
  </si>
  <si>
    <t>Technical University of Munich</t>
  </si>
  <si>
    <t>Huber, M (corresponding author), Tech Univ Munich, Physik Dept, James Franck Str 1, D-85748 Garching, Germany.</t>
  </si>
  <si>
    <t>mhuber@icecube.wisc.edu</t>
  </si>
  <si>
    <t>WOS:001070848406078</t>
  </si>
  <si>
    <t>Hubert, G; Ricaud, P</t>
  </si>
  <si>
    <t>Hubert, Guillaume; Ricaud, Philippe</t>
  </si>
  <si>
    <t>Four Years of Measurements of the Energy Spectrum of Cosmic-Ray-induced-neutrons on the Concordia Antarctic Station Taking into Account Environmental and Systematic Effects</t>
  </si>
  <si>
    <t>SOLAR MODULATION; WATER-VAPOR</t>
  </si>
  <si>
    <t>Neutron spectrometers are operated simultaneously in the framework of a remoted network. The CHINSTRAP, supported by IPEV, aims at recording neutron spectra at the Concordia station (+3233m) in Antarctica since December 2105. The neutron spectrometer measures the neutron spectrum over a wide energy range from meV up to tens of GeV with a short time resolution. Several parameters can influence the measurement: the atmospheric pressure, the hydrometric environment close to the instrument (snowfall) and the atmospheric water vapor. The atmospheric water vapor dominates the ground cosmic ray variations within the first few hundred meters above the ground. The HAMSTRAD polar project is dedicated to measure of the trends in water vapor and temperature profiles from the lower part of the troposphere to the lower part of the stratosphere, using a radiometer. This paper proposes to present data analyses, including short and long-term analyses (first four years) and taking into account environmental and systematic effects. In particular, study focusing on Forbush Decreases and Ground Level Enhancement occurred in September 2017 is proposed.</t>
  </si>
  <si>
    <t>[Hubert, Guillaume] Univ Toulouse, ONERA DPHY, 2 Ave Edouard Belin, F-31055 Toulouse, France; [Ricaud, Philippe] CNRS, CNRM, Meteo France, 42 Ave Coriolis, F-31057 Toulouse, France</t>
  </si>
  <si>
    <t>Universite de Toulouse; Centre National de la Recherche Scientifique (CNRS); Meteo France</t>
  </si>
  <si>
    <t>Hubert, G (corresponding author), Univ Toulouse, ONERA DPHY, 2 Ave Edouard Belin, F-31055 Toulouse, France.</t>
  </si>
  <si>
    <t>guillaume.hubert@onera.fr; philippe.ricaud@meteo.fr</t>
  </si>
  <si>
    <t>WOS:001070848402117</t>
  </si>
  <si>
    <t>Ishihara, A</t>
  </si>
  <si>
    <t>Ishihara, Aya</t>
  </si>
  <si>
    <t>The IceCube Upgrade - Design and Science Goals</t>
  </si>
  <si>
    <t>The IceCube Neutrino Observatory at the geographic South Pole has reached a number of milestones in the field of neutrino astrophysics. The achievements of IceCube include the discovery of a high-energy astrophysical neutrino flux, and the temporal and directional correlation of neutrinos with a flaring blazar. The IceCube Upgrade, which will be constructed in the 2022/23 Antarctic Summer season, is the next stage of the IceCube project. The IceCube Upgrade consists of seven new columns of photosensors, densely embedded near the bottom center of the existing cubic-kilometer-scale IceCube Neutrino Observatory. An improved atmospheric neutrino event selection efficiency and reconstruction at a few GeV can be achieved with the dense infill of the Upgrade's photosensor array. The Upgrade will provide world-leading sensitivity to neutrino oscillations and will enable IceCube to take unique measurements of tau neutrino appearance with a high precision. Furthermore, the new array will also improve the existing IceCube detector. The Upgrade strings will include new calibration devices designed to deepen the knowledge of the optical properties of glacial ice and the detector response. The improved calibration resulting from the Upgrade will be applied to the entire archive of IceCube data collected over the last 10 years, improving the angular and spatial resolution of the detected astrophysical neutrino events. Finally, the Upgrade represents the first stage in the development of IceCube-Gen2, the next-generation neutrino telescope at the South Pole.</t>
  </si>
  <si>
    <t>[Ishihara, Aya] Chiba Univ, Dept Phys, Chiba 2638522, Japan; [Ishihara, Aya] Chiba Univ, Inst Global Prominent Res, Chiba 2638522, Japan</t>
  </si>
  <si>
    <t>Chiba University; Chiba University</t>
  </si>
  <si>
    <t>Ishihara, A (corresponding author), Chiba Univ, Dept Phys, Chiba 2638522, Japan.;Ishihara, A (corresponding author), Chiba Univ, Inst Global Prominent Res, Chiba 2638522, Japan.</t>
  </si>
  <si>
    <t>aya@hepburn.s.chiba-u.ac.jp</t>
  </si>
  <si>
    <t>WOS:001070848400094</t>
  </si>
  <si>
    <t>Kang, W; Tönnis, C; Rott, C</t>
  </si>
  <si>
    <t>Kang, Woosik; Tonnis, Christoph; Rott, Carsten</t>
  </si>
  <si>
    <t>The camera system for the IceCube Upgrade</t>
  </si>
  <si>
    <t>NEUTRINOS</t>
  </si>
  <si>
    <t>The IceCube Neutrino Observatory is a cubic kilometer volume neutrino detector installed in the Antarctic at the geographic South Pole. Neutrinos are detected through the observation of Cherenkov light from charged relativistic particles generated in neutrino interactions, using an array of 86 strings of optical sensor modules. Currently an upgrade to the IceCube detector is in preparation. This IceCube Upgrade will add seven additional strings with new optical sensors and calibration devices. A new camera system is designed for this upgrade to be installed with the new optical modules. This camera system will study bulk ice properties and the refrozen ice in the drill hole. The system can also be utilized to provide information on the detector geometry including location and orientation of the optical modules and cables that can be used to calibrate IceCube Monte Carlo simulations. A better understanding of the refrozen ice in the drill hole including the complementary knowledge of the optical properties of the surrounding glacial ice will be obtained by surveying and analyzing the images from this system. The camera system consists of two types of components: an image sensor module and an illumination module. The image sensor module uses a CMOS image sensor to take pictures for the purpose of calibration studies. The illumination module emits static, monochromatic light into a given direction with a specific beam width and brightness during the image taking process. To evaluate the system design and demonstrate its functionality, a simulation study based on lab measurements is performed in parallel with the hardware development. This study allows for the development of the preliminary image analysis tool for the system. We present the prototype of the camera system and the results of the first system demonstrations.</t>
  </si>
  <si>
    <t>[Kang, Woosik; Tonnis, Christoph; Rott, Carsten] Sungkyunkwan Univ, Dept Phys, Suwon 16419, South Korea</t>
  </si>
  <si>
    <t>Kang, W; Tönnis, C; Rott, C (corresponding author), Sungkyunkwan Univ, Dept Phys, Suwon 16419, South Korea.</t>
  </si>
  <si>
    <t>wkang@icecube.wisc.edu; christoph.toennis@gmx.de; rott@skku.edu</t>
  </si>
  <si>
    <t>WOS:001070848406087</t>
  </si>
  <si>
    <t>Kato, C; Munakata, K; Uchida, S; Kaimi, S; Kadokura, A; Kataoka, R; Evenson, P</t>
  </si>
  <si>
    <t>Kato, C.; Munakata, K.; Uchida, S.; Kaimi, S.; Kadokura, A.; Kataoka, R.; Evenson, P.</t>
  </si>
  <si>
    <t>PS1-184: A set of CR detectors installed at Syowa Station, in the Antarctic, for space weather study</t>
  </si>
  <si>
    <t>A set of Cosmic Ray (CR) detectors was recently installed in Syowa Station, in the Antarctic, to observe CR neutron and muon simultaneously at the same point. The observing system started working in Feb., 2018 and are stable with high operation rate, &gt;93%. We describe these systems and report a first space weather phenomenon identified by these detectors.</t>
  </si>
  <si>
    <t>[Kato, C.; Munakata, K.; Uchida, S.; Kaimi, S.] Shinshu Univ, Nagano, Japan; [Kadokura, A.; Kataoka, R.] Natl Inst Polar Res NIPR, Tokyo, Japan; [Evenson, P.] Univ Delaware, Delaware, OH USA</t>
  </si>
  <si>
    <t>Shinshu University; Research Organization of Information &amp; Systems (ROIS); National Institute of Polar Research (NIPR) - Japan; University of Delaware</t>
  </si>
  <si>
    <t>Kato, C (corresponding author), Shinshu Univ, Nagano, Japan.</t>
  </si>
  <si>
    <t>ckato@shinshu-u.ac.jp</t>
  </si>
  <si>
    <t>NIPR; ISEE (Institute for Space-Earth Environmental Research), University of Delaware; Shinshu University; ROIS-DSJOINT2018</t>
  </si>
  <si>
    <t>NIPR(National Institute of Polar Research (NIPR) - Japan); ISEE (Institute for Space-Earth Environmental Research), University of Delaware; Shinshu University(Shinshu University); ROIS-DSJOINT2018</t>
  </si>
  <si>
    <t>The authors are grateful to Center for Antarctic Programs at NIPR (National Institute of Polar Research), JARE59 team, and Shirase crew for installing the system to Syowa Station. This research project is supported by NIPR, ISEE (Institute for Space-Earth Environmental Research), University of Delaware, and Shinshu University. Some of the scientific data of this research project is started to be published at http://polaris.nipr.ac.jp/~cosmicrays/en.html supported by ROIS-DSJOINT2018.</t>
  </si>
  <si>
    <t>WOS:001070848403001</t>
  </si>
  <si>
    <t>Kim, M; Archambault, S; Mase, K; Shigeru, YY; Ishihara, A</t>
  </si>
  <si>
    <t>Kim, Myoungchul; Archambault, Simon; Mase, Keiichi; Yoshid, Shigeru; Ishihara, Aya</t>
  </si>
  <si>
    <t>Arrival direction reconstruction of ultra-high-energy neutrinos with ARA</t>
  </si>
  <si>
    <t>PULSES</t>
  </si>
  <si>
    <t>Askaryan Radio Array (ARA) deploys antennas in the Antarctic ice with a 3D lattice shape, looking for Askaryan emission produced by interactions of high-energy neutrinos. Currently, the construction of the detector is ongoing, and five independent stations have been deployed. Two types of antennas are used to measure the polarization of the radio wave produced by neutrino-induced showers. Each antenna is designed to be sensitive to a vertically or horizontally-polarized radio wave. The polarization information is important for reconstructing the neutrino direction. We developed a method to reconstruct the neutrino arrival direction by calculating the polarization of the signal using information of two types of antennas. We present the reconstruction method and the angle difference of a true simulation angle and reconstructed angle with taking into account the vertex and detector uncertainties. A bulk ice with a constant refractive index is used in the study. The more realistic angular resolution of neutrino arrival direction will be evaluated with the realistic South Pole ice model in future.</t>
  </si>
  <si>
    <t>[Kim, Myoungchul; Archambault, Simon; Mase, Keiichi; Yoshid, Shigeru; Ishihara, Aya] Chiba Univ, Chiba, Japan</t>
  </si>
  <si>
    <t>Chiba University</t>
  </si>
  <si>
    <t>Kim, M (corresponding author), Chiba Univ, Chiba, Japan.</t>
  </si>
  <si>
    <t>mkim@icecube.wisc.edu</t>
  </si>
  <si>
    <t>WOS:001070848406092</t>
  </si>
  <si>
    <t>Lahmann, R</t>
  </si>
  <si>
    <t>Lahmann, Robert</t>
  </si>
  <si>
    <t>Arianna Collaboration</t>
  </si>
  <si>
    <t>Investigations of ice and emitter properties from radio signals recorded with ARIANNA</t>
  </si>
  <si>
    <t>ARIANNA is an in-ice radio detector for neutrinos in the energy range from similar to 10(16) eV to similar to 10(20) eV which is currently in its pilot-phase in Antarctica. It exploits the so-called Askaryan effect by which radio signals are emitted from neutrino-induced particle showers in ice. Geometric optics is an efficient tool to study the propagation of electromagnetic signals through a medium such as ice, using ray tracing to predict the response induced in an antenna for a given arrangement of emitter and receiver within the medium. Analyzing and understanding the antenna response to calibration signals under well-defined conditions is important to develop reconstruction algorithms of neutrino properties, most notably the interaction vertex and energy, and to understand and characterize the properties of the ice. Recent results obtained with the data collected during the 2018-2019 Antarctic season will be presented.</t>
  </si>
  <si>
    <t>[Lahmann, Robert] Friedrich Alexander Univ Erlangen Nuremberg, Erlangen, Germany</t>
  </si>
  <si>
    <t>University of Erlangen Nuremberg</t>
  </si>
  <si>
    <t>Lahmann, R (corresponding author), Friedrich Alexander Univ Erlangen Nuremberg, Erlangen, Germany.</t>
  </si>
  <si>
    <t>robert.lahmann@fau.de</t>
  </si>
  <si>
    <t>U.S. National Science Foundation-Office of Polar Programs; U.S. National Science Foundation-Physics Division [NSF-1607719]; U.S. Dept. of Energy; Taiwan Ministry of Science and Technology; UC Irvine; FAU Erlangen-Nurnberg</t>
  </si>
  <si>
    <t>U.S. National Science Foundation-Office of Polar Programs(National Science Foundation (NSF)); U.S. National Science Foundation-Physics Division(National Science Foundation (NSF)); U.S. Dept. of Energy(United States Department of Energy (DOE)); Taiwan Ministry of Science and Technology; UC Irvine; FAU Erlangen-Nurnberg</t>
  </si>
  <si>
    <t>We are grateful to the U.S. National Science Foundation-Office of Polar Programs, the U.S. National Science Foundation-Physics Division (grant NSF-1607719), the U.S. Dept. of Energy, and the Taiwan Ministry of Science and Technology. R.L. thanks UC Irvine and the FAU Erlangen-Nurnberg for supporting his research stay at UCI.</t>
  </si>
  <si>
    <t>WOS:001070848406097</t>
  </si>
  <si>
    <t>Munini, R; Boezio, M; Von Doetinchem, P; Marcelli, N; Stoessl, A; Vannuccini, E</t>
  </si>
  <si>
    <t>Munini, Riccardo; Boezio, M.; Von Doetinchem, P.; Marcelli, N.; Stoessl, A.; Vannuccini, E.</t>
  </si>
  <si>
    <t>Event reconstruction performance with the GAPS experiment</t>
  </si>
  <si>
    <t>The General Antiparticle Spectrometer (GAPS) is an Antarctic balloon-borne detector designed to measure the low energy (&lt; 0.25 GeV/n) antideuteron cosmic ray component as a distinctive signal from dark matter annihilation or decay in the Galactic halo. The detector consists of a tracker, made up by ten planes of lithium-drifted silicon Si(Li) detectors, surrounded by a plastic scintillator time-of-flight system. GAPS uses a novel particle identification method based on exotic atom capture and decay with emission of pions, protons and atomic X-rays from a common annihilation vertex. The resulting nuclear star topology provide sufficient rejection power to suppress any non-antiparticle cosmic ray background. Here we present results for a preliminary reconstruction algorithm that has been tested on simulated events. The GAPS simulation software is based on GEANT4 and fully reproduce the detector geometry. Various technique like Kalman filter, Hough-3D transform, Least Squares minimization were combined in order to precisely reconstruct the topology of the nuclear star. The performance of the final algorithm in reconstructing the annihilation vertex position and the secondary pions will be discussed.</t>
  </si>
  <si>
    <t>[Munini, Riccardo; Boezio, M.] INFN, Sez Trieste, I-34149 Trieste, Italy; [Munini, Riccardo; Boezio, M.] IFPU, Inst Fundamental Phys Universe, I-34014 Trieste, Italy; [Von Doetinchem, P.; Stoessl, A.] Univ Hawaii Manoa, Honolulu, HI USA; [Marcelli, N.] INFN, Sez Roma Tor Vergata, I-00133 Rome, Italy; [Vannuccini, E.] INFN, Sez Firenze, I-50019 Sesto Fiorentino, FI, Italy</t>
  </si>
  <si>
    <t>Istituto Nazionale di Fisica Nucleare (INFN); University of Hawaii System; University of Hawaii Manoa; Istituto Nazionale di Fisica Nucleare (INFN); Istituto Nazionale di Fisica Nucleare (INFN)</t>
  </si>
  <si>
    <t>Munini, R (corresponding author), INFN, Sez Trieste, I-34149 Trieste, Italy.;Munini, R (corresponding author), IFPU, Inst Fundamental Phys Universe, I-34014 Trieste, Italy.</t>
  </si>
  <si>
    <t>riccardo.munini@ts.infn.it; mirko.boezio@ts.infn.it; philipvd@hawaii.edu; nadir.marcelli@roma2.infn.it; stoessl@hawaii.edu; elena.vannuccini@fi.infn.it</t>
  </si>
  <si>
    <t>NASA APRA grants [NNX17AB44G, NNX17AB45G, NNX17AB46G, NNX17AB47G]; JAXA/ISAS Small Science Program FY2017; Istituto Nazionale di Fisica Nucleare (INFN); Italian Space Agency through the ASI INFN [2018-28-HH.0]; UCLA Division of Physical Sciences; Heising-Simons Foundation; Alfred P. Sloan Foundation; National Science Foundation Graduate Research Fellowship [1122374]; National Science Foundation [PHY-1551980]; JSPS KAKENHI [JP26707015, JP17H01136, JP19H05198, JP17K14313, JP18K13928]; Sumitomo Foundation</t>
  </si>
  <si>
    <t>NASA APRA grants; JAXA/ISAS Small Science Program FY2017; Istituto Nazionale di Fisica Nucleare (INFN)(Istituto Nazionale di Fisica Nucleare (INFN)); Italian Space Agency through the ASI INFN; UCLA Division of Physical Sciences; Heising-Simons Foundation; Alfred P. Sloan Foundation(Alfred P. Sloan Foundation); National Science Foundation Graduate Research Fellowship(National Science Foundation (NSF)); National Science Foundation(National Science Foundation (NSF)); JSPS KAKENHI(Ministry of Education, Culture, Sports, Science and Technology, Japan (MEXT)Japan Society for the Promotion of ScienceGrants-in-Aid for Scientific Research (KAKENHI)); Sumitomo Foundation</t>
  </si>
  <si>
    <t>This work is supported in the U.S. by NASA APRA grants (NNX17AB44G, NNX17AB45G, NNX17AB46G, and NNX17AB47G), in Japan by JAXA/ISAS Small Science Program FY2017, and in Italy by Istituto Nazionale di Fisica Nucleare (INFN) and by the Italian Space Agency through the ASI INFN agreement n. 2018-28-HH.0: Partecipazione italiana al GAPS -General AntiParticle Spectrometer. R.A. Ong receives support from the UCLA Division of Physical Sciences. K. Perez receives support from the Heising-Simons Foundation and Alfred P. Sloan Foundation. F. Rogers is supported through the National Science Foundation Graduate Research Fellowship under grant 1122374. P. von Doetinchem receives support from the National Science Foundation under award PHY-1551980. H. Fuke receives support from JSPS KAKENHI grants JP26707015, JP17H01136, and JP19H05198. M. Kozai receives support from JSPS KAKENHI grant JP17K14313. S. Okazaki receives support from JSPS KAKENHI grant JP18K13928. Y. Shimizu receives support from Sumitomo Foundation grant.</t>
  </si>
  <si>
    <t>WOS:001070848404050</t>
  </si>
  <si>
    <t>Nam, J</t>
  </si>
  <si>
    <t>Nam, Jiwoo</t>
  </si>
  <si>
    <t>TARGOE Collaboration; ARIANNA Collaboration</t>
  </si>
  <si>
    <t>High-elevation synoptic radio array for detection of upward moving air-showers, deployed in the Antarctic mountains</t>
  </si>
  <si>
    <t>We present a new radio array experiment on the top of the highest mountains in Antarctica, to detect upward moving air-showers similar to those recently reported by the ANITA experiment. The detection concept follows ANITA, but has significantly greater livetime and extendibility. We propose to install 10 stations over the next 5 years to obtain sufficient sensitivity to test ANITA's `mystery events'. As the first step, we installed a prototype station (TAROGE-M) consisting of 5 LPDA antennas, atop Mt. Melbourne, Antarctica at an elevation of 2730 m, in Feb-Mar 2019. We present the scientific potential, detector design and construction, as well as the initial performance of the prototype station.</t>
  </si>
  <si>
    <t>[Nam, Jiwoo] Natl Taiwan Univ, Taipei, Taiwan</t>
  </si>
  <si>
    <t>National Taiwan University</t>
  </si>
  <si>
    <t>Nam, J (corresponding author), Natl Taiwan Univ, Taipei, Taiwan.</t>
  </si>
  <si>
    <t>jwnam@phys.ntu.edu.tw</t>
  </si>
  <si>
    <t>WOS:001070848406120</t>
  </si>
  <si>
    <t>Nelles, A</t>
  </si>
  <si>
    <t>Nelles, Anna</t>
  </si>
  <si>
    <t>A wind-turbine for autonomous stations for radio detection of neutrinos</t>
  </si>
  <si>
    <t>A future large radio array for the detection of neutrinos may need to be built in remote areas without access to a power grid, such as the Antarctic ice-shelf or Greenland. In such a scenario lifetime will need to be optimized by combining different renewable and autonomous power sources. The ARIANNA experiment on the Ross-Ice-Shelf has run stably on solar power during the Austral summer, as soon as the Sun was more than 3 degrees above the horizon. However, the dark months of polar winter provide essential lifetime, especially with respect to multi-messenger studies. We will present a wind-turbine that has been custom-designed for the ARIANNA experiment to be radio-quiet, sensitive to low winds and able to sustain extreme Antarctic weather. The first important milestone was achieved in 2018 when a first wind turbine survived the winter months and powered a station for 24% of the winter time. We will report on the in-situ performance of the second-generation turbine already reaching 39% uptime during the weak summer winds and the perspective of this technique.</t>
  </si>
  <si>
    <t>[Nelles, Anna] Friedrich Alexander Univ Erlangen Nurnberg, ECAP, D-91058 Erlangen, Germany; [Nelles, Anna] DESY, Platanenallee 6, D-15738 Zeuthen, Germany</t>
  </si>
  <si>
    <t>University of Erlangen Nuremberg; Helmholtz Association; Deutsches Elektronen-Synchrotron (DESY)</t>
  </si>
  <si>
    <t>Nelles, A (corresponding author), Friedrich Alexander Univ Erlangen Nurnberg, ECAP, D-91058 Erlangen, Germany.;Nelles, A (corresponding author), DESY, Platanenallee 6, D-15738 Zeuthen, Germany.</t>
  </si>
  <si>
    <t>anna.nelles@desy.de</t>
  </si>
  <si>
    <t>Nelles, Anna/AAU-1193-2020</t>
  </si>
  <si>
    <t>Nelles, Anna/0000-0002-1720-6350</t>
  </si>
  <si>
    <t>U.S. National Science Foundation-Office of Polar Programs; U.S. National Science Foundation-Physics Division [NSF-1607719]; U.S. Department of Energy; German Research Foundation (DFG) [NE 2031/2-1, GL 914/1-1]; Taiwan Ministry of Science and Technology; Uppsala university (Knut and Alice Wallenberg Foundation); C.F. Liljewalch travel scholarships; MEPhI Academic Excellence Project [02.a03.21.0005]; Megagrant 2013 program of Russia [14.12.31.0006]; Swedish Government strategic program 'Stand Up for Energy'; Helmholtz-W2 professorship recruitment funds</t>
  </si>
  <si>
    <t>U.S. National Science Foundation-Office of Polar Programs(National Science Foundation (NSF)); U.S. National Science Foundation-Physics Division(National Science Foundation (NSF)); U.S. Department of Energy(United States Department of Energy (DOE)); German Research Foundation (DFG)(German Research Foundation (DFG)); Taiwan Ministry of Science and Technology; Uppsala university (Knut and Alice Wallenberg Foundation); C.F. Liljewalch travel scholarships; MEPhI Academic Excellence Project; Megagrant 2013 program of Russia; Swedish Government strategic program 'Stand Up for Energy'; Helmholtz-W2 professorship recruitment funds</t>
  </si>
  <si>
    <t>We are grateful to the U.S. National Science Foundation-Office of Polar Programs, the U.S. National Science Foundation-Physics Division (grant NSF-1607719) and the U.S. Department of Energy. We thank generous support from the German Research Foundation (DFG), grant NE 2031/2-1 and GL 914/1-1, the Taiwan Ministry of Science and Technology. We acknowledge support from the Uppsala university Vice-Chancellor's travel grant (sponsored by the Knut and Alice Wallenberg Foundation) and the C.F. Liljewalch travel scholarships. We are thankful for support from the MEPhI Academic Excellence Project (Contract No. 02.a03.21.0005) and the Megagrant 2013 program of Russia, via agreement 14.12.31.0006 from 24.06.2013.; With regard to wind-turbine development we are thankful for support from the Swedish Government strategic program 'Stand Up for Energy' and from the Helmholtz-W2 professorship recruitment funds.</t>
  </si>
  <si>
    <t>WOS:001070848406121</t>
  </si>
  <si>
    <t>Nuntiyakul, W; Saiz, A; Ruffolo, D; Mangeard, PS; Evenson, P; Bieber, JW; Clem, J; Pyle, R; Duldig, ML; Humble, JE</t>
  </si>
  <si>
    <t>Nuntiyakul, W.; Saiz, A.; Ruffolo, D.; Mangeard, P. -S.; Evenson, P.; Bieber, J. W.; Clem, J.; Pyle, R.; Duldig, M. L.; Humble, J. E.</t>
  </si>
  <si>
    <t>Bare Neutron Counter and Neutron Monitor Response to Cosmic Rays during a 1995 Latitude Survey</t>
  </si>
  <si>
    <t>Neutron monitors of standard design (IGY or NM64) are employed world-wide to study variations in the flux of galactic cosmic rays and solar energetic particles in the GeV range. The design minimizes detector response to neutrons below similar to 10 MeV produced by cosmic ray interactions in the ambient medium. Increasingly, however, such neutrons are of interest as a means of obtaining spectral information on cosmic rays, for studies of soil moisture, and for nuclear threat detection. Bare neutron counters, a type of lead-free neutron monitor, can detect such neutrons, but comparatively little work has been done to characterize the dependence of their count rate on cutoff rigidity. We analyze data from three bare neutron counters operated on a ship together with a 3-tube NM64 monitor from November, 1995 to February, 1996 over a wide range of magnetic latitude, i.e., a latitude survey. The bare counter design used foamed-in-place polyurethane insulation to keep the temperature uniform and to some extent moderate high-energy neutrons. When the ship was near land, the bare/NM64 count rate ratio was dramatically higher. Considering only data from open sea, the bare and NM64 pressure coefficients are not significantly different. We determine the response function of these bare counters, which is weighted to Galactic cosmic rays of lower energy than the NM64. This measurement of the response function may improve determination of the spectral index of solar energetic particles and Galactic cosmic rays from a comparison of bare and NM64 count rates.</t>
  </si>
  <si>
    <t>[Nuntiyakul, W.] Chiang Mai Univ, Dept Phys &amp; Mat Sci, Fac Sci, Chiang Mai 50200, Thailand; [Nuntiyakul, W.] Chiang Mai Univ, Res Ctr Phys &amp; Astron, Fac Sci, Chiang Mai 50200, Thailand; [Saiz, A.; Ruffolo, D.] Mahidol Univ, Dept Phys, Fac Sci, Bangkok 10400, Thailand; [Mangeard, P. -S.] Nat Astron Res Inst Thailand NARIT, Chiang Mai 50180, Thailand; [Mangeard, P. -S.; Evenson, P.; Bieber, J. W.; Clem, J.] Univ Delaware, Dept Phys &amp; Astron, Newark, DE 19716 USA; [Pyle, R.] Pyle Consulting Grp Inc, St Charles, IL 60174 USA; [Duldig, M. L.; Humble, J. E.] Univ Tasmania, Sch Nat Sci, Hobart, Tas, Australia</t>
  </si>
  <si>
    <t>Chiang Mai University; Chiang Mai University; Mahidol University; University of Delaware; University of Tasmania</t>
  </si>
  <si>
    <t>Nuntiyakul, W (corresponding author), Chiang Mai Univ, Dept Phys &amp; Mat Sci, Fac Sci, Chiang Mai 50200, Thailand.;Nuntiyakul, W (corresponding author), Chiang Mai Univ, Res Ctr Phys &amp; Astron, Fac Sci, Chiang Mai 50200, Thailand.</t>
  </si>
  <si>
    <t>waraporn.n@cmu.ac.th; alejandro.sai@mahidol.ac.th; david.ruf@mahidol.ac.th; psmangeard@gmail.com; evenson@udel.edu; jwbieber@bartol.udel.edu; clem@bartol.udel.edu; RogerPyle@gmail.com; Marc.Duldig@utas.edu.au; John.Humble@utas.edu.au</t>
  </si>
  <si>
    <t>Thailand Research Fund [RTA5980003, MRG6280155]; U.S.National Science Foundation [PLR-1341562, PLR-1245939]; Australian Antarctic Division</t>
  </si>
  <si>
    <t>Thailand Research Fund(Thailand Research Fund (TRF)); U.S.National Science Foundation(National Science Foundation (NSF)); Australian Antarctic Division</t>
  </si>
  <si>
    <t>This study is supported in part by the Thailand Research Fund via grant RTA5980003 and Research Grant for New Scholar MRG6280155; by the U.S.National Science Foundation via awards PLR-1341562, PLR-1245939, and their predecessors; and by the Australian Antarctic Division.</t>
  </si>
  <si>
    <t>WOS:001070848401082</t>
  </si>
  <si>
    <t>Olivares, OGM; Hidalgo, HD; Mora, KSC; Reyes, RA; Barbosa, EM; Domingez, AZ; Ochoa, CA; Zahuantitla, FH; Sancheza, LRP; Santosd, E</t>
  </si>
  <si>
    <t>Olivares, O. G. Morales; Hidalgo, Hugo de Leon; Mora, Karen Salome Caballero; Reyes, Roberto Arceo; Barbosa, Eduardo Moreno; Domingez, Arnulfo Zepeda; Ochoa, Cesar Alvarez; Zahuantitla, Filiberto Hueyotl; Sancheza, Luis Rodolfo Perez; Santosd, Eli</t>
  </si>
  <si>
    <t>Lago Collaborat</t>
  </si>
  <si>
    <t>Performance of the LAGO Water Cherenkov detector in Chiapas, Mexico</t>
  </si>
  <si>
    <t>The Latin American Giant Observatory (LAGO) is an observatory extended along Latin America, with the capability to detect the galactic cosmic rays background and to develop studies for space weather and atmospheric radiation at ground level. It consists of a network of several Water Cherenkov Detectors (WCD) located at institutions in different countries along the American Continent (from Mexico down to the Antarctic region). One of the main goals of LAGO is to encourage and support the development of experimental basic research in Latin America, mainly with low cost equipment. The astroparticle physics group of Facultad de Ciencias en Fisica y Matematicas (FCFM) at Universidad Autonoma de Chiapas (UNACH), as part of the LAGO project, is in the installation final phase of a WCD at the FCFM campus and it is planning to set up another one at the top of Tacana volcano. In this paper, we describe the scientific purpose of the experiment, details of the detector characteristics, numerical simulations carried out to estimate its sensitivity and an electronic novelty used for the data acquisition system.</t>
  </si>
  <si>
    <t>[Olivares, O. G. Morales; Hidalgo, Hugo de Leon; Mora, Karen Salome Caballero; Reyes, Roberto Arceo; Ochoa, Cesar Alvarez; Zahuantitla, Filiberto Hueyotl; Sancheza, Luis Rodolfo Perez] Univ Autonoma Chiapas UNACH, Fac Ciencias &amp; Fis Matemat FCFM, Carretera Emiliano Zapata Km 8, Tuxtla Gutierrez 29050, Chiapas, Mexico; [Barbosa, Eduardo Moreno] Benemerita Univ Autonoma Puebla BUAP, Fac Ciencias Fisico Matemat FCFM, 4 Sur 104,Centro Historico, Puebla 72000, Mexico; [Domingez, Arnulfo Zepeda] Inst Politecnico Nacl, Centro Invest &amp; Estudios Avanzados, CINVESTAV, Ave Inst Politecnico Nacl 2508,Col San Pedro Zac, Mexico City 07360, Mexico; [Santosd, Eli] Mesoamerican Ctr Theoreth Phys MCTP, Carretera Emiliano Zapata Km 8, Tuxtla Gutierrez 29050, Chiapas, Mexico</t>
  </si>
  <si>
    <t>Universidad Autonoma de Chiapas; Benemerita Universidad Autonoma de Puebla; CINVESTAV - Centro de Investigacion y de Estudios Avanzados del Instituto Politecnico Nacional</t>
  </si>
  <si>
    <t>Olivares, OGM (corresponding author), Univ Autonoma Chiapas UNACH, Fac Ciencias &amp; Fis Matemat FCFM, Carretera Emiliano Zapata Km 8, Tuxtla Gutierrez 29050, Chiapas, Mexico.</t>
  </si>
  <si>
    <t>oscargmo@igeofisica.unam.mx</t>
  </si>
  <si>
    <t>Moreno-Barbosa, Eduardo/AAX-6669-2020</t>
  </si>
  <si>
    <t>Moreno-Barbosa, Eduardo/0000-0002-1114-2640</t>
  </si>
  <si>
    <t>WOS:001070848403043</t>
  </si>
  <si>
    <t>Otiniano, L; Pena, J; Vega, J; Valera, VB; Castromonte, C</t>
  </si>
  <si>
    <t>Otiniano, L.; Pena, J.; Vega, J.; Valera, V. B.; Castromonte, C.</t>
  </si>
  <si>
    <t>Water Cherenkov detector optimization for space weather studies in Antarctic</t>
  </si>
  <si>
    <t>During the last two Peruvian summer campaigns in the Antarctica (2018 and 2019), two separate prototype water Cherenkov detectors of the LAGO project have been tested. As at high latitudes the lower geomagnetic shielding allows for the observation of cosmic rays lower than those at middle latitudes, the installation of a detector in the Antarctica is important for the development of the LAGO space weather program. The objectives fulfilled in the second summer campaign were: a general improvement of the design of the detectors, wi-fi data transmission, autonomous operation, the elimination of light leaking and the optimization of the geometry for better separation of the electromagnetic / muonic components measured in the detector. A comparison between the data obtained in the two Antarctic campaigns is shown, making emphasis in the measured flows and the strategy of using a second trigger level in the acquisition stage in order to perform a pre-processing of the data.</t>
  </si>
  <si>
    <t>[Otiniano, L.; Vega, J.; Valera, V. B.; Castromonte, C.] Nacl Invest &amp; Desarroll Aeroespacial, Direcc Astrofis Comis, Lima, Peru; [Pena, J.] Univ Ind Santander, Bucaramanga, Colombia</t>
  </si>
  <si>
    <t>Otiniano, L (corresponding author), Nacl Invest &amp; Desarroll Aeroespacial, Direcc Astrofis Comis, Lima, Peru.</t>
  </si>
  <si>
    <t>lotiniano@conida.gob.pe</t>
  </si>
  <si>
    <t>Innovate-Peru: Fondo para la Innovacion, Ciencia y Tecnologia (FINCyT) [PIBA-2-P-020-14]; Ministerio de Relaciones Exteriores del Per u through its Antarctic Affairs Direction</t>
  </si>
  <si>
    <t>Innovate-Peru: Fondo para la Innovacion, Ciencia y Tecnologia (FINCyT); Ministerio de Relaciones Exteriores del Per u through its Antarctic Affairs Direction</t>
  </si>
  <si>
    <t>The autors gratefully acknowledges the financial support from Innovate-Peru: Fondo para la Innovacion, Ciencia y Tecnologia (FINCyT) trough the project PIBA-2-P-020-14 and the Ministerio de Relaciones Exteriores del Per u through its Antarctic Affairs Direction. The LAGO Collaboration is very thankful to the Pierre Auger Collaboration for its continuous support.</t>
  </si>
  <si>
    <t>WOS:001070848401080</t>
  </si>
  <si>
    <t>Persichilli, C</t>
  </si>
  <si>
    <t>Persichilli, Christopher</t>
  </si>
  <si>
    <t>Performance of the ARIANNA pilot array, and implications for the next generation of UHE neutrino detectors</t>
  </si>
  <si>
    <t>The seven-station test-bed for the ARIANNA ultra-high energy (UHE) neutrino telescope, the Hexagonal Radio Array (HRA), was completed during the 2014-2015 Antarctic summer season. In the more than four years since, the ARIANNA pilot array has demonstrated remarkable resilience and stability, surviving multiple Antarctic winters while operating with a typical 90% uptime during the summer months, while the ARIANNA data acquisition system has proven to be capable and cost/power efficient. A combined analysis of 4.5 years of data from the pilot array will be presented. The neutrino search yielded no candidate events, with a signal efficiency of 79%, providing an updated limit for the diffuse UHE neutrino flux of E-2 Phi = 1.7 x 10(-6) GeVcm(-2)s(-1)sr(-1) at a neutrino energy of 10(18) eV. Data from the operation of the ARIANNA pilot array will inform the design of the next generation of radio neutrino detectors, which will be capable of probing all but the most pessimistic models of the GZK neutrino flux. It will also be shown that such detectors will have an important role to play in the multi-messenger detection of point sources.</t>
  </si>
  <si>
    <t>[Persichilli, Christopher] Univ Calif Irvine, Irvine, CA 92697 USA</t>
  </si>
  <si>
    <t>Persichilli, C (corresponding author), Univ Calif Irvine, Irvine, CA 92697 USA.</t>
  </si>
  <si>
    <t>cpersich@uci.edu</t>
  </si>
  <si>
    <t>U.S. National Science Foundation-Physics Division [NSF-1607719]; German research foundation (DFG) [GL 914/11, NE 2031/2-1]; Taiwan Ministry of Science and Technology; Swedish Government strategic program Stand Up for Energy; Uppsala university Vice-Chancellor's travel grant (Knut and Alice Wallenberg Foundation); C.F. Liljewalch travel scholarships; MEPhI Academic Excellence Project [02.a03.21.0005]; Megagrant 2013 program of Russia [14.12.31.0006]</t>
  </si>
  <si>
    <t>U.S. National Science Foundation-Physics Division(National Science Foundation (NSF)); German research foundation (DFG)(German Research Foundation (DFG)); Taiwan Ministry of Science and Technology; Swedish Government strategic program Stand Up for Energy; Uppsala university Vice-Chancellor's travel grant (Knut and Alice Wallenberg Foundation); C.F. Liljewalch travel scholarships; MEPhI Academic Excellence Project; Megagrant 2013 program of Russia</t>
  </si>
  <si>
    <t>We are grateful to the U.S. National Science Foundation-Office of Polar Programs, the U.S. National Science Foundation-Physics Division (grant NSF-1607719) for granting the ARIANNA array at Moore's Bay. In particular, we are grateful for the excellent support of the McMurdo region staff, without which the scientific mission in Antarctica would not be possible.; We acknowledge funding from the German research foundation (DFG) under grants GL 914/11 and NE 2031/2-1 and the Taiwan Ministry of Science and Technology. HB acknowledge support from the Swedish Government strategic program Stand Up for Energy. EU acknowledge support from the Uppsala university Vice-Chancellor's travel grant (sponsored by the Knut and Alice Wallenberg Foundation) and the C.F. Liljewalch travel scholarships. DB and ANo acknowledge support from the MEPhI Academic Excellence Project (Contract No. 02.a03.21.0005) and the Megagrant 2013 program of Russia, via agreement 14.12.31.0006 from 24.06.2013.</t>
  </si>
  <si>
    <t>WOS:001070848407002</t>
  </si>
  <si>
    <t>Pollmann, A</t>
  </si>
  <si>
    <t>Pollmann, Anna</t>
  </si>
  <si>
    <t>Enabling a new detection channel for beyond standard model physics with in-situ measurements of ice luminescence</t>
  </si>
  <si>
    <t>The IceCube neutrino observatory uses 1 km(3) of the natural Antarctic ice near the geographic South Pole as optical detection medium. When charged particles, such as particles produced in neutrino interactions, pass through the ice with relativistic speed, Cherenkov light is emitted. This is detected by IceCube's optical modules and from all these signals a particle signature is reconstructed. A new kind of signature can be detected using light emission from luminescence. This detection channel enables searches for exotic particles (states) which do not emit Cherenkov light and currently cannot be probed by neutrino detectors. Luminescence light is induced by highly ionizing particles passing through matter due to excitation of surrounding atoms. This process is highly dependent on the ice structure, impurities, pressure and temperature which demands an in-situ measurement of the detector medium. For the measurements at IceCube, a 1.7 km deep hole was used which vertically overlaps with the glacial ice layers found in the IceCube volume over a range of 350m. The experiment as well as the measurement results are presented. The impact of the results, which enable new kind of searches for new physics with neutrino telescopes, are discussed.</t>
  </si>
  <si>
    <t>[Pollmann, Anna] Univ Wuppertal, Wuppertal, Germany</t>
  </si>
  <si>
    <t>University of Wuppertal</t>
  </si>
  <si>
    <t>Pollmann, A (corresponding author), Univ Wuppertal, Wuppertal, Germany.</t>
  </si>
  <si>
    <t>anna.pollmann@uni-wuppertal.de</t>
  </si>
  <si>
    <t>WOS:001070848407005</t>
  </si>
  <si>
    <t>Rauch, BF; Bose, RG; West, AT; Lisalda, L; Abarr, Q; Binns, WR; Braun, DL; Dowkontt, PF; Israel, MH; Simburger, GE; Walsh, NE; Zober, WV; Akaike, Y; Brandt, TJ; Fitzsimmons, SP; Hams, T; Link, JT; Mitchell, JW; Sakai, K; Sebastian, FS; Sasaki, M; Labrador, AW; Mewaldt, RA; Stone, EC; Waddington, CJ; Wiedenbeck, ME</t>
  </si>
  <si>
    <t>Rauch, B. F.; Bose, R. G.; West, A. T.; Lisalda, L.; Abarr, Q.; Binns, W. R.; Braun, D. L.; Dowkontt, P. F.; Israel, M. H.; Simburger, G. E.; Walsh, N. E.; Zober, W. V.; Akaike, Y.; Brandt, T. J.; Fitzsimmons, S. P.; Hams, T.; Link, J. T.; Mitchell, J. W.; Sakai, K.; Sebastian, F. San; Sasaki, M.; Labrador, A. W.; Mewaldt, R. A.; Stone, E. C.; Waddington, C. J.; Wiedenbeck, M. E.</t>
  </si>
  <si>
    <t>SuperTIGER-2 2018 Flight Payload Recovery and Preliminary Instrument Assessment</t>
  </si>
  <si>
    <t>The SuperTIGER (Trans-Iron Galactic Element Recorder) experiment was launched for the second time from the Long Duration Balloon (LDB) site near McMurdo Station, Antarctica on December 20, 2018 at 1:36 AM NZDT. The balloon reached a peak altitude of similar to 79,300 ft before it began to descend, and the flight had to be terminated after just over six hours aloft. The payload landed at 8:17 AM NZDT approximately 150 miles from McMurdo Station at 75.80 S and 161.68 E. Satellite imagery of the site revealed that it was in a crevasse field, but a Twin Otter reconnaissance flight showed none in the immediate vicinity. A subsequent site survey by a team flown in by helicopter with ground penetrating radar was able to flag a safe zone including helicopter landing sites. The SuperTIGER-2 payload was recovered in two days with two Bell 212 helicopters followed by one day with a Basler, which involved transferring the payload to a safe fixed wing landing site roughly two miles away in three helicopter sling loads. After return to the LDB site the instrument modules were reassembled, rewired and tested prior to their being shipped north. The instrument was found to be in overall good condition, with all testable electronics channels working, and minimal mechanical damage. SuperTIGER-2 could be refurbished to fly again as early as this next Antarctic season.</t>
  </si>
  <si>
    <t>[Rauch, B. F.; Bose, R. G.; West, A. T.; Lisalda, L.; Abarr, Q.; Binns, W. R.; Braun, D. L.; Dowkontt, P. F.; Israel, M. H.; Simburger, G. E.; Walsh, N. E.; Zober, W. V.] Washington Univ, Dept Phys, St Louis, MO 63130 USA; [Rauch, B. F.; Bose, R. G.; West, A. T.; Lisalda, L.; Abarr, Q.; Binns, W. R.; Braun, D. L.; Dowkontt, P. F.; Israel, M. H.; Simburger, G. E.; Walsh, N. E.; Zober, W. V.] Washington Univ, McDonnell Ctr Space Sci, St Louis, MO 63130 USA; [Akaike, Y.; Brandt, T. J.; Fitzsimmons, S. P.; Hams, T.; Link, J. T.; Mitchell, J. W.; Sakai, K.; Sebastian, F. San; Sasaki, M.] NASA, Goddard Space Flight Ctr, Greenbelt, MD 20771 USA; [Labrador, A. W.; Mewaldt, R. A.; Stone, E. C.] CALTECH, Pasadena, CA 91125 USA; [Waddington, C. J.] Univ Minnesota, Minneapolis, MN 55455 USA; [Wiedenbeck, M. E.] CALTECH, Jet Prop Lab, 4800 Oak Grove Dr, Pasadena, CA 91125 USA</t>
  </si>
  <si>
    <t>Washington University (WUSTL); Washington University (WUSTL); National Aeronautics &amp; Space Administration (NASA); NASA Goddard Space Flight Center; California Institute of Technology; University of Minnesota System; University of Minnesota Twin Cities; California Institute of Technology; National Aeronautics &amp; Space Administration (NASA); NASA Jet Propulsion Laboratory (JPL)</t>
  </si>
  <si>
    <t>Rauch, BF (corresponding author), Washington Univ, Dept Phys, St Louis, MO 63130 USA.;Rauch, BF (corresponding author), Washington Univ, McDonnell Ctr Space Sci, St Louis, MO 63130 USA.</t>
  </si>
  <si>
    <t>brauch@physics.wustl.edu</t>
  </si>
  <si>
    <t>WOS:001070848401125</t>
  </si>
  <si>
    <t>Laura, RR; Seunarine, S</t>
  </si>
  <si>
    <t>Rosen, Laura Rose; Seunarine, Surujhdeo</t>
  </si>
  <si>
    <t>Evolution of geomagnetic cutoffs at the South Pole and neutron monitor rates</t>
  </si>
  <si>
    <t>FIELD</t>
  </si>
  <si>
    <t>Neutron monitors are among the most robust and reliable detectors of GeV cosmic rays and are sensitive, with high precision, to modulations in Galactic Cosmic Rays (GCR). Hence, they can be deployed for extended periods of time, decades, and are able to observe the modulation of GCR over many solar cycles. The South Pole Neutron Monitor, located at the geographic South Pole, which is both high latitude and high altitude, has an atmospheric cutoff of around 0.1 GV. In the first four decades of its operation, a secular decline in the neutron rates have been observed. The decline may have leveled off recently. Environmental effects, including snow build up around the housing platform and the emergence and relocation of structures at the South Pole have been ruled out as causes of the decline. A recent study challenged the assumption that geomagnetic effects can be ignored at the South Pole, in particular for cosmic rays approaching from select regions in azimuth and at large zenith angles. This work confirms that ignoring geomagnetic cutoff effects could be important for the South Pole Neutron Monitor rates. We extend the investigation to include particle propagation in the Polar atmosphere, and the evolution of cosmic ray cutoffs at the South Pole over several decades. A connection is made between the evolving cutoffs and the decline in neutron monitor rates.</t>
  </si>
  <si>
    <t>[Rosen, Laura Rose] Washington State Univ, Pullman, WA 99163 USA; Univ Wisconsin River Falls, River Falls, WI USA</t>
  </si>
  <si>
    <t>Washington State University; University of Wisconsin System; University of Wisconsin River Falls</t>
  </si>
  <si>
    <t>Laura, RR (corresponding author), Washington State Univ, Pullman, WA 99163 USA.</t>
  </si>
  <si>
    <t>laura.rosen@wsu.edu; surujhdeo.seunarine@uwrf.edu</t>
  </si>
  <si>
    <t>NSF Integrative Activities in Physics, REU Site: Research In Neutrino Astrophysics at the University of Wisconsin-River Falls [1460752, 1757517]; NSF OPP, Antarctic Education, ATE Award [1341312]</t>
  </si>
  <si>
    <t>NSF Integrative Activities in Physics, REU Site: Research In Neutrino Astrophysics at the University of Wisconsin-River Falls; NSF OPP, Antarctic Education, ATE Award</t>
  </si>
  <si>
    <t>This work was supported in parts by NSF Integrative Activities in Physics, REU Site: Research In Neutrino Astrophysics at the University of Wisconsin-River Falls, Awards 1460752 and 1757517, and NSF OPP, Antarctic Education, ATE Award 1341312. We thank Dr. Waraporn Nuntiyakul, Chiang Mai University, for her helpful advice during this project; Dr. Philip von Doetinchem, University of Hawaii, for access to his modified and updated PLANETOCOSMICS code; and Dr. Rolf Buetikofer, University of Bern, for access and permission to use both MAGNETOCSOMICS and PLANETOCOSMICS. We thank Dr. Paul Evenson for including discussions of this project in the weekly neutron monitor working group conference call, and UWRF physics for providing the facilities needed to work on this project.</t>
  </si>
  <si>
    <t>WOS:001070848401090</t>
  </si>
  <si>
    <t>Safa, I; Pizzuto, A; Argüelles, CA; Halzen, F; Hussain, R; Kheirandish, A; Vandenbroucke, J</t>
  </si>
  <si>
    <t>Safa, Ibrahim; Pizzuto, Alex; Arguelles, Carlos A.; Halzen, Francis; Hussain, Raamis; Kheirandish, Ali; Vandenbroucke, Justin</t>
  </si>
  <si>
    <t>Constraining anomalous EeV ANITA detections with PeV neutrinos</t>
  </si>
  <si>
    <t>The ANtarctic Impulsive Transinet Antenna (ANITA) recently reported two similar to EeV showers which, at first glance, could be interpreted as emerging tau neutrinos. Their emergence angle was shown to be in tension with the expected angular distribution from isotropic astrophysical neutrinos. However, localized emission from a point source in the event's direction can evade diffuse bounds. In this work, we present an updated calculation of the tau-regeneration effect using a newly developed Monte Carlo package, TauRunner. We describe the algorithm and the softwares capabilities, and apply it to the anomalous ANITA detections. We show that any flux from the direction of the ANITA events should be accompanied by secondary tau-neutrinos detectable at IceCube. We derive the maximum allowed secondary flux at IceCube and compare it to the flux required to detect one event at ANITA. We find that these fluxes are in severe tension, requiring a significant over-fluctuation to account for the anomalous event in 2014.</t>
  </si>
  <si>
    <t>[Safa, Ibrahim; Pizzuto, Alex; Halzen, Francis; Hussain, Raamis; Kheirandish, Ali; Vandenbroucke, Justin] Univ Wisconsin, Dept Phys, Madison, WI 53706 USA; [Safa, Ibrahim; Pizzuto, Alex; Halzen, Francis; Hussain, Raamis; Kheirandish, Ali; Vandenbroucke, Justin] Univ Wisconsin, Wisconsin IceCube Particle Astrophys Ctr, Madison, WI 53706 USA; [Arguelles, Carlos A.] MIT, Dept Phys, Cambridge, MA 02139 USA</t>
  </si>
  <si>
    <t>University of Wisconsin System; University of Wisconsin Madison; University of Wisconsin System; University of Wisconsin Madison; Massachusetts Institute of Technology (MIT)</t>
  </si>
  <si>
    <t>Safa, I (corresponding author), Univ Wisconsin, Dept Phys, Madison, WI 53706 USA.;Safa, I (corresponding author), Univ Wisconsin, Wisconsin IceCube Particle Astrophys Ctr, Madison, WI 53706 USA.</t>
  </si>
  <si>
    <t>isafa@wisc.edu</t>
  </si>
  <si>
    <t>WOS:001070848407015</t>
  </si>
  <si>
    <t>Sakai, K; Abe, K; Fuke, H; Haino, S; Hams, T; Hasegawa, M; Kim, KC; Lee, MH; Makida, Y; Mitchell, JW; Nishimura, J; Nozaki, M; Orito, R; Ormes, JF; Picot-Clemente, N; Sasaki, M; Seo, ES; Streitmatter, RE; Suzuki, J; Tanaka, K; Thakur, N; Yamamoto, A; Yoshida, T; Yoshimura, K</t>
  </si>
  <si>
    <t>Sakai, K.; Abe, K.; Fuke, H.; Haino, S.; Hams, T.; Hasegawa, M.; Kim, K. C.; Lee, M. H.; Makida, Y.; Mitchell, J. W.; Nishimura, J.; Nozaki, M.; Orito, R.; Ormes, J. F.; Picot-Clemente, N.; Sasaki, M.; Seo, E. S.; Streitmatter, R. E.; Suzuki, J.; Tanaka, K.; Thakur, N.; Yamamoto, A.; Yoshida, T.; Yoshimura, K.</t>
  </si>
  <si>
    <t>Search for Cosmic-Ray Antideuterons with BESS-Polar II</t>
  </si>
  <si>
    <t>High-precision measurements of the cosmic-ray antiproton spectrum and sensitive search for cosmological antihelium have been published using the data from BESS-Polar II (Balloon-borne Experiment with a Superconducting Spectrometer) flight in 2007/2008 for a core study of the early Universe using elementary particle measurements. The most sensitive antideuteron search reported used the data obtained by BESS97, BESS98, BESS99, and BESS00, which include the solar minimum period in 1997. We performed a search for antideuterons with unprecedented sensitivity using BESS-Polar II data that is more than ten times the statistics of BESS97 in near solar minimum conditions. The search for antideuteron probes possible exotic sources, such as dark-matter candidates.</t>
  </si>
  <si>
    <t>[Sakai, K.; Hams, T.; Mitchell, J. W.; Sasaki, M.; Streitmatter, R. E.; Thakur, N.] NASA, GSFC, Greenbelt, MD 20771 USA; [Abe, K.; Orito, R.] Kobe Univ, Kobe, Hyogo 6578501, Japan; [Fuke, H.; Yoshida, T.] Japan Aerosp Explorat Agcy ISAS JAXA, Inst Space &amp; Astronaut Sci, Sagamihara, Kanagawa 2525210, Japan; [Haino, S.; Hasegawa, M.; Makida, Y.; Nozaki, M.; Suzuki, J.; Tanaka, K.; Yamamoto, A.] High Energy Accelerator Res Org KEK, Tsukuba, Ibaraki 3050801, Japan; [Kim, K. C.; Lee, M. H.; Picot-Clemente, N.; Seo, E. S.] Univ Maryland, IPST, College Pk, MD 20742 USA; [Nishimura, J.] Univ Tokyo, Tokyo 1130033, Japan; [Ormes, J. F.] Univ Denver, Denver, CO 80208 USA; [Yoshimura, K.] Okayama Univ, Okayama 7000082, Japan; [Sakai, K.; Hams, T.; Sasaki, M.] Ctr Res &amp; Explorat Space Sci &amp; Technol CRESST, Greenbelt, MD USA; [Abe, K.] Univ Tokyo, ICRR, Kamioka Observ, Hida, Gifu 5061205, Japan; [Haino, S.] Acad Sinica, Inst Phys, Taipei 11529, Taiwan; [Orito, R.] Tokushima Univ, Tokushima 7708502, Japan</t>
  </si>
  <si>
    <t>National Aeronautics &amp; Space Administration (NASA); NASA Goddard Space Flight Center; Kobe University; Japan Aerospace Exploration Agency (JAXA); Institute of Space &amp; Astronautical Science (ISAS); High Energy Accelerator Research Organization (KEK); University System of Maryland; University of Maryland College Park; University of Tokyo; University of Denver; Okayama University; University of Tokyo; Academia Sinica - Taiwan; Tokushima University</t>
  </si>
  <si>
    <t>Sakai, K (corresponding author), NASA, GSFC, Greenbelt, MD 20771 USA.;Sakai, K (corresponding author), Ctr Res &amp; Explorat Space Sci &amp; Technol CRESST, Greenbelt, MD USA.</t>
  </si>
  <si>
    <t>kenichi.sakai@nasa.gov</t>
  </si>
  <si>
    <t>MEXT-JSPS; U.S. by NASA</t>
  </si>
  <si>
    <t>MEXT-JSPS(Ministry of Education, Culture, Sports, Science and Technology, Japan (MEXT)Japan Society for the Promotion of Science); U.S. by NASA</t>
  </si>
  <si>
    <t>The BESS-Polar program is a Japan-United States collaboration, supported in Japan by the Grant-in-Aid 'KAKENHI' for Specially Promoted and Basic Researches, MEXT-JSPS, and in the U.S. by NASA. Balloon flight operations were carried out by the NASA Columbia Scientific Balloon Facility and the National Science Foundation United States Antarctic Program. We would like to express our sincere thanks for their continuous professional support.</t>
  </si>
  <si>
    <t>WOS:001070848401128</t>
  </si>
  <si>
    <t>Schaufel, M; Andeen, K</t>
  </si>
  <si>
    <t>Schaufel, Merlin; Andeen, Karen</t>
  </si>
  <si>
    <t>IceAct, small Imaging Air Cherenkov Telescopes for IceCube</t>
  </si>
  <si>
    <t>IceAct is a proposed surface array of cost effective and compact Silicon Photomultipliers (SiPM) based small-size (50 cm) Imaging Air Cherenkov Telescopes above the IceCube in-ice detector. In coincidence with the in-ice and surface components of IceCube it forms a hybrid detector that enables new measurements combining the information from the Cherenkov light image, the surface particle footprint and the in-ice muon tracks of extensive air showers. During January 2019, two new versions of the IceAct telescope demonstrators featuring 61 SiPM pixels and improved optics were installed in the center of the IceTop surface detector at the geographic South Pole. Combining information from these two telescopes and IceCube, it is possible to test the performance in primary particle discrimination, detector calibration, and veto capabilities. We present the status of the project and the prospects of the upcoming data taking season during the Antarctic winter.</t>
  </si>
  <si>
    <t>[Schaufel, Merlin] Rhein Westfal TH Aachen, Aachen, Germany; [Andeen, Karen] Marquette Univ, Milwaukee, WI 53233 USA</t>
  </si>
  <si>
    <t>RWTH Aachen University; Marquette University</t>
  </si>
  <si>
    <t>Schaufel, M (corresponding author), Rhein Westfal TH Aachen, Aachen, Germany.</t>
  </si>
  <si>
    <t>merlin.schaufel@icecube.wisc.edu; karen.andeen@icecube.wisc.edu</t>
  </si>
  <si>
    <t>WOS:001070848402027</t>
  </si>
  <si>
    <t>Scotti, V; Boiano, A; Fabris, L; Manghisoni, M; Osteria, G; Perfetto, F; Re, V; Riceputi, E; Zampa, G</t>
  </si>
  <si>
    <t>Scotti, Valentina; Boiano, Alfonso; Fabris, Lorenzo; Manghisoni, Massimo; Osteria, Giuseppe; Perfetto, Francesco; Re, Valerio; Riceputi, Elisa; Zampa, Gianluigi</t>
  </si>
  <si>
    <t>Front-end electronics for the GAPS tracker</t>
  </si>
  <si>
    <t>The General Antiparticle Spectrometer (GAPS) is an Antarctic balloon-borne mission to indirectly search for dark matter through sensitive observation of cosmic antiparticles. The first flight is planned for late 2021. GAPS is the first experiment optimized specifically for detection of low-energy (&lt; 0.25 GeV/n) antideuterons, which are recognized as distinctive signals from dark matter annihilation or decay in the Galactic halo. To achieve high sensitivity to cosmic antinuclei in this low-energy range, GAPS uses a novel particle identification method based on exotic atom capture and decay. The GAPS instrument consists of ten planes of 1440 10 cm-diameter, 2.5 mm-thick, 8-strip lithium drifted silicon (Si(Li)) detectors, which constitutes the tracker, surrounded by a plastic scintillator time-of-flight system. A new fabrication technique has been developed to satisfy the stringent requirements of the mission. In this contribution, we describe the front-end electronics of the tracker of GAPS. The system is composed of front-end ASICs and power supplies. The ASICs provide readout and digitization of the signal (with an 11-bit ADC) in a wide dynamic range (10 keV - 100 MeV). Every ASIC has 32 channels and performs the readout for 4 detectors, for a total amount of 11520 channels. The ASIC analog front-end is based on a dynamic compression technique to handle a large range of signal amplitudes and features a low noise performance, achieving the required 4 keV resolution at low energies. The power system supplies both bias voltages for the Si(Li) detectors and low voltages for the electronics.</t>
  </si>
  <si>
    <t>[Scotti, Valentina] Univ Napoli Federico II, Dipartimento Fis, Naples, Italy; [Scotti, Valentina; Boiano, Alfonso; Osteria, Giuseppe; Perfetto, Francesco] Ist Nazl Fis Nucl, Sez Napoli, Naples, Italy; [Fabris, Lorenzo] Oak Ridge Natl Lab, Oak Ridge, TN USA; [Manghisoni, Massimo; Re, Valerio; Riceputi, Elisa] Univ Bergamo, Bergamo, Italy; [Manghisoni, Massimo; Re, Valerio; Riceputi, Elisa] Ist Nazl Fis Nucl, Sez Pavia, Pavia, Italy; [Zampa, Gianluigi] Ist Nazl Fis Nucl, Sez Trieste, Trieste, Italy</t>
  </si>
  <si>
    <t>University of Naples Federico II; Istituto Nazionale di Fisica Nucleare (INFN); United States Department of Energy (DOE); Oak Ridge National Laboratory; University of Bergamo; Istituto Nazionale di Fisica Nucleare (INFN); Istituto Nazionale di Fisica Nucleare (INFN)</t>
  </si>
  <si>
    <t>Scotti, V (corresponding author), Univ Napoli Federico II, Dipartimento Fis, Naples, Italy.;Scotti, V (corresponding author), Ist Nazl Fis Nucl, Sez Napoli, Naples, Italy.</t>
  </si>
  <si>
    <t>scottiv@na.infn.it</t>
  </si>
  <si>
    <t>NASA APRA [NNX17AB44G, NNX17AB45G, NNX17AB46G, NNX17AB47G]; JAXA/ISAS Small Science Program; JSPS KAKENHI [JP26707015, JP17H01136]; INFN; Italian Space Agency through the GAPS ASI INFN [2018-28-HH.0]</t>
  </si>
  <si>
    <t>NASA APRA(National Aeronautics &amp; Space Administration (NASA)); JAXA/ISAS Small Science Program; JSPS KAKENHI(Ministry of Education, Culture, Sports, Science and Technology, Japan (MEXT)Japan Society for the Promotion of ScienceGrants-in-Aid for Scientific Research (KAKENHI)); INFN(Istituto Nazionale di Fisica Nucleare (INFN)); Italian Space Agency through the GAPS ASI INFN</t>
  </si>
  <si>
    <t>This work is supported in the U.S. by NASA APRA grants (NNX17AB44G, NNX17AB45G, NNX17AB46G, and NNX17AB47G), in Japan by JAXA/ISAS Small Science Program and JSPS KAKENHI grants (JP26707015 and JP17H01136), in Italy by INFN and the Italian Space Agency through the GAPS ASI INFN agreement n. 2018-28-HH.0.</t>
  </si>
  <si>
    <t>WOS:001070848401130</t>
  </si>
  <si>
    <t>Tönnis, C</t>
  </si>
  <si>
    <t>Tonnis, Christoph</t>
  </si>
  <si>
    <t>Search for dark matter with metastable mediators with the IceCube observatory</t>
  </si>
  <si>
    <t>The IceCube neutrino observatory is a 3D array of photodetectors installed in the Antarctic ice. It consists of 5,160 photomultiplier-tubes spread among 86 vertical strings making a total detector volume of more than a cubic kilometer. It detects neutrinos via Cherenkov light of charged relativistic particles from neutrino interactions with the detector volume. IceCube is, due to its size and photosensor spacing, particularly sensitive to high-energy neutrinos. In this analysis we search for dark matter that annihilates into a metastable mediator that subsequently decays into Standard Model particles. These models yield an enhanced high-energy neutrino flux from dark matter annihilation inside the Sun compared to models without a mediator. Neutrino signals that are produced directly inside the Sun are strongly attenuated at higher energies due to interactions with the solar plasma. In the models considered here, the mediator can escape the Sun before producing any neutrinos, thereby avoiding attenuation. IceCube is ideal to search for this enhanced high-energy neutrino signal. We present the sensitivities of an analysis of six years of IceCube data looking for dark matter in the Sun considering mediator lifetimes between 1 ms to 10 s and dark matter masses between 200 GeV and 10 TeV. We show that IceCube is sensitive to spin-dependent cross-sections of 3:45 x 10(-34) cm(2) for dark matter masses of 1 TeV.</t>
  </si>
  <si>
    <t>[Tonnis, Christoph] Sungkyunkwan Univ, Dept Phys, Suwon 16419, South Korea</t>
  </si>
  <si>
    <t>Tönnis, C (corresponding author), Sungkyunkwan Univ, Dept Phys, Suwon 16419, South Korea.</t>
  </si>
  <si>
    <t>ctoennis@icecube.wisc.edu</t>
  </si>
  <si>
    <t>WOS:001070848404059</t>
  </si>
  <si>
    <t>Wang, SH</t>
  </si>
  <si>
    <t>Wang, Shih-Hao</t>
  </si>
  <si>
    <t>TAROGE &amp; ARIANNA Collaborations</t>
  </si>
  <si>
    <t>Status, Calibration, and Cosmic Ray Detection of ARIANNA-HCR Station</t>
  </si>
  <si>
    <t>ENERGY</t>
  </si>
  <si>
    <t>The ARIANNA Horizontal Cosmic Ray (HCR) station is an antenna array in Antarctica for detecting radio impulses emitted from inclined extensive air showers (EAS) above about 300 PeV generated by cosmic rays and ultra-high energy Earth-skimming tau neutrinos coming out from nearby mountains. The station has 8 log-periodic dipole antennas above the ice, pointing horizontally toward the mountain ridges, with bandwidth of 110-500 MHz and improved performance after upgrade from its prototype in November 2017, and has been continuously operating over almost the entire austral summer. The timing and angular resolution, which are crucial for discriminating between cosmic ray and neutrino events, are calibrated with ground-based transmitters both nearby the station and on the mountain. We will discuss the interference from reflected signal from the ice, which becomes apparent for signals from lower elevation angles (&lt; 25 degrees), complicating the event reconstruction but also providing additional angular information. We will summarize its instrumentation and operation in the 2017-2018 season, and report the result of the search of cosmic-ray EAS candidates and their angular distribution.</t>
  </si>
  <si>
    <t>Natl Taiwan Univ, Leung Ctr Cosmol &amp; Particle Astrophys, 1 Sec 4,Roosevelt Rd, Taipei 10617, Taiwan</t>
  </si>
  <si>
    <t>Wang, SH (corresponding author), Natl Taiwan Univ, Grad Inst Phys, 1 Sec 4,Roosevelt Rd, Taipei 10617, Taiwan.</t>
  </si>
  <si>
    <t>wsh4180@gmail.com</t>
  </si>
  <si>
    <t>US National Science Foundation [PHY-1607719]; National Research Nuclear University MEPhI (Moscow Engineering Physics Institute); German Research Foundation (DFG); Ministry of Science and Technology (MOST) in Taiwan</t>
  </si>
  <si>
    <t>US National Science Foundation(National Science Foundation (NSF)); National Research Nuclear University MEPhI (Moscow Engineering Physics Institute); German Research Foundation (DFG)(German Research Foundation (DFG)); Ministry of Science and Technology (MOST) in Taiwan(Ministry of Science and Technology, Taiwan)</t>
  </si>
  <si>
    <t>We wish to thank the US National Science Foundation for its support of the ARIANNA project under grant PHY-1607719, support from National Research Nuclear University MEPhI (Moscow Engineering Physics Institute), from the German Research Foundation (DFG), and for the outstanding cooperation in field planning and operations by the Antarctic Support Contractor. The project is also supported by the pioneer program of Ministry of Science and Technology (MOST) in Taiwan.</t>
  </si>
  <si>
    <t>WOS:001070848403129</t>
  </si>
  <si>
    <t>Wiencke, L; Olinto, A</t>
  </si>
  <si>
    <t>Wiencke, L.; Olinto, A.</t>
  </si>
  <si>
    <t>JEM-EUSO Collaboration; POEMMA Collaboration</t>
  </si>
  <si>
    <t>The Extreme Universe Space Observatory on a Super-Pressure Balloon II Mission</t>
  </si>
  <si>
    <t>The Extreme Universe Space Observatory on a Super Pressure Balloon II Mission (EUSO-SPB2) is a precursor for a next generation space observatory for multi-messenger astrophysics. The EUSO-SPB2 instrument will measure PeV and EeV-scale cosmic rays, optical backgrounds that could mimic tau neutrino interactions in the Earth's limb, and search for optical signatures consistent with the upward-going candidate events that the Antarctic Impulse Transient Antenna (ANITA) reported. The payload, now in the design and fabrication stage, features a pair of optical telescopes that have 1 meter diameter apertures. The Fluorescence Telescope will have sensitivity in the UV to target extensive air showers at EeV energies. The Cherenkov Telescope will have UV/VIS sensitivity to target Cherenkov emission from air showers at PeV energies. The planned launch date is 2022. We discuss the science and mission, and the current status.</t>
  </si>
  <si>
    <t>[Wiencke, L.] Colorado Sch Mines, Golden, CO 80401 USA; [Olinto, A.] Univ Chicago, Chicago, IL USA</t>
  </si>
  <si>
    <t>Colorado School of Mines; University of Chicago</t>
  </si>
  <si>
    <t>Wiencke, L (corresponding author), Colorado Sch Mines, Golden, CO 80401 USA.</t>
  </si>
  <si>
    <t>lwiencke@mines.edu</t>
  </si>
  <si>
    <t>NASA in the USA [11-APRA-0058, 80NSC18K0477, 80NSSC19K0627]; Basic Science Interdisciplinary Research Projects of RIKEN; JSPS KAKENHI [JP17H02905, JP16H02426, JP16H16737]; Italian Ministry of Foreign Affairs and International Cooperation; Italian Space Agency through the ASI INFN [2017-8-H.0, 2016-1-U.0]; French space agency CNES; Slovak Academy of Sciences MVTS JEMEUSO; VEGA grant agency [2/0132/17]; National Science Centre in Poland [2017/27/B/ST9/02162]; ROSCOSMOS; Russian Foundation for Basic Research [16-29-13065]; Olle Engkvist Byggmastare Foundation</t>
  </si>
  <si>
    <t>NASA in the USA; Basic Science Interdisciplinary Research Projects of RIKEN; JSPS KAKENHI(Ministry of Education, Culture, Sports, Science and Technology, Japan (MEXT)Japan Society for the Promotion of ScienceGrants-in-Aid for Scientific Research (KAKENHI)); Italian Ministry of Foreign Affairs and International Cooperation(Ministry of Foreign Affairs and International Cooperation (Italy)); Italian Space Agency through the ASI INFN; French space agency CNES(Centre National D'etudes Spatiales); Slovak Academy of Sciences MVTS JEMEUSO(Slovak Academy of Sciences); VEGA grant agency(Vedecka grantova agentura MSVVaS SR a SAV (VEGA)); National Science Centre in Poland(National Science Centre, Poland); ROSCOSMOS; Russian Foundation for Basic Research(Russian Foundation for Basic Research (RFBR)Spanish Government); Olle Engkvist Byggmastare Foundation</t>
  </si>
  <si>
    <t>This work was partially supported by NASA awards 11-APRA-0058, 80NSC18K0477,80NSSC19K0627 in the USA, Basic Science Interdisciplinary Research Projects of RIKEN and JSPS KAKENHI Grant (JP17H02905, JP16H02426 and JP16H16737), by the Italian Ministry of Foreign Affairs and International Cooperation, by the Italian Space Agency through the ASI INFN agreement n. 2017-8-H.0 and contract n. 2016-1-U.0, by by the French space agency CNES, by Slovak Academy of Sciences MVTS JEMEUSO and VEGA grant agency project 2/0132/17, by National Science Centre in Poland grant, 2017/27/B/ST9/02162) Russia is supported by ROSCOSMOS and the Russian Foundation for Basic Research Grant No 16-29-13065. Sweden is funded by the Olle Engkvist Byggmastare Foundation.</t>
  </si>
  <si>
    <t>WOS:001070848404001</t>
  </si>
  <si>
    <t>Wissel, S; Burch, C; Carvalho, W ; Crowley, J; Alvarez-Muñiz, J; Cummings, A; Kauther, A; Romero-Wolf, A; Schoorlemmer, H; Zas, E</t>
  </si>
  <si>
    <t>Wissel, Stephanie; Burch, Claire; Carvalho, Washington, Jr.; Crowley, Joe; Alvarez-Muniz, Jaime; Cummings, Austin; Kauther, Abdulrahman; Romero-Wolf, Andres; Schoorlemmer, Harm; Zas, Enrique</t>
  </si>
  <si>
    <t>Comprehensive estimate of the sensitivity of ANITA to tau neutrinos</t>
  </si>
  <si>
    <t>Two anomalous events have been reported by the ANITA collaboration that are observationally consistent with air showers from a particle emerging from the Antarctic ice. One possible interpretation of these events is that they are due to tau neutrinos interacting in the Earth, resulting in an air shower initiated by a tau lepton decay. We present a comprehensive study of the sensitivity of ANITA to tau neutrinos, using the expected Standard Model cross-sections and tau lepton energy losses, varied ice thicknesses, and radio emission simulation of upgoing tau showers with ZHAireS.</t>
  </si>
  <si>
    <t>[Wissel, Stephanie; Alvarez-Muniz, Jaime] Calif Polytech State Univ San Luis Obispo, San Luis Obispo, CA 93407 USA; [Burch, Claire; Romero-Wolf, Andres] Jet Prop Lab, Pasadena, CA USA; [Burch, Claire] Harvard Univ, Harvard Coll, Cambridge, MA USA; [Carvalho, Washington, Jr.; Romero-Wolf, Andres] CALTECH, Pasadena, CA 91125 USA; [Carvalho, Washington, Jr.] Univ Sao Paulo, Dept Fs, Sao Paulo, Brazil; [Crowley, Joe; Kauther, Abdulrahman] Univ Santiago de Compostela, Dept Fis Particulas, Santiago De Compostela, Spain; [Alvarez-Muniz, Jaime] Univ Santiago de Compostela, Inst Galego Fis Altas Enerxias, Santiago De Compostela, Spain; [Cummings, Austin] Gran Sasso Sci Inst, Sch Adv Studies, Laquila, Italy; [Schoorlemmer, Harm] Max Planck Inst Kernphys, Heidelberg, Germany</t>
  </si>
  <si>
    <t>California State University System; California Polytechnic State University San Luis Obispo; National Aeronautics &amp; Space Administration (NASA); NASA Jet Propulsion Laboratory (JPL); Harvard University; California Institute of Technology; Universidade de Sao Paulo; Universidade de Santiago de Compostela; Universidade de Santiago de Compostela; Gran Sasso Science Institute (GSSI); Max Planck Society</t>
  </si>
  <si>
    <t>Wissel, S (corresponding author), Calif Polytech State Univ San Luis Obispo, San Luis Obispo, CA 93407 USA.</t>
  </si>
  <si>
    <t>swissel@calpoly.edu</t>
  </si>
  <si>
    <t>zas, enrique/I-5556-2015</t>
  </si>
  <si>
    <t>NASA [NNX15AC24G]; NSF CAREER [1752922, 1255557]; CSU's Research, Scholarly, and Creative Activities Grant Program; KAUST Gifted Student Program; Astroparticle Student and Postdoc Exchange Network (CASPEN); Leverhulme Trust, Taiwan's Ministry of Science and Technology (MOST) under its Vanguard Program [106-2119-M-002-011]; Ministerio de Economia, Industria y Competitividad [FPA2017-85114-P]; Maria de Maeztu Unit of Excellence [MDM-2016-0692]; Xunta de Galicia [ED431C 2017/07]</t>
  </si>
  <si>
    <t>NASA(National Aeronautics &amp; Space Administration (NASA)); NSF CAREER(National Science Foundation (NSF)NSF - Office of the Director (OD)); CSU's Research, Scholarly, and Creative Activities Grant Program; KAUST Gifted Student Program(King Abdullah University of Science &amp; Technology); Astroparticle Student and Postdoc Exchange Network (CASPEN); Leverhulme Trust, Taiwan's Ministry of Science and Technology (MOST) under its Vanguard Program; Ministerio de Economia, Industria y Competitividad(Spanish Government); Maria de Maeztu Unit of Excellence; Xunta de Galicia(Xunta de Galicia)</t>
  </si>
  <si>
    <t>ANITA-IV was supported through NASA grant NNX15AC24G. Computing resources for this project were provided by the Research Computing Center at the University of Chicago and the UCLA Institute for Digital Research &amp; Education. We gratefully acknowledge NSF CAREER awards 1752922 &amp; 1255557, the CSU's Research, Scholarly, and Creative Activities Grant Program, the KAUST Gifted Student Program, the Cosmology and Astroparticle Student and Postdoc Exchange Network (CASPEN), the Leverhulme Trust, Taiwan's Ministry of Science and Technology (MOST) under its Vanguard Program 106-2119-M-002-011, and the Ministerio de Economia, Industria y Competitividad (FPA2017-85114-P and Maria de Maeztu Unit of Excellence MDM-2016-0692) and the Xunta de Galicia (ED431C 2017/07).</t>
  </si>
  <si>
    <t>WOS:001070848400097</t>
  </si>
  <si>
    <t>Savchyn, I; Tretyak, K; Hlotov, V; Shylo, Y; Bubniak, I; Golubinka, I; Nikulishyn, V</t>
  </si>
  <si>
    <t>Savchyn, Ihor; Tretyak, Korneliy; Hlotov, Volodymyr; Shylo, Yevhenii; Bubniak, Ihor; Golubinka, Iurii; Nikulishyn, Volodymyr</t>
  </si>
  <si>
    <t>RECENT LOCAL GEODYNAMIC PROCESSES IN THE PENOLA STRAIT - LEMAIRE CHANNEL FAULT AREA (WEST ANTARCTICA)</t>
  </si>
  <si>
    <t>ACTA GEODYNAMICA ET GEOMATERIALIA</t>
  </si>
  <si>
    <t>Recent geodynamic processes; Static GNSS survey; Geodynamic polygon; Geological structure; Kinematic model</t>
  </si>
  <si>
    <t>SOUTH SCOTIA RIDGE; CRUSTAL DEFORMATION; BRANSFIELD BASIN; EAST ANTARCTICA; PENINSULA; DYNAMICS; MODELS; LAND</t>
  </si>
  <si>
    <t>We present the crustal deformation field in the Penola Strait - Lemaire Channel fault area (West Antarctica), based on the analysis of the 5 seasonal cycles of static GNSS survey. This 5 GNSS campaigns were conducted with approximately a 16-year interval from 2003 to 2019. The analyses indicate that average linear velocities of horizontal movements are multidirectional but no larger than 1 - 2 mm/yr. Average linear velocities of vertical movements are no larger than +/- 3 mm/yr. In the present work scheme of vertical and horizontal movements has been drawn out. The obtained results correlate well with the movements of the surrounding GNSS stations. Based on the analysis of spatial distribution of the Earth's surface dilatation velocity the zones of extreme compression and expansion values were revealed. The analyses of spatial distribution of the Earth's surface total shear velocity indicate that the studied region is horizontally heterogeneous. Based on the analysis of obtained results, a new kinematic model of fault area was developed. The possibility of using static GNSS survey to study recent local geodynamic processes in Antarctica has been demonstrated.</t>
  </si>
  <si>
    <t>[Savchyn, Ihor; Tretyak, Korneliy; Hlotov, Volodymyr; Shylo, Yevhenii; Bubniak, Ihor; Golubinka, Iurii; Nikulishyn, Volodymyr] Lviv Polytech Natl Univ, Inst Geodesy, Karpinski St 6, UA-79013 Lvov, Ukraine</t>
  </si>
  <si>
    <t>Ministry of Education &amp; Science of Ukraine; Lviv Polytechnic National University</t>
  </si>
  <si>
    <t>Savchyn, I (corresponding author), Lviv Polytech Natl Univ, Inst Geodesy, Karpinski St 6, UA-79013 Lvov, Ukraine.</t>
  </si>
  <si>
    <t>ih.savchyn@gmail.com</t>
  </si>
  <si>
    <t>Shylo, Yevhenii/HPG-9071-2023; Bubniak, Ihor/M-2813-2019; Tretyak, Kornyliy R/B-8678-2018; Savchyn, Ihor/AAH-2774-2019; Golubinka, Iurii/S-3977-2017</t>
  </si>
  <si>
    <t>Shylo, Yevhenii/0000-0003-2998-2813; Bubniak, Ihor/0000-0002-3548-8785; Savchyn, Ihor/0000-0002-5859-1515; Golubinka, Iurii/0000-0001-9696-686X; Tretyak, Kornyliy/0000-0001-5231-3517</t>
  </si>
  <si>
    <t>State Institution National Antarctic Scientific Center of Ukraine</t>
  </si>
  <si>
    <t>This geodetic and geodynamics research has been carried out with the support of the State Institution National Antarctic Scientific Center of Ukraine. The primary data and materials for the study were obtained from the 8th, 10th, 14th, 23rd, 24th seasonal Ukrainian Antarctic expedition. Also, we are grateful to the reviewers for their very constructive and useful comments on the manuscript.</t>
  </si>
  <si>
    <t>ACAD SCI CZECH REPUBLIC INST ROCK STRUCTURE &amp; MECHANICS</t>
  </si>
  <si>
    <t>PRAGUE 8</t>
  </si>
  <si>
    <t>IRSM AS CR, V HOLESOVICKACH 41, PRAGUE 8, 182 09, CZECH REPUBLIC</t>
  </si>
  <si>
    <t>1214-9705</t>
  </si>
  <si>
    <t>ACTA GEODYN GEOMATER</t>
  </si>
  <si>
    <t>Acta Geodyn. Geomater.</t>
  </si>
  <si>
    <t>10.13168/AGG.2021.0018</t>
  </si>
  <si>
    <t>Geochemistry &amp; Geophysics; Mining &amp; Mineral Processing</t>
  </si>
  <si>
    <t>SR8AE</t>
  </si>
  <si>
    <t>WOS:000661266800010</t>
  </si>
  <si>
    <t>Oliver, ECJ; Benthuysen, JA; Darmaraki, S; Donat, MG; Hobday, AJ; Holbrook, NJ; Schlegel, RW; Sen Gupta, A</t>
  </si>
  <si>
    <t>Carlson, CA; Giovannoni, SJ</t>
  </si>
  <si>
    <t>Oliver, Eric C. J.; Benthuysen, Jessica A.; Darmaraki, Sofia; Donat, Markus G.; Hobday, Alistair J.; Holbrook, Neil J.; Schlegel, Robert W.; Sen Gupta, Alex</t>
  </si>
  <si>
    <t>Marine Heatwaves</t>
  </si>
  <si>
    <t>ANNUAL REVIEW OF MARINE SCIENCE, VOL 13, 2021</t>
  </si>
  <si>
    <t>Annual Review of Marine Science</t>
  </si>
  <si>
    <t>climate extremes; sea surface temperature; climate change; mixed-layer dynamics; ocean circulation; air-sea heat flux; climate variability</t>
  </si>
  <si>
    <t>SEA-SURFACE TEMPERATURE; HEAT-WAVE; EUROPEAN HEATWAVE; WESTERN-AUSTRALIA; THERMAL-STRESS; CLIMATE MODELS; NORTH PACIFIC; EL-NINO; OCEAN; VARIABILITY</t>
  </si>
  <si>
    <t>Ocean temperature variability is a fundamental component of the Earth's climate system, and extremes in this variability affect the health of marine ecosystems around the world. The study of marine heatwaves has emerged as a rapidly growing field of research, given notable extreme warm-water events that have occurred against a background trend of global ocean warming. This review summarizes the latest physical and statistical understanding of marine heatwaves based on how they are identified, defined, characterized, and monitored through remotely sensed and in situ data sets. We describe the physical mechanisms that cause marine heatwaves, along with their global distribution, variability, and trends. Finally, we discuss current issues in this developing research area, including considerations related to the choice of climatological baseline periods in defining extremes and how to communicate findings in the context of societal needs.</t>
  </si>
  <si>
    <t>[Oliver, Eric C. J.; Darmaraki, Sofia; Schlegel, Robert W.] Dalhousie Univ, Dept Oceanog, Halifax, NS B3H 4R2, Canada; [Benthuysen, Jessica A.] Australian Inst Marine Sci, Crawley, WA 6009, Australia; [Donat, Markus G.] Barcelona Supercomp Ctr, Barcelona 08034, Spain; [Hobday, Alistair J.] CSIRO Oceans &amp; Atmosphere, Hobart, Tas 7000, Australia; [Holbrook, Neil J.] Univ Tasmania, Inst Marine &amp; Antarctic Studies, Hobart, Tas 7001, Australia; [Holbrook, Neil J.] Univ Tasmania, Australian Res Council, Ctr Excellence Climate Extremes, Hobart, Tas 7001, Australia; [Schlegel, Robert W.] Woods Hole Oceanog Inst, Dept Phys Oceanog, Woods Hole, MA 02543 USA; [Sen Gupta, Alex] Univ New South Wales, Climate Change Res Ctr, Sydney, NSW 2052, Australia; [Sen Gupta, Alex] Univ New South Wales, Australian Res Council, Ctr Excellence Climate Extremes, Sydney, NSW 2052, Australia</t>
  </si>
  <si>
    <t>Dalhousie University; Australian Institute of Marine Science; Universitat Politecnica de Catalunya; Barcelona Supercomputer Center (BSC-CNS); Commonwealth Scientific &amp; Industrial Research Organisation (CSIRO); University of Tasmania; University of Tasmania; Woods Hole Oceanographic Institution; University of New South Wales Sydney; University of New South Wales Sydney</t>
  </si>
  <si>
    <t>Oliver, ECJ (corresponding author), Dalhousie Univ, Dept Oceanog, Halifax, NS B3H 4R2, Canada.</t>
  </si>
  <si>
    <t>eric.oliver@dal.ca</t>
  </si>
  <si>
    <t>Donat, Markus/J-8331-2012; Hobday, Alistair/A-1460-2012; Sen Gupta, Alexander/B-7995-2011; Holbrook, Neil/M-7544-2013; Oliver, Eric/G-5118-2014</t>
  </si>
  <si>
    <t>Donat, Markus/0000-0002-0608-7288; Sen Gupta, Alexander/0000-0001-5226-871X; Holbrook, Neil/0000-0002-3523-6254; Oliver, Eric/0000-0002-4006-2826</t>
  </si>
  <si>
    <t>National Sciences and Engineering Research Council of Canada [RGPIN-2018-05255]; Ocean Frontier Institute through an award from the Canada First Research Excellence Fund; Marine Environmental Observation, Prediction, and Response Network Early Career Faculty Grant [1-02-02-059.1]; Spanish Ministry for the Economy, Industry, and Competitiveness [RYC-2017-22964]; Australian Research Council Centre of Excellence for Climate Extremes [CE170100023]; Australian government's National Environmental Science Programme Earth Systems and Climate Change Hub</t>
  </si>
  <si>
    <t>National Sciences and Engineering Research Council of Canada(Natural Sciences and Engineering Research Council of Canada (NSERC)); Ocean Frontier Institute through an award from the Canada First Research Excellence Fund; Marine Environmental Observation, Prediction, and Response Network Early Career Faculty Grant; Spanish Ministry for the Economy, Industry, and Competitiveness; Australian Research Council Centre of Excellence for Climate Extremes(Australian Research Council); Australian government's National Environmental Science Programme Earth Systems and Climate Change Hub(Australian Government)</t>
  </si>
  <si>
    <t>E.C.J.O. received support for this work from National Sciences and Engineering Research Council of Canada Discovery Grant RGPIN-2018-05255, the Ocean Frontier Institute through an award from the Canada First Research Excellence Fund, and Marine Environmental Observation, Prediction, and Response Network Early Career Faculty Grant 1-02-02-059.1. M.G.D. receives support from Spanish Ministry for the Economy, Industry, and Competitiveness grant reference RYC-2017-22964. N.J.H. acknowledges support from the Australian Research Council Centre of Excellence for Climate Extremes (grantCE170100023) and the Australian government's National Environmental Science Programme Earth Systems and Climate Change Hub.</t>
  </si>
  <si>
    <t>1941-1405</t>
  </si>
  <si>
    <t>ANNU REV MAR SCI</t>
  </si>
  <si>
    <t>Annu. Rev. Mar. Sci.</t>
  </si>
  <si>
    <t>10.1146/annurev-marine-032720-095144</t>
  </si>
  <si>
    <t>BQ7EA</t>
  </si>
  <si>
    <t>WOS:000614649200014</t>
  </si>
  <si>
    <t>Shimada, S; Nakai, R; Aoki, K; Shimoeda, N; Ohno, G; Kudoh, S; Imura, S; Watanabe, K; Miyazaki, Y; Ishii, Y; Tateda, K</t>
  </si>
  <si>
    <t>Shimada, Sho; Nakai, Ryosuke; Aoki, Kotaro; Shimoeda, Norifumi; Ohno, Giichiro; Kudoh, Sakae; Imura, Satoshi; Watanabe, Kentaro; Miyazaki, Yasunari; Ishii, Yoshikazu; Tateda, Kazuhiro</t>
  </si>
  <si>
    <t>Chasing Waterborne Pathogens in Antarctic Human-Made and Natural Environments, with Special Reference to Legionella spp.</t>
  </si>
  <si>
    <t>16S rRNA; Antarctica; Legionella; gene sequencing; waterborne pathogens</t>
  </si>
  <si>
    <t>DRINKING-WATER; FRESH-WATER; COOLING-TOWER; PNEUMOPHILA; DIVERSITY; POPULATIONS; DYNAMICS; SPP.; MULTIPLICATION; PROLIFERATION</t>
  </si>
  <si>
    <t>Waterborne pathogenic diseases are public health issues, especially for people staying in remote environments, such as Antarctica. After repeated detection of Legionella by PCR from the shower room of Syowa Station, the Japanese Antarctic research station, we wanted to understand the occurrence of waterborne pathogens, especially Legionella, in the station and their potential sources. In this study, we analyzed water and biofilm samples collected from the water facilities of Syowa Station, as well as water samples from surrounding glacier lakes, by 16S rRNA gene-based amplicon sequencing. For Legionella spp., we further attempted to obtain a detailed community structure by using genus-specific primers. The results showed that potentially pathogenic genera were mostly localized in the station, while Legionella spp., Pseudomonas spp., and Mycobacterium spp. were also widely distributed in lakes. Genus-specific analysis of Legionella spp. within the lake environments confirmed the presence of diverse Legionella amplicon sequence variants (ASVs) that were distinctly different from the Legionella ASVs detected in the station. The majority of the Legionella ASVs inhabiting Antarctic lake habitats were phylogenetically distinct from known Legionella species, whereas the ASVs detected in the human-made station tended to contain ASVs highly similar to well-described mesophilic species with human pathogenicity. These data suggest that unexpected Legionella diversity exists in remote Antarctic cold environments and that environmental differences (e.g., temperature) in and around the station affect the community structure. IMPORTANCE We comprehensively examined the localization of potential waterborne pathogens in the Antarctic human-made and natural aquatic environment with special focus on Legionella spp. Some potential pathogenic genera were detected with low relative abundance in the natural environment, but most detections of these genera occurred in the station. Through detailed community analysis of Legionella spp., we revealed that a variety of Legionella spp. was widely distributed in the Antarctic environment and that they were phylogenetically distinct from the described species. This fact indicates that there are still diverse unknown Legionella spp. in Antarctica, and this genus encompasses a greater variety of species in low-temperature environments than is currently known. In contrast, amplicon sequence variants closely related to known Legionella spp. with reported pathogenicity were almost solely localized in the station, suggesting that human-made environments alter the Legionella community.</t>
  </si>
  <si>
    <t>[Shimada, Sho; Aoki, Kotaro; Ishii, Yoshikazu; Tateda, Kazuhiro] Toho Univ, Dept Microbiol &amp; Infect Dis, Sch Med, Tokyo, Japan; [Nakai, Ryosuke] Natl Inst Adv Ind Sci &amp; Technol, Bioprod Res Inst, Sapporo, Hokkaido, Japan; [Shimoeda, Norifumi] Tochinoki Hosp, Tochigi Med Ctr, Hirosaki, Aomori, Japan; [Ohno, Giichiro] Tokatsu Hosp, Chiba, Japan; [Shimada, Sho; Miyazaki, Yasunari] Tokyo Med &amp; Dent Univ TMDU, Dept Resp Med, Tokyo, Japan; [Kudoh, Sakae; Imura, Satoshi; Watanabe, Kentaro] Res Org Informat &amp; Syst, Natl Inst Polar Res, Tokyo, Japan; [Kudoh, Sakae; Imura, Satoshi] SOKENDAI Grad Univ Adv Studies, Sch Multidisciplinary Sci, Dept Polar Sci, Tokyo, Japan</t>
  </si>
  <si>
    <t>Toho University; National Institute of Advanced Industrial Science &amp; Technology (AIST); Tokyo Medical &amp; Dental University (TMDU); Research Organization of Information &amp; Systems (ROIS); National Institute of Polar Research (NIPR) - Japan; Graduate University for Advanced Studies - Japan</t>
  </si>
  <si>
    <t>Ishii, Y (corresponding author), Toho Univ, Dept Microbiol &amp; Infect Dis, Sch Med, Tokyo, Japan.</t>
  </si>
  <si>
    <t>yishii@med.toho-u.ac.jp</t>
  </si>
  <si>
    <t>Miyazaki, Yasunari/B-7847-2015; Nakai, Ryosuke/O-6217-2015</t>
  </si>
  <si>
    <t>Miyazaki, Yasunari/0000-0002-9073-9815; Watanabe, Kentaro/0000-0002-5177-0086; Imura, Satoshi/0000-0002-6803-6996; Nakai, Ryosuke/0000-0002-3078-6695; Shimada, Sho/0000-0001-8417-5577; Aoki, Kotaro/0000-0002-9237-1217</t>
  </si>
  <si>
    <t>National Institute of Polar Research (NIPR) [31-34]</t>
  </si>
  <si>
    <t>National Institute of Polar Research (NIPR)(National Institute of Polar Research (NIPR) - Japan)</t>
  </si>
  <si>
    <t>This study was supported by National Institute of Polar Research (NIPR) through General Collaboration project no. 31-34.</t>
  </si>
  <si>
    <t>e02247-20</t>
  </si>
  <si>
    <t>10.1128/AEM.02247-20</t>
  </si>
  <si>
    <t>WOS:000605459800020</t>
  </si>
  <si>
    <t>Da Silva, RRP; White, CA; Bowman, JP; Raes, E; Bisset, A; Chapman, C; Bodrossy, L; Ross, DJ</t>
  </si>
  <si>
    <t>Da Silva, R. R. P.; White, C. A.; Bowman, J. P.; Raes, E.; Bisset, A.; Chapman, C.; Bodrossy, L.; Ross, D. J.</t>
  </si>
  <si>
    <t>Environmental influences shaping microbial communities in a low oxygen, highly stratified marine embayment</t>
  </si>
  <si>
    <t>AQUATIC MICROBIAL ECOLOGY</t>
  </si>
  <si>
    <t>Microbial ecology; 16S rRNA gene sequencing; Spatial and environmental gradient; Stratified marine environment; Macquarie Harbour; Environmental change</t>
  </si>
  <si>
    <t>RIBOSOMAL-RNA SEQUENCES; BACTERIAL COMMUNITIES; SALINITY GRADIENT; RANDOM FORESTS; BLACK-SEA; R-PACKAGE; DIVERSITY; SEAWATER; ESTUARY; AMMONIA</t>
  </si>
  <si>
    <t>Microbial communities in the marine environment drive biogeochemical and nutrient cycles. However, microbial composition and therefore their role in ecosystems is likely to be strongly influenced by the environment. Here, we examined Macquarie Harbour, a highly stratified system on the west coast of Tasmania, Australia, to determine environmental factors driving microbial diversity. Water was sampled along spatial and environmental gradients to examine the structure and composition of the microbial communities, using high-throughput sequencing. The spatial distribution of the communities was found to be homogenous throughout the harbour's surface, although it differed from riverine and oceanic samples. In contrast, the distribution and composition of microbial communities varied with depth-related changes in salinity and oxygen. Prokaryotes associated with riverine and brackish waters dominated the oxic surface waters. Phytoplankton metabolite-related bacteria and nitrite oxidizers were abundant at the halocline, whereas microbes linked to the consumption of organic matter, nitrogen and sulphur metabolization inhabited the hypoxic bottom waters and may be acting as major players in oxygen consumption throughout the harbour's water column. This study provides valuable insights into microbial community ecology in a semi-enclosed and highly stratified environment and will improve our knowledge on how bacterial and archaeal distribution may be influenced by a changing environment.</t>
  </si>
  <si>
    <t>[Da Silva, R. R. P.; White, C. A.; Ross, D. J.] Inst Marine &amp; Antarctic Studies IMAS, Taroona, Tas 7053, Australia; [Bowman, J. P.] Univ Tasmania, Tasmanian Inst Agr TIA, Hobart, Tas 7001, Australia; [Raes, E.; Bisset, A.; Chapman, C.; Bodrossy, L.] CSIRO, Oceans &amp; Atmosphere, Hobart, Tas 7004, Australia</t>
  </si>
  <si>
    <t>Da Silva, RRP (corresponding author), Inst Marine &amp; Antarctic Studies IMAS, Taroona, Tas 7053, Australia.</t>
  </si>
  <si>
    <t>ricardo.silva@utas.edu.au</t>
  </si>
  <si>
    <t>Bodrossy, Levente/B-8054-2009; Bowman, John P/C-2414-2014; Rocha Pavan da Silva, Ricardo/Q-5502-2017</t>
  </si>
  <si>
    <t>Bowman, John P/0000-0002-4528-9333; Rocha Pavan da Silva, Ricardo/0000-0002-7878-2861</t>
  </si>
  <si>
    <t>0948-3055</t>
  </si>
  <si>
    <t>1616-1564</t>
  </si>
  <si>
    <t>AQUAT MICROB ECOL</t>
  </si>
  <si>
    <t>Aquat. Microb. Ecol.</t>
  </si>
  <si>
    <t>10.3354/ame01978</t>
  </si>
  <si>
    <t>YU0ZL</t>
  </si>
  <si>
    <t>WOS:000751779200002</t>
  </si>
  <si>
    <t>Brunet, K</t>
  </si>
  <si>
    <t>ACM</t>
  </si>
  <si>
    <t>Brunet, Karla</t>
  </si>
  <si>
    <t>Art &amp; Science in Antarctica: Artistic practices of science outreach</t>
  </si>
  <si>
    <t>ARTECH 2021: PROCEEDINGS OF THE 10TH INTERNATIONAL CONFERENCE ON DIGITAL AND INTERACTIVE ARTS</t>
  </si>
  <si>
    <t>10th International Conference on Digital and Interactive Arts (ARTECH)</t>
  </si>
  <si>
    <t>OCT 13-15, 2021</t>
  </si>
  <si>
    <t>UNIVERSIDADE DE AVEIRO, Aveiro, PORTUGAL</t>
  </si>
  <si>
    <t>UNIVERSIDADE DE AVEIRO</t>
  </si>
  <si>
    <t>Artwork; science; Antarctica; audiovisual; science outreach</t>
  </si>
  <si>
    <t>This paper proposes to present different artworks resulting from the collaboration with scientists at the Brazilian Antarctic Expedition. During 60 days aboard the Brazilian Navy Research ship, I worked together with oceanographers, marine biologists, ocean physicists and chemists. Associated to Artech 2021 topic of interest Art, Science and Sustainability, the artworks are video art, rotoscopic videos, data visualizations, audiovisual performance, experimental cartography, photography and design. As part of an art and research project, the artworks presented here are an attempt to bring attention to science, the scientific work and create environmental sensibility.</t>
  </si>
  <si>
    <t>[Brunet, Karla] IHAC UFBA, Laboluz UPV, Valencia, Spain</t>
  </si>
  <si>
    <t>Brunet, K (corresponding author), IHAC UFBA, Laboluz UPV, Valencia, Spain.</t>
  </si>
  <si>
    <t>email@karlabru.net</t>
  </si>
  <si>
    <t>ASSOC COMPUTING MACHINERY</t>
  </si>
  <si>
    <t>1601 Broadway, 10th Floor, NEW YORK, NY, UNITED STATES</t>
  </si>
  <si>
    <t>978-1-4503-8420-9</t>
  </si>
  <si>
    <t>10.1145/3483529.3483534</t>
  </si>
  <si>
    <t>Conference Proceedings Citation Index - Science (CPCI-S); Conference Proceedings Citation Index - Social Science &amp; Humanities (CPCI-SSH)</t>
  </si>
  <si>
    <t>BU7BC</t>
  </si>
  <si>
    <t>WOS:000934707500003</t>
  </si>
  <si>
    <t>Hamamoto, S</t>
  </si>
  <si>
    <t>Mohan, M; Brown, C</t>
  </si>
  <si>
    <t>Hamamoto, Shotaro</t>
  </si>
  <si>
    <t>Regulatory Power and Investors' Interests Striking a Balance in Investment Treaties Concluded by Japan</t>
  </si>
  <si>
    <t>ASIAN TURN IN FOREIGN INVESTMENT</t>
  </si>
  <si>
    <t>[Hamamoto, Shotaro] Kyoto Univ, Grad Sch Law, Law Int Org, Kyoto, Japan; [Hamamoto, Shotaro] Int Law Assoc, Comm Procedure Int Courts &amp; Tribunals, London, England; [Hamamoto, Shotaro] Botswana Legal Consequences Separat Chagos Archip, Gaborone, Botswana; [Hamamoto, Shotaro] Japan Whaling Antarctic, Tokyo, Japan; [Hamamoto, Shotaro] Hoshinmaru, Tokyo, Japan; [Hamamoto, Shotaro] Tomimaru Cases, Tokyo, Japan; [Hamamoto, Shotaro] Spanish Govt Fisheries Jurisdict, Barcelona, Spain; [Hamamoto, Shotaro] UNCITRAL, Tokyo, Japan</t>
  </si>
  <si>
    <t>Hamamoto, S (corresponding author), Kyoto Univ, Grad Sch Law, Law Int Org, Kyoto, Japan.;Hamamoto, S (corresponding author), Int Law Assoc, Comm Procedure Int Courts &amp; Tribunals, London, England.</t>
  </si>
  <si>
    <t>978-1-108-67577-2; 978-1-108-42659-6</t>
  </si>
  <si>
    <t>10.1017/9781108675772</t>
  </si>
  <si>
    <t>Business, Finance; International Relations; Law</t>
  </si>
  <si>
    <t>Business &amp; Economics; International Relations; Government &amp; Law</t>
  </si>
  <si>
    <t>BV4OQ</t>
  </si>
  <si>
    <t>WOS:001038186200007</t>
  </si>
  <si>
    <t>Pereira, AB; Velloso, JRP; Putzke, J</t>
  </si>
  <si>
    <t>Pereira, Antonio Batista; Pinheiro Velloso, Jorge Renato; Putzke, Jair</t>
  </si>
  <si>
    <t>Phaeosphaeria deschampsii J. Putzke &amp; A.B.Pereira (Ascomycota, Fungi) causing whitening in Deschampsia antarctica Desv. (Poaceae) in the South Shetland Islands</t>
  </si>
  <si>
    <t>CHECK LIST</t>
  </si>
  <si>
    <t>Diseases; distribution; phytopathology; symptoms.</t>
  </si>
  <si>
    <t>Phaeosphaeria deschampsii was described from dead leaves of Deschampsia antarctica (Antarctic Grass). We surveyed other islands of the South Shetland archipelago, Antarctica, and also found Arctic Grass whitening, the disease associated with this fungus, indicating that is disease is widespread.</t>
  </si>
  <si>
    <t>[Pereira, Antonio Batista; Pinheiro Velloso, Jorge Renato; Putzke, Jair] Univ Fed Pampa, Sao Gabriel, RS, Brazil</t>
  </si>
  <si>
    <t>Universidade Federal do Pampa</t>
  </si>
  <si>
    <t>Pereira, AB (corresponding author), Univ Fed Pampa, Sao Gabriel, RS, Brazil.</t>
  </si>
  <si>
    <t>antoniopereira@unipampa.edu.br; jorgerenatovelloso@gmail.com; jairputzke@unipampa.edu.br</t>
  </si>
  <si>
    <t>Pereira, Antonio B/I-8201-2014</t>
  </si>
  <si>
    <t>Pereira, Antonio B/0000-0003-0368-4594; , jair/0000-0002-9018-9024</t>
  </si>
  <si>
    <t>CNPq [470349/2013-1]</t>
  </si>
  <si>
    <t>CNPq(Conselho Nacional de Desenvolvimento Cientifico e Tecnologico (CNPQ))</t>
  </si>
  <si>
    <t>We thank the Federal University of Pampa, the reviewers, for their excellent contributions to the work, the editor, and the CNPq (proc. 470349/2013-1).</t>
  </si>
  <si>
    <t>1809-127X</t>
  </si>
  <si>
    <t>Check List</t>
  </si>
  <si>
    <t>10.15560/17.6.1751</t>
  </si>
  <si>
    <t>Biodiversity Conservation; Zoology</t>
  </si>
  <si>
    <t>Biodiversity &amp; Conservation; Zoology</t>
  </si>
  <si>
    <t>VL7HK</t>
  </si>
  <si>
    <t>WOS:000906613400029</t>
  </si>
  <si>
    <t>Montecinos, AE; Huanel, OR; Ramírez, ME; Guillemin, ML</t>
  </si>
  <si>
    <t>Montecinos, Alejandro E.; Huanel, Oscar R.; Ramirez, Maria E.; Guillemin, Marie-Laure</t>
  </si>
  <si>
    <t>Molecular data reveal the presence of three Plocamium Lamouroux species with complex patterns of distribution in Southern Chile</t>
  </si>
  <si>
    <t>CRYPTOGAMIE ALGOLOGIE</t>
  </si>
  <si>
    <t>Species delimitation; genetic species; long-distance dispersal; speciation; Rhodophyta; red algae</t>
  </si>
  <si>
    <t>MORPHOLOGICAL DIVERSITY; MARINE BIOGEOGRAPHY; ANTARCTIC PENINSULA; POPULATION-GROWTH; RED ALGAE; RHODOPHYTA; DIVERGENCE; SEQUENCE; MODEL; GIGARTINALES</t>
  </si>
  <si>
    <t>Plocamium Lamouroux is a widespread genus for which 45 species are currently recognized. However, classical taxonomy based only on morphological characters, is problematic within this genus. The use of molecular tools has uncovered cryptic genetic species, mistakenly grouped under the name of morphological species that are common and widespread (induding the generitype Plocamium cartilagineum (Linnaeus) P.S.Dixon). The aim of this work was to evaluate the species diversity of Plocamium in Southern Chile. For this purpose, three independent molecular markers were sequenced in samples collected from seven populations located between 41 degrees S and 54 degrees S. The species diversity was evaluated using phylogenetic reconstructions and two independent methods for species delimitation (ABGD and GMYC). The outcomes of each method were congruent, suggesting the presence of three species in Southern Chile. One species, named Plocamium sp. 1, is restricted to Punta Guaban, the only locality sampled north of the biogeographic barrier of the 42 degrees S. The other two species, Plocamium sp. 2 and 3 are distributed in sympatry in Patagonia and Tierra del Fuego. The three Chilean species form a Bade phylogenetically close to sequences obtained from New Zealand and Australia and a divergence along the coasts of Chile after past transoceanic dispersal is proposed. We propose that divergence in glacial microrefugia could have subsequently happen in the southern part of the coast, this hypothesis being supported by the strong impact of glacial maxima on population dynamics, especially in Plocamium sp. 3.</t>
  </si>
  <si>
    <t>[Montecinos, Alejandro E.; Guillemin, Marie-Laure] Univ Austral Chile, Fac Ciencias, Inst Ciencias Ambientales &amp; Evolut, Casilla 567, Valdivia, Chile; [Huanel, Oscar R.] Pontificia Univ Catolica Chile, Fac Ciencias Biol, Dept Ecol, Casilla 114-D, Santiago, Chile; [Huanel, Oscar R.; Guillemin, Marie-Laure] Sorbonne Univ, CNRS, Evolutionary Biol &amp; Ecol Algae, UC,UACH,Stn Biol Roscoff,IRL EBEA 3614, Pl Georges Teissier, F-29688 Roscoff, France; [Ramirez, Maria E.] Museo Nacl Hist Nat, Area Bot, Casilla 787, Santiago, Chile</t>
  </si>
  <si>
    <t>Universidad Austral de Chile; Pontificia Universidad Catolica de Chile; Centre National de la Recherche Scientifique (CNRS); Sorbonne Universite</t>
  </si>
  <si>
    <t>Guillemin, ML (corresponding author), Univ Austral Chile, Fac Ciencias, Inst Ciencias Ambientales &amp; Evolut, Casilla 567, Valdivia, Chile.;Guillemin, ML (corresponding author), Sorbonne Univ, CNRS, Evolutionary Biol &amp; Ecol Algae, UC,UACH,Stn Biol Roscoff,IRL EBEA 3614, Pl Georges Teissier, F-29688 Roscoff, France.</t>
  </si>
  <si>
    <t>marielaure.guillemin@gmail.com</t>
  </si>
  <si>
    <t>INACH project [RG_15-16]; FONDAP program (FONDAP IDEAL) [15150003]; BECA DE DOCTORADO NACIONAL (CONICYT, Chile) [21120791]</t>
  </si>
  <si>
    <t>INACH project; FONDAP program (FONDAP IDEAL); BECA DE DOCTORADO NACIONAL (CONICYT, Chile)</t>
  </si>
  <si>
    <t>This study was supported by the INACH project RG_15-16 and the FONDAP program project no. 15150003 (FONDAP IDEAL). OH is supported by BECA DE DOCTORADO NACIONAL Grant#21120791 (CONICYT, Chile). The authors are grateful to Sylvain Faugeron and his team for sample collection in Punta Guabun, Erasmo Macaya for sample collection in Fiordo Yendegaia, Mateo Caceres and Diego Bravo for their help in the field in Patagonia and Tierra del Fuego, and Kamilla Flores Robles and Hardy Guzman for lab support. We would like to thank the two reviewers for their comments and efforts towards improving our manuscript. We also thank the IDEAL staff for assistance with infrastructure, especially in Punta Arenas.</t>
  </si>
  <si>
    <t>ADAC-CRYPTOGAMIE</t>
  </si>
  <si>
    <t>PARIS</t>
  </si>
  <si>
    <t>12 RUE DE BUFFON, 75005 PARIS, FRANCE</t>
  </si>
  <si>
    <t>0181-1568</t>
  </si>
  <si>
    <t>1776-0984</t>
  </si>
  <si>
    <t>CRYPTOGAMIE ALGOL</t>
  </si>
  <si>
    <t>Cryptogam. Algol.</t>
  </si>
  <si>
    <t>10.5252/cryptogamie-algologie2021v42a1</t>
  </si>
  <si>
    <t>QH0LL</t>
  </si>
  <si>
    <t>WOS:000617969600001</t>
  </si>
  <si>
    <t>Solano, JM; Vargas, CA; Gulisano, AM</t>
  </si>
  <si>
    <t>Manuel Solano, Juan; Alberto Vargas, Carlos; Maria Gulisano, Adriana</t>
  </si>
  <si>
    <t>Quasi real-time electromagnetic and greenhouse gases monitoring station at Seymour - Marambio Island, Antarctica</t>
  </si>
  <si>
    <t>CZECH POLAR REPORTS</t>
  </si>
  <si>
    <t>electromagnetic field; magnetotellurics; Antarctic; Marambio-Seymour Island; tectonics; climate change; real-time monitoring</t>
  </si>
  <si>
    <t>A new permanent geophysical station was installed in the Seymour-Marambio Island, Antarctica, for monitoring electromagnetic, CO2, and CH4 gas signals. Those signals require specialized low noise instruments and the survey shall be carried out in places far away from cultural noise, such as populated human settlements. The most suitable place would be near the Earth's poles, where noise is the lowest possible. To measure these variables, the Geophysical Instrumentation Laboratory ( Laboratorio de Instrumentacion Geofisica - LIG) of the Universidad Nacional de Colombia, in a partnership with the Instituto Antartico Argentino (IAA) under the Argentinean National Antarctic Direction (Direccion Nacional del Antartico - DNA), deployed the COCOAonMEAT project, oriented to design, built and install a low-cost station with time synchronization via GPS and data transmission in almost real-time. Since January 2020, the project monitors continuously (24/7) seven variables: three magnetic components, two electric dipoles, methane (CH4), and carbon dioxide (CO2) gas. Due to operative facilities and its low electromagnetic noise, the place chosen for its installation was the Argentinean Marambio Scientific Base in the Antarctic Peninsula, with the Multidisciplinary Antarctic Laboratory's collaboration (Laboratorio Multidisciplinario Antartico en la Base Marambio - LAMBI). This station provides valuable information on electromagnetic signals and greenhouse gases related to regional tectonic activity and local perturbations associated with global climate change.</t>
  </si>
  <si>
    <t>[Manuel Solano, Juan; Alberto Vargas, Carlos] Univ Nacl Colombia, Dept Geociencias, Bogota, Colombia; [Maria Gulisano, Adriana] Univ Buenos Aires, Fac Ciencias Exactas &amp; Nat, Dept Fis, Inst Antartico Argentino,CONICET,Direcc Nacl Anta, Buenos Aires, DF, Argentina</t>
  </si>
  <si>
    <t>Universidad Nacional de Colombia; University of Buenos Aires; Instituto Antartico Argentino; Consejo Nacional de Investigaciones Cientificas y Tecnicas (CONICET)</t>
  </si>
  <si>
    <t>Solano, JM (corresponding author), Univ Nacl Colombia, Dept Geociencias, Bogota, Colombia.</t>
  </si>
  <si>
    <t>jmsolanof@unal.edu.co</t>
  </si>
  <si>
    <t>Gulisano, AM/HTQ-2717-2023</t>
  </si>
  <si>
    <t>Geosciences Department of the Universidad Nacional de Colombia (National University of Colombia)</t>
  </si>
  <si>
    <t>We are grateful to the Geophysics Group and the Geosciences Department of the Universidad Nacional de Colombia (National University of Colombia) for their support and insights. We would like to acknowledge all the help provided by the Argentinean Antarctic Institute (IAA -DNA) and the Argentinean Air Force (Fuerza Aerea Argentina -FAA) staff on Marambio Base, to Alexander Casallas and the Multidisciplinary Antarctic Laboratory (Laboratorio Multidisciplinario Antartico en la Base Marambio -LAMBI) crew: Sebastian, Hernan, Luciano, Marcelo, and now Daniel and Guillermo. Special thanks to Nury and her family for their support.</t>
  </si>
  <si>
    <t>MASARYK UNIV PRESS</t>
  </si>
  <si>
    <t>Brno</t>
  </si>
  <si>
    <t>Brno, CZECH REPUBLIC</t>
  </si>
  <si>
    <t>1805-0689</t>
  </si>
  <si>
    <t>1805-0697</t>
  </si>
  <si>
    <t>CZECH POLAR REP</t>
  </si>
  <si>
    <t>Czech Polar Rep.</t>
  </si>
  <si>
    <t>10.5817/CPR2021-1-1</t>
  </si>
  <si>
    <t>VM0RU</t>
  </si>
  <si>
    <t>WOS:000937848600001</t>
  </si>
  <si>
    <t>Kahraman, M; Halici, MG</t>
  </si>
  <si>
    <t>Kahraman, Merve; Halici, Mehmet Gokhan</t>
  </si>
  <si>
    <t>Buellia epigaea (Pers.) Tuck, a new record of lichenized fungus species for Antarctica</t>
  </si>
  <si>
    <t>Southern Hemisphere; lichens; Caliciaceae; Antarctic Peninsula; Buellia epigaea</t>
  </si>
  <si>
    <t>Buellia epigaea, a terricolous lichenized fungal species known from numerous localities in Northern Hemisphere, but only from Australia in Southern Hemisphere, is reported from Antarctica for the first time. Here we provide morphological, anatomical, and molecular characteristics (nrITS) of this species. Besides, the differences of B. epigaea with morphologically, ecologically or phylogenetically related species are discussed.</t>
  </si>
  <si>
    <t>[Kahraman, Merve; Halici, Mehmet Gokhan] Erciyes Univ, Fac Sci, Dept Biol, TR-38039 Kayseri, Turkey</t>
  </si>
  <si>
    <t>Erciyes University</t>
  </si>
  <si>
    <t>Second author thanks for Erciyes University for their financial support to make the field works in James Ross Island, Antarctica and infrastructure and facilities of J. G. Mendel Station provided during the Czech Antarctic expedition, Jan-Feb 2017. This study was financially supported by TUBITAK 118Z587 coded project.</t>
  </si>
  <si>
    <t>10.5817/CPR2021-1-2</t>
  </si>
  <si>
    <t>WOS:000937848600002</t>
  </si>
  <si>
    <t>Michailova, P; Ilkova, J; Kovalenko, P; Dzhulai, A; Kozeretska, I</t>
  </si>
  <si>
    <t>Michailova, Paraskeva; Ilkova, Julia; Kovalenko, Pavlo; Dzhulai, Artem; Kozeretska, Iryna</t>
  </si>
  <si>
    <t>Long-term retainment of some chromosomal inversions in a local population of Belgica antarctica Jacobs (Diptera, Chironomidae)</t>
  </si>
  <si>
    <t>Antarctic midge; salivary gland chromosomes; heterozygous inversion; dark band</t>
  </si>
  <si>
    <t>Genome of antarctic endemic Belgica antarctica Jacobs has been sequenced. However, no set of inversion diagnostic markers has ever been assigned for the species. Using the classical method of polytene chromosome squash preparation, we found three heterozygous inversions located on the second (two heterozygous inversions) and third chromosomes (one heterozygous inversion) in the Belgica antarctica population of a cape of Wiencke Island, 500 m to SW from Port Lockroy. The chromosome set and chromosome variability did not differ from those described in the literature (Atchley and Davis 1979). Every salivary gland chromosome had its own markers by which it can be determined. However, we did not find a sex-linked inversion on chromosome III and heterozygous inversion on chromosome I, reported in earlier studies. For the first time, we observed a strong heterochromatin band in chromosome III at the telomere of one arm. Our data show not only the stability of the described inversions in the population but also the usefulness of the squash preparation technique in the studies of genetic variability of Belgica antarctica in present time.</t>
  </si>
  <si>
    <t>[Michailova, Paraskeva; Ilkova, Julia] Bulgarian Acad Sci, Inst Biodivers &amp; Ecosyst Res, Tzar Osvoboditel B 1, Sofia, Bulgaria; [Kovalenko, Pavlo] Natl Acad Sci Ukraine, State Inst, Inst Evolutionary Ecol, Lebedeva Str 37, Kiev, Ukraine; [Dzhulai, Artem; Kozeretska, Iryna] Natl Antarctic Sci Ctr Ukraine, Taras Shevchenko B 16, Kiev, Ukraine</t>
  </si>
  <si>
    <t>Bulgarian Academy of Sciences; National Academy of Sciences Ukraine; Ministry of Education &amp; Science of Ukraine; State Institution National Antarctic Scientific Center</t>
  </si>
  <si>
    <t>Kozeretska, I (corresponding author), Natl Antarctic Sci Ctr Ukraine, Taras Shevchenko B 16, Kiev, Ukraine.</t>
  </si>
  <si>
    <t>iryna.kozeretska@gmail.com</t>
  </si>
  <si>
    <t>Kovalenko, Pavlo Andriiovych/AAZ-5679-2021; Kozeretska, Iryna A/F-1383-2010</t>
  </si>
  <si>
    <t>Kovalenko, Pavlo Andriiovych/0000-0002-9533-3080; Dzhulai, Artem/0000-0002-9756-8799</t>
  </si>
  <si>
    <t>10.5817/CPR2021-1-3</t>
  </si>
  <si>
    <t>WOS:000937848600003</t>
  </si>
  <si>
    <t>Cahová, T; Chattová, B</t>
  </si>
  <si>
    <t>Cahova, Tereza; Chattova, Barbora</t>
  </si>
  <si>
    <t>Diversity and species composition of diatom communities of Ardley Island, South Shetland Islands</t>
  </si>
  <si>
    <t>algae; Bacillariophyta; biogeography; Maritime Antarctica; species composition</t>
  </si>
  <si>
    <t>LUTICOLA TAXA BACILLARIOPHYTA; GENUS EUNOTIA BACILLARIOPHYTA; LIVINGSTON ISLAND; DECEPTION ISLAND; DISPERSAL; PENINSULA; ECOLOGY; BIOGEOGRAPHY; ENDEMISM; ALGAE</t>
  </si>
  <si>
    <t>The Antarctic diatom flora has been at the centre of interest of many studies in past decades. The present paper brings new information on the species richness, biogeography and community composition of diatoms on the Ardley Island, South Shetland Islands. One fresh-water and ten soil samples had been collected from the Antarctic Special protected area (ASPA) in the spring of 2019. The following analysis revealed eighty-six diatom taxa in well-developed communities, dominated by Luticola muticopsis, L. truncata, Pinnularia australoschoenfelderi, P. austroshetlandica and P. borealis. According to the current biogeographical knowledge, the majority of species have restricted distribution among the Antarctic Realm; 46.5% of them are reported from various islands of the Maritime Antarctic Region. Based on the dominance of species as Luticola muticopsis and L. truncata and their ecological preferences, we concluded that the species composition of the diatom communities is driven by high nutrient input from breeding seabirds and the moisture availability during the austral summer.</t>
  </si>
  <si>
    <t>[Cahova, Tereza; Chattova, Barbora] Masaryk Univ, Fac Sci, Dept Bot &amp; Zool, Kotlarska 2, Brno 61137, Czech Republic</t>
  </si>
  <si>
    <t>Cahová, T (corresponding author), Masaryk Univ, Fac Sci, Dept Bot &amp; Zool, Kotlarska 2, Brno 61137, Czech Republic.</t>
  </si>
  <si>
    <t>cahova.tereza@gmail.com</t>
  </si>
  <si>
    <t>Turkish Antarctic Program; ITU Polar Research scientific infrastructure; Ministry of Industry and Technology</t>
  </si>
  <si>
    <t>The authors would like to thank the Turkish Antarctic Program, ITU Polar Research scientific infrastructure and the crew of the Betanzos ship for their support. This study was carried under the auspices of the Presidency of Turkish Republic, supported by the Ministry of Industry and Technology, and coordinated by Istanbul Technical University (ITU) Polar Research Center (PolReC). Sincere thanks go to Bilge Tutak for issuing the scientific permit for entering the ASPA area. Korhan Ozkan is thanked for all the help in the field.</t>
  </si>
  <si>
    <t>10.5817/CPR2021-1-4</t>
  </si>
  <si>
    <t>WOS:000937848600004</t>
  </si>
  <si>
    <t>Lemenkova, P</t>
  </si>
  <si>
    <t>Lemenkova, Polina</t>
  </si>
  <si>
    <t>Dataset compilation by GRASS GIS for thematic mapping of Antarctica: Topographic surface, ice thickness, subglacial bed elevation and sediment thickness</t>
  </si>
  <si>
    <t>Antarctic; GRASS GIS; script; cartography; mapping; topography; ETOPO1; ice shelf thickness; sedimentation; geoid; geophysics</t>
  </si>
  <si>
    <t>This paper presents the GRASS GIS-based thematic mapping of Antarctica using scripting approach and associated datasets on topography and geophysics. The state-ofthe art in cartographic development points at two important aspects. The first one comprises shell scripting promoted repeatability of the GIS technique, increased automatization in cartographic workflow, and compatibility of GRASS with Python, PROJ and GDAL libraries which enables advanced geospatial data processing: converting formats, re-projecting and spatial analysis. The second aspect is that data visualization greatly influences geologic research through improving the interpretation between the Antarctic glaciation and surface. This includes the machine learning algorithms of image classification enabling to distinguish between glacier and non-glacier surfaces through automatically partitioning data and analysis of various types of surfaces. Presented detailed maps of Antarctic include visualized datasets from the ETOPO1, GlobSed, EGM96 and Bedmap2 projects. The grids include bed and surface elevation, ETOPO1-based bathymetry and topography, bed, ice and sediment thickness, grounded bed uncertainty, subglacial bed elevation, geoid undulations, ice mask grounded and shelves. Data show the distribution of the present-day glacier, geophysical fields and topographic landforms for analysis of processes and correlations between the geophysical and geological phenomena. Advances in scripting cartography are significant contributions to the geological and glaciological research. Processing high-resolution datasets of Southern Ocean retrieved by remote sensing methods present new steps in automatization of the digital mapping, as presented in this research, and promotes comprehensive monitoring of geological, permafrost and glacial processes in Antarctica. All maps have been plotted using GRASS GIS version 7.8. with technical details of scripts described and interpreted.</t>
  </si>
  <si>
    <t>[Lemenkova, Polina] Russian Acad Sci, Schmidt Inst Phys, Dept Nat Disasters Anthropogen Hazards &amp; Seismic, Lab Reg Geophys &amp; Nat Disasters 303, Bolshaya Gruzinskaya St 10,Bld 1, Moscow 123995, Russia</t>
  </si>
  <si>
    <t>Russian Academy of Sciences; Schmidt Institute of Physics of the Earth of the Russian Academy of Sciences</t>
  </si>
  <si>
    <t>Lemenkova, P (corresponding author), Russian Acad Sci, Schmidt Inst Phys, Dept Nat Disasters Anthropogen Hazards &amp; Seismic, Lab Reg Geophys &amp; Nat Disasters 303, Bolshaya Gruzinskaya St 10,Bld 1, Moscow 123995, Russia.</t>
  </si>
  <si>
    <t>pauline.lemenkova@gmail.com</t>
  </si>
  <si>
    <t>Lemenkova, Polina/R-8828-2018</t>
  </si>
  <si>
    <t>Lemenkova, Polina/0000-0002-5759-1089</t>
  </si>
  <si>
    <t>Schmidt Institute of Physics of the Earth, Russian Academy of Sciences [0144-2019-0011]</t>
  </si>
  <si>
    <t>Schmidt Institute of Physics of the Earth, Russian Academy of Sciences(Russian Academy of Sciences)</t>
  </si>
  <si>
    <t>The author expresses her gratitude to the editor and two anonymous reviewers for processing and editing the paper, providing useful comments, corrections and suggestions that improved the manuscript. This research has been implemented into the framework of the project No. 0144-2019-0011, Schmidt Institute of Physics of the Earth, Russian Academy of Sciences.</t>
  </si>
  <si>
    <t>10.5817/CPR2021-1-6</t>
  </si>
  <si>
    <t>WOS:000937848600006</t>
  </si>
  <si>
    <t>Golubev, S</t>
  </si>
  <si>
    <t>Golubev, Sergey</t>
  </si>
  <si>
    <t>Seabirds of human settlements in Antarctica: A case study of the Mirny Station</t>
  </si>
  <si>
    <t>Antarctic; Haswell Islands; avifauna; urbanisation; nunatak</t>
  </si>
  <si>
    <t>Antarctica is free of urbanisation, however, 40 year-round and 32 seasonal Antarctic stations operate there. The effects of such human settlements on Antarctic wildlife are insufficiently studied. The main aim of this study was to determine the organization of the bird population of the Mirny Station. The birds were observed on the coast of the Davis Sea in the Mirny (East Antarctica) from January 8, 2012 to January 7, 2013 and from January 9, 2015 to January 9, 2016. The observations were carried out mainly on the Radio and Komsomolsky nunataks (an area of about 0.5 km(2)). The duration of observations varied from 1 to 8 hours per day. From 1956 to 2016, 13 non-breeding bird species (orders Sphenisciformes, Procellariiformes, Charadriiformes) were recorded in the Mirny. The South polar skuas (Catharacta maccormicki) and Adelie penguins (Pygoscelis adeliae) form the basis of the bird population. South polar skuas are most frequently recorded at the station. Less common are Brown skuas (Catharacta antarctica lonnbergi) and Adelie penguins. Adelie penguins, Wilson's storm petrels (Oceanites oceanicus), South polar and Brown skuas are seasonal residents, the other species are visitors. Adelie penguins, Emperor (Aptenodytes forsteri), Macaroni (Eudyptes chrysolophus) and Chinstrap penguins (Pygoscelis antarctica), Wilson's storm petrels, South polar and Brown skuas interacted with the station environment, using it for comfortable behavior, feeding, molting, shelter from bad weather conditions, and possible breeding. South polar and Brown skuas tend to be attracted to the station, while other Antarctic bird species are indifferent to humans. Birds spend part of the annual cycle at the station or visit it with different frequency, but they cannot meet their ecological needs there all year round. The study improves our understanding of the regularities of the phenomenon of urbanization of the avifauna in the polar regions of the planet Earth.</t>
  </si>
  <si>
    <t>[Golubev, Sergey] Russian Acad Sci, Papanin Inst Biol Inland Waters, Nekouzskii Raion 152742, Yaroslavl Oblas, Russia</t>
  </si>
  <si>
    <t>Russian Academy of Sciences; Papanin Institute for Biology of Inland Waters</t>
  </si>
  <si>
    <t>Golubev, S (corresponding author), Russian Acad Sci, Papanin Inst Biol Inland Waters, Nekouzskii Raion 152742, Yaroslavl Oblas, Russia.</t>
  </si>
  <si>
    <t>gol_arctic@mail.ru</t>
  </si>
  <si>
    <t>Golubev, Sergey/AAY-1262-2021</t>
  </si>
  <si>
    <t>10.5817/CPR2021-1-8</t>
  </si>
  <si>
    <t>WOS:000937848600008</t>
  </si>
  <si>
    <t>Ivanov, B; Karandasheva, T; Demin, V; Revina, A; Sviashchennikov, P; Isaksen, K; Froland, EJ; Nordli, O; Gjelten, HM</t>
  </si>
  <si>
    <t>Ivanov, Boris; Karandasheva, Tatiana; Demin, Valery; Revina, Anastasiia; Sviashchennikov, Pavel; Isaksen, Ketil; Froland, Eirik J.; Nordli, Oyvind; Gjelten, Herdis Motroen</t>
  </si>
  <si>
    <t>Assessment of long-term changes in the surface air temperature from the High Arctic archipelago Franz Joseph Land from 1929 to the present (2017)</t>
  </si>
  <si>
    <t>High Arctic; climate series; climate changes</t>
  </si>
  <si>
    <t>Electronic archives of data from standard meteorological observations (mean daily/monthly surface air temperatures - SAT) at the meteorological stations at Bukhta Tikhaya (Hooker Island, 1929-1960) and Krenkel Observatory (Hayes Island, 1957-2017) on Franz Josef Land (FJL) are presented. Parallel data series of SAT made in 1958 and 1959 on both meteorological stations were analyzed. Linear regression equations used for extrapolation of observational data representative for Krenkel Observatory for the period 1929-1957 are also presented. The assessment of long-term changes in SAT on FJL was carried out based on the analysis of the obtained series (1929-2017). The main conclusions that follow from our study are: (1) The total warming in the FJL archipelago was 1.6-1.8 degrees C (0.2 degrees C/decade) for the entire available period of instrumental observations (1929-2017); (2) The highest rates of warming were recorded in March-April and amounted to 0.6 degrees C/decade; (3) A particular strong warming has been observed since the 1990s. The annual temperature increased by 6.3 degrees C (2.2 degrees C/decade) for the period 19902017 and 5.2 degrees C (2.9 degrees C/decade) for the period 2000-2017; (4) For the period 1990-2017 the maximum rate of warming occurred between October to February with 4.4 degrees C/decade; (5) For the period 2000-2017 the maximum rate of warming occurred between January to April and from November to December with 5.6 degrees C/decade; (6) The dominant seasons of the year are winter (November-April), spring (May), summer (June-September) and autumn (October); (7) Over the entire observation period the largest temperature increase was observed in the winter season. During the period of modern warming (1990-2017), the largest temperature increase was observed in winter and autumn.</t>
  </si>
  <si>
    <t>[Ivanov, Boris; Karandasheva, Tatiana; Revina, Anastasiia; Sviashchennikov, Pavel] Arctic &amp; Antarctic Res Inst, Bering Str 38, St Petersburg 199397, Russia; [Ivanov, Boris; Sviashchennikov, Pavel] St Petersburg State Univ, Univ Skaya Emb 7-9, St Petersburg 199034, Russia; [Demin, Valery] Polar Geophys Inst, Academgorodok St 26a, Apatity 184209, Russia; [Isaksen, Ketil; Froland, Eirik J.; Nordli, Oyvind; Gjelten, Herdis Motroen] Norwegian Meteorol Inst, Henrik Mohns Plass 1, Oslo, Norway</t>
  </si>
  <si>
    <t>Arctic &amp; Antarctic Research Institute; Saint Petersburg State University; Russian Academy of Sciences; Polar Geophysical Institute; Norwegian Meteorological Institute</t>
  </si>
  <si>
    <t>Ivanov, B (corresponding author), Arctic &amp; Antarctic Res Inst, Bering Str 38, St Petersburg 199397, Russia.;Ivanov, B (corresponding author), St Petersburg State Univ, Univ Skaya Emb 7-9, St Petersburg 199034, Russia.</t>
  </si>
  <si>
    <t>b_ivanov@aari.ru</t>
  </si>
  <si>
    <t>Revina, Anastasiia/J-6432-2015; Isaksen, Ketil/C-6493-2011</t>
  </si>
  <si>
    <t>Isaksen, Ketil/0000-0003-2356-5330</t>
  </si>
  <si>
    <t>Russian-Norwegian Agreement in area of analysis of climate and sea ice data in the North part of Barents Sea (2019-2020) - Ministry of Climate and Environment in Norway [RUS-19/0001]</t>
  </si>
  <si>
    <t>Russian-Norwegian Agreement in area of analysis of climate and sea ice data in the North part of Barents Sea (2019-2020) - Ministry of Climate and Environment in Norway</t>
  </si>
  <si>
    <t>This work was carried out in accordance with the Roshydromet project Monitoring of the state and pollution of the environment, including the cryosphere, in the Arctic basin and in the areas of the research base Ice Base Cape Baranova, Tiksi Hydrometeorological Observatory and the Russian Science Center at Svalbard Archipelago and the Polar Geophysical Institute (Apatity) project Carrying out stationary observations of magnetic and optical phenomena on the Spitsbergen archipelago, study of geophysical processes in the high-latitude atmosphere of the Earth. We are extremely grateful to the Norwegian Meteorological Institute because these studies were supported by Russian-Norwegian Agreement in area of analysis of climate and sea ice data in the North part of Barents Sea (2019-2020), financed by the Ministry of Climate and Environment in Norway (RUS-19/0001).</t>
  </si>
  <si>
    <t>10.5817/CPR2021-1-9</t>
  </si>
  <si>
    <t>WOS:000937848600009</t>
  </si>
  <si>
    <t>Podolich, O; Prekrasna, I; Parnikoza, I; Voznyuk, T; Zubova, G; Zaets, I; Miryuta, N; Myryuta, G; Poronnik, O; Kozeretska, I; Kunakh, V; Pirttila, AM; Dykyi, E; Kozyrovska, N</t>
  </si>
  <si>
    <t>Podolich, Olga; Prekrasna, Ievgeniia; Parnikoza, Ivan; Voznyuk, Tamara; Zubova, Ganna; Zaets, Iryna; Miryuta, Natalia; Myryuta, Ganna; Poronnik, Oksana; Kozeretska, Iryna; Kunakh, Viktor; Pirttila, Anna Maria; Dykyi, Evgen; Kozyrovska, Natalia</t>
  </si>
  <si>
    <t>First record of the endophytic bacteria of Deschampsia antarctica E. Desv. from two distant localities of the maritime Antarctic</t>
  </si>
  <si>
    <t>endophytic bacteria; Antarctic hairgrass; Antarctica; plant growth promotion</t>
  </si>
  <si>
    <t>RICE ROOTS; PLANTS; DIVERSITY; STRAIN; PHYLOGENIES; ADAPTATION; INFECTION; BACILLUS; PRIMERS; LEAVES</t>
  </si>
  <si>
    <t>Endophytic bacteria, recognized for their beneficial effects on plant development and adaptation, can facilitate the survival of Antarctic plants in severe environments. Here we studied endophytes of the vascular plant Deschampsia antarctica E. Desv. from two distantly located regions in the maritime Antarctic: King George Island (South Shetland Islands) and Galindez Island (Argentine Islands). Bacterial group-specific PCR indicated presence of Alphaproteobacteria, Betaproteobacteria, Gammaproteobacteria, Firmicutes, Cytophaga-Flavobacteria and Actinobacteria in root and leaf endosphere of D. antarctica sampled at four distinct sites of both locations. The diversity of endophytic bacteria was significantly higher in the leaves compared to the roots in plants from Galindez Island. Similarly, the diversity of endophytes was higher in the leaves rather than roots of plants from the King George Island. Twelve bacterial species were isolated from roots of D. antarctica of Galindez Island (the Karpaty Ridge and the Meteo Point) and identified by sequencing the 16S rRNA gene. Isolates were dominated by the Pseudomonas genus, followed by the genera Bacillus and Micrococcus. The vast majority of the isolates exhibited cellulase and pectinase activities, however, Bacillus spp. expressed neither of them, suggesting lack of genetic flow of these traits in endophytic bacilli in the maritime Antarctic. Pseudomonas sp. IMBG305 promoted an increase in the leaf number in most of the treated plant genotypes when compared with noninoculated plants, and a rapid vegetation period of D. antarctica cultured in vitro, albeit the length of leaves in the treated plants was significantly lower, and flavonoid content leveled off in all treated plants. D. antarctica is known to develop diverse ecotypes with regard to ecological conditions, such as organic input, moisture or wind exposition. The D. antarctica phenotype could be extended further through the endophyte colonization, since phenotypic changes were observed in the inoculated D. antarctica plants grown in vitro in our study. Herewith, endophytes can contribute to plant phenotypic plasticity, potentially beneficial for adaptation of D. antarctica.</t>
  </si>
  <si>
    <t>[Podolich, Olga; Parnikoza, Ivan; Voznyuk, Tamara; Zubova, Ganna; Zaets, Iryna; Miryuta, Natalia; Myryuta, Ganna; Poronnik, Oksana; Kunakh, Viktor; Kozyrovska, Natalia] Natl Acad Sci Ukraine, Inst Mol Biol &amp; Genet, Zabolotnogo Str 150, UA-03680 Kiev, Ukraine; [Prekrasna, Ievgeniia; Parnikoza, Ivan; Miryuta, Natalia; Myryuta, Ganna; Poronnik, Oksana; Kozeretska, Iryna; Dykyi, Evgen] Minist Educ &amp; Sci Ukraine, State Inst Natl Antarctic Sci Ctr, Shevchenko Ave 16, UA-01601 Kiev, Ukraine; [Parnikoza, Ivan] Natl Univ Kyiv Mohyla Acad, Hryhoriya Skovorody St 2, UA-04655 Kiev, Ukraine; [Pirttila, Anna Maria] Univ Oulu, Dept Ecol &amp; Genet, FIN-90014 Oulu, Finland</t>
  </si>
  <si>
    <t>National Academy of Sciences Ukraine; Institute of Molecular Biology &amp; Genetics of NASU; Ministry of Education &amp; Science of Ukraine; State Institution National Antarctic Scientific Center; Ministry of Education &amp; Science of Ukraine; National University of Kyiv Mohyla Academy; University of Oulu</t>
  </si>
  <si>
    <t>Prekrasna, I (corresponding author), Minist Educ &amp; Sci Ukraine, State Inst Natl Antarctic Sci Ctr, Shevchenko Ave 16, UA-01601 Kiev, Ukraine.</t>
  </si>
  <si>
    <t>preckrasna@gmail.com</t>
  </si>
  <si>
    <t>Kozeretska, Iryna A/F-1383-2010; Poronnik, Oksana/HJI-1907-2023; Kozyrovska, Natalia O./P-1635-2017</t>
  </si>
  <si>
    <t>Zaets, Iryna/0000-0001-9092-241X; Zubova, Ganna/0000-0002-0514-2695; Kozyrovska, Natalia/0000-0002-2849-3471; Prekrasna, Ievgeniia/0000-0001-8139-4395</t>
  </si>
  <si>
    <t>10.5817/CPR2021-1-10</t>
  </si>
  <si>
    <t>WOS:000937848600010</t>
  </si>
  <si>
    <t>Sharma, S; Sutar, RR; Parida, A; Bast, F</t>
  </si>
  <si>
    <t>Sharma, Sheetal; Sutar, Rashmi Ranjan; Parida, Aseema; Bast, Felix</t>
  </si>
  <si>
    <t>DNA Barcoding and ITS-tufA multi-local molecular phylogeny of nitrophilic alga Prasiola crispa growing on penguin guano at Larsemann Hills, Eastern Antarctica</t>
  </si>
  <si>
    <t>molecular phylogeny; taxonomy; Polar region; tufA; ITS; green algae</t>
  </si>
  <si>
    <t>SPECIES BOUNDARIES; TREBOUXIOPHYCEAE; CHLOROPHYTA; DIVERSITY; MARINE; GENE</t>
  </si>
  <si>
    <t>Antarctica is the coldest and driest continent globally and has always been an exciting habitat to study extremophiles. The study reveals a monostromatic nitrophilic green alga Prasiola crispa (Trebouxiophyceae) growing on Adelie penguin guano at a penguin rockery, Larsemann Hills, Eastern Antarctica. This study is the first report of the barcode of this algal genus from Eastern Antarctica in general and the Larsemann Hills in particular. There are 35 species currently accepted in this genus, while four were reported from Antarctica. The present study relied on morphological diagnoses as well as the phylogenetic inference based on nuclear-encoded ITS gene and plastid-encoded tufA gene for species identification. The study generated phylogenetic reconstruction at the two selected loci for the first time for this species from Antarctica.</t>
  </si>
  <si>
    <t>[Sharma, Sheetal; Sutar, Rashmi Ranjan; Parida, Aseema; Bast, Felix] Cent Univ Punjab, Dept Bot, Bathinda 151401, Punjab, India</t>
  </si>
  <si>
    <t>Central University of Punjab</t>
  </si>
  <si>
    <t>Bast, F (corresponding author), Cent Univ Punjab, Dept Bot, Bathinda 151401, Punjab, India.</t>
  </si>
  <si>
    <t>felix.bast@gmail.com</t>
  </si>
  <si>
    <t>Indian Antarctic Mission [2016-17]; DST-SERB Core Research Grant [CRG/2019/005499]</t>
  </si>
  <si>
    <t>Indian Antarctic Mission; DST-SERB Core Research Grant</t>
  </si>
  <si>
    <t>This research was supported by Indian Antarctic Mission 2016-17. The study is also supported by DST-SERB Core Research Grant (CRG/2019/005499).</t>
  </si>
  <si>
    <t>10.5817/CPR2021-2-13</t>
  </si>
  <si>
    <t>VM0RV</t>
  </si>
  <si>
    <t>WOS:000937851900001</t>
  </si>
  <si>
    <t>Sroková, S; Nyvlt, D</t>
  </si>
  <si>
    <t>Srokova, Simona; Nyvlt, Daniel</t>
  </si>
  <si>
    <t>Bedload geochemical and petrophysical signature of the Algal and Bohemian streams, James Ross Island, Antarctic Peninsula</t>
  </si>
  <si>
    <t>proglacial stream; fluvial sediments; suspended load; bedrock lithology; icefree Antarctic environment</t>
  </si>
  <si>
    <t>ICE SHELVES; DYNAMICS; HISTORY; AREAL</t>
  </si>
  <si>
    <t>This study presents the first geochemical and petrophysical data on the composition of the bedload sediments transported by the Algal and Bohemian Stream, and the latter's prominent tributary: the Dirty Stream. The catchments of these rivers are partially glacierised, with only 2% and 6% ice cover in the Algal and Bohemian stream catchments, respectively. Therefore, the primary sources of liquid water to these rivers are snowmelt and active layer thawing. This study shows that the Cretaceous marine sedimentary rocks deposited in the back-arc James Ross Basin, which underlies the studied rivers, represent the main constituent of fluvial bedload. This is in contrast to suspended sediment loads, whose composition is a mixture of volcanic rocks from the surrounding James Ross Island Volcanic Group. This also suggests that bedload is only transported for a distance of few hundreds of metres, while suspended sediment load is transported throughout the Algal and Bohemian streams to the sea. It is anticipated that this work will serve as the source of data for further studies from fluvial geomorphology to river ecology.</t>
  </si>
  <si>
    <t>[Srokova, Simona; Nyvlt, Daniel] Masaryk Univ, Fac Sci, Dept Geog, Polar Geolab, Kotlarska 2, Brno, Czech Republic</t>
  </si>
  <si>
    <t>Nyvlt, D (corresponding author), Masaryk Univ, Fac Sci, Dept Geog, Polar Geolab, Kotlarska 2, Brno, Czech Republic.</t>
  </si>
  <si>
    <t>daniel.nyvlt@sci.muni.cz</t>
  </si>
  <si>
    <t>Nyvlt, Daniel/D-5708-2011</t>
  </si>
  <si>
    <t>Nyvlt, Daniel/0000-0002-6876-490X</t>
  </si>
  <si>
    <t>Ministry of Education, Youth and Sports of the Czech Republic [LM2015078]; ECOPOLARIS [CZ.02.1.01/0.0/0.0/16_013/0001708]</t>
  </si>
  <si>
    <t>Ministry of Education, Youth and Sports of the Czech Republic(Ministry of Education, Youth &amp; Sports - Czech Republic); ECOPOLARIS</t>
  </si>
  <si>
    <t>This study was presented and successfully defended by SS as a BSc. thesis under the supervision of DN in 2019. The authors would like to thank the Czech Antarctic Research Programme and its crew for providing data and support during the austral summer of 2017 when the samples were collected by DN. This research was supported by Ministry of Education, Youth and Sports of the Czech Republic projects: Czech Polar Research Infrastructure project (LM2015078) and ECOPOLARIS (CZ.02.1.01/0.0/0.0/16_013/0001708). We appreciate the proofreading and further suggestions provided by Chris Stringer and the journal reviewers.</t>
  </si>
  <si>
    <t>10.5817/CPR2021-2-14</t>
  </si>
  <si>
    <t>WOS:000937851900002</t>
  </si>
  <si>
    <t>Polyakov, V; Abakumov, E; Tembotov, R; Mavludov, B</t>
  </si>
  <si>
    <t>Polyakov, Vyacheslav; Abakumov, Evgeny; Tembotov, Rustam; Mavludov, Bulat</t>
  </si>
  <si>
    <t>Evaluation of stabilization rate of high and low molecular organic matter in cryoconite holes from the Arctic, Antarctic and Caucasus mountain ecosystems by 13C-NMR spectroscopy</t>
  </si>
  <si>
    <t>black carbon; cryoconite; deglaciation; polar region; C-13-NMR spectroscopy</t>
  </si>
  <si>
    <t>Cryoconite holes are considered as a place of accumulation of organomineral matter, including black carbon. It is formed as a result of incomplete combustion of carboncontaining fragments of natural and anthropogenic origin. Such material is transported by the wind and participates in the formation of cryoconite on the ice surface. The accumulation of organic matter in cryoconite can significantly affect the climate of our planet. To assess the processes of resistance to biodegradation of organic matter in cryoconite, molecular methods of analysis were used. This work presents the qualitative and quantitative evaluation of composition of humic acids, formed in selected cryoconite holes of various geographical regions. To identify them, the C-13-NMR spectroscopy method was used, which makes it possible to reveal trends in the accumulation of specific structural fragments and the rate of stabilization of cryoconite organic matter. The analysis of the elemental composition revealed that the most condensed macromolecules of humic acids accumulate in cryoconite holes on Mount Elbrus. In the molecules of humic acids, the accumulation of aliphatic structural fragments up to 71-73% occurs to a greater extent, while the composition of the aliphatic fragments depended on local precursors of humification. In the Arctic and Antarctic ecosystems, humic acids with relatively homogeneous composition are formed. These ecosystems are characterized by the domination of moss-lichen communities, which are characterized by a predominance of lipids and carbohydrates in the chemical composition. Black carbon is an important part of the planetary carbon cycle. Under the conditions of active deglaciation, cryoconite material can enter the periglacial zone, and under the action of soil microorganisms, it can become an additional source of greenhouse gases in the atmosphere.</t>
  </si>
  <si>
    <t>[Polyakov, Vyacheslav; Abakumov, Evgeny] St Petersburg State Univ, Dept Appl Ecol, Fac Biol, 16th Line VO 29 St, St Petersburg 199178, Russia; [Tembotov, Rustam] Russian Acad Sci IEMT RAS, Fed State Budget Sci Estab Tembotov Inst Ecol Mt, Lab Soil &amp; Ecol Res, 1 Armand St,37-A, Nalchik 360051, Russia; [Mavludov, Bulat] Russian Acad Sci, Inst Geog, Staromonetnyy Pereulok 29, Moscow 119017, Russia</t>
  </si>
  <si>
    <t>Saint Petersburg State University; Institute of Geography, Russian Academy of Sciences; Russian Academy of Sciences</t>
  </si>
  <si>
    <t>Polyakov, V (corresponding author), St Petersburg State Univ, Dept Appl Ecol, Fac Biol, 16th Line VO 29 St, St Petersburg 199178, Russia.</t>
  </si>
  <si>
    <t>slavon6985@gmail.com</t>
  </si>
  <si>
    <t>Abakumov, Evgeny/AAO-8580-2020; Abakumov, e_abakumov@mail.ru/ADJ-1297-2022; Polyakov, Vyacheslav/H-5483-2016</t>
  </si>
  <si>
    <t>Abakumov, Evgeny/0000-0002-5248-9018; Abakumov, e_abakumov@mail.ru/0000-0002-5248-9018;</t>
  </si>
  <si>
    <t>Russian Foundation for Basic Reasearch [19-05-50107]</t>
  </si>
  <si>
    <t>Russian Foundation for Basic Reasearch(Russian Foundation for Basic Research (RFBR))</t>
  </si>
  <si>
    <t>We would like to express our gratitude to Dmitry Bolshiyanov for his help in the selection and delivery of cryoconite to St. Petersburg, as well as his help in interpreting the data regarding the genesis of cryoconite. This work was supported by Russian Foundation for Basic Reasearch, project No 19-05-50107.</t>
  </si>
  <si>
    <t>10.5817/CPR2021-2-15</t>
  </si>
  <si>
    <t>WOS:000937851900003</t>
  </si>
  <si>
    <t>Snopková, K; Dufková, K; Smajs, D</t>
  </si>
  <si>
    <t>Snopkova, Katerina; Dufkova, Kristyna; Smajs, David</t>
  </si>
  <si>
    <t>Pseudomonas prosekii isolated in Antarctica inhibits plantpathogenic strains of Pseudomonas viridiflava and Pseudomonas fluorescens</t>
  </si>
  <si>
    <t>pyocin; Pseudomonas; phytopathogen; tailocin; antimicrobial agents; James Ross Island</t>
  </si>
  <si>
    <t>Pseudomonas-caused plant diseases are present worldwide and affect most of the major lineages of higher plants which, as a consequence, may result in significant economic losses. Despite the use of bacteriocins produced by rhizosphere and soil bacteria has been nowadays considered as novel crop protection approach, antagonistic interactions of cold-adapted isolates toward agriculturally important phytopathogenic bacteria have not been studied yet. In this study, we tested inhibition activity of Antarctic Pseudomonas spp. against phytopathogenic pseudomonads. Four Antarctic stains (P. prosekii CCM 8878, CCM 8879, and CCM 8881 and Pseudomonas sp. CCM 8880) inhibited several phytopathogenic strains of P. viridiflava and P. fluorescens. Based on inhibition zone character and previous genome research we suggest that L-pyocin activity was responsible for this effect against P. viridiflava strains and that tailocin inhibited P. fluorescens isolate.</t>
  </si>
  <si>
    <t>[Snopkova, Katerina; Dufkova, Kristyna; Smajs, David] Masaryk Univ, Fac Med, Dept Biol, Kamenice 753-5, Brno 62500, Czech Republic; [Snopkova, Katerina] Masaryk Univ, Fac Med, Inst Microbiol, Pekarska 664-53, Brno 65691, Czech Republic; [Snopkova, Katerina] St Annes Univ Hosp Brno, Pekarska 664-53, Brno 65691, Czech Republic</t>
  </si>
  <si>
    <t>Masaryk University Brno; Masaryk University Brno; St Anne's University Hospital Brno (FNUSA-ICRC)</t>
  </si>
  <si>
    <t>Smajs, D (corresponding author), Masaryk Univ, Fac Med, Dept Biol, Kamenice 753-5, Brno 62500, Czech Republic.</t>
  </si>
  <si>
    <t>dsmajs@med.muni.cz</t>
  </si>
  <si>
    <t>Snopkova, Katerina/AGF-0056-2022</t>
  </si>
  <si>
    <t>Snopkova, Katerina/0000-0001-5067-2022</t>
  </si>
  <si>
    <t>MEYS CR [LM2015078]</t>
  </si>
  <si>
    <t>MEYS CR</t>
  </si>
  <si>
    <t>The authors thank to the Collection of Phytopathogenic Bacteria, Prague, Czech Republic for providing the phytopathogenic strains. Further, we thank to the scientific infrastructure of the J. G. Mendel Czech Antarctic Station (supported by the MEYS CR, Project LM2015078 CzechPolar2).</t>
  </si>
  <si>
    <t>10.5817/CPR2021-2-18</t>
  </si>
  <si>
    <t>WOS:000937851900006</t>
  </si>
  <si>
    <t>Orgeira, JL; Alvarez, F; Salvó, CS</t>
  </si>
  <si>
    <t>Orgeira, Jose Luis; Alvarez, Facundo; Salvo, Constanza Sofia</t>
  </si>
  <si>
    <t>The same pathway to the Weddell Sea birdlife, after 65 years: Similarities in the species composition, richness and abundances</t>
  </si>
  <si>
    <t>birdlife; Antarctica; ice cover; Antarctic petrel; Filchner ice shelf; warming</t>
  </si>
  <si>
    <t>As part of a multi-year study of top predators in Antarctica, we conducted a seabird shipbased survey on board Almirante Irizar icebreaker in the Weddell Sea to the Filchner Ice Shelf in the austral summer 2020. We carried out 10-minute counts along 1843 km during 125 hours of observation. We analyzed the species distributions and the relationships with the ice cover. We registered 15 species of which four represented more than 85% of the total abundance: Antarctic petrel Thalassoica antarctica (43.9%), snow petrel Pagodroma nivea (16.3%), Arctic tern Sterna paradisaea (15.2%) and emperor penguin Aptenodytes forsteri (10.1%). Species distribution and its relationship with ice cover were analyzed statistically. The ice cover concentration was estimated by using satellite images. We compared our results with the first ship-based bird survey conducted up to the Filchner Ice Shelf in the austral summer 1955/56 to analyze possible changes in the bird community over time. Out of 13 recorded species in the 1955/56 cruise, 11 were present in this study with similar abundance proportions. In both cruises, the bird community consisted of a group of non-numerous species associated with icefree waters and another group of very numerous species associated with high concentrations on ice cover. The similarities between the two cruises, spaced 65 years apart, suggest a temporal persistence of the bird community of the central and the southern Weddell Sea that could be explained by the dynamics of the ice cover and the presence of reproductive colonies within the study site. The current environmental warming is alarming in this bird community because more than 85% of all its individuals belong to four species strongly dependent on ice cover.</t>
  </si>
  <si>
    <t>[Orgeira, Jose Luis] Inst Antartico Argentino, Dept Biol Predadores Tope, Buenos Aires, DF, Argentina; [Alvarez, Facundo] Univ Estado Mato Grosso, Programa Posgrad Ecol &amp; Conservacao, Campus Nova Xavantina, Caceres, Brazil; [Salvo, Constanza Sofia] Serv Hidrog Naval, Dept Meteorol, Buenos Aires, DF, Argentina</t>
  </si>
  <si>
    <t>Instituto Antartico Argentino; Universidade do Estado de Mato Grosso; Servicio de Hidrografia Naval</t>
  </si>
  <si>
    <t>Orgeira, JL (corresponding author), Inst Antartico Argentino, Dept Biol Predadores Tope, Buenos Aires, DF, Argentina.</t>
  </si>
  <si>
    <t>jlorgeira@dna.gov.ar</t>
  </si>
  <si>
    <t>Alvarez, Facundo/0000-0002-7095-9570</t>
  </si>
  <si>
    <t>''Coordenacao de Aperfeicoamento de Pessoal de Nivel Superior-Brazil (CAPES) [001]; Instituto Antartico Argentino</t>
  </si>
  <si>
    <t>''Coordenacao de Aperfeicoamento de Pessoal de Nivel Superior-Brazil (CAPES)(Coordenacao de Aperfeicoamento de Pessoal de Nivel Superior (CAPES)); Instituto Antartico Argentino</t>
  </si>
  <si>
    <t>The authors are grateful to the crew of the Icebreaker Almirante Irizar (Armada Argentina) for their assistance provided during the Surveys and to the seabird observers Yohana Jimenez and Juan Cruz Gonzalez. We also want to thank Sara Miranda Almeida for contributions to the development of the NMDS, Diego Montalti and the anonymous reviewers for their collaboration in improving the manuscript. The second author thanks the Coordenacao de Aperfeicoamento de Pessoal de Nivel Superior-Brazil (CAPES) -Finance Code 001 for allowing work to be carried out onboard Almirante Irizar icebreaker. This work was carried out with logistic and financial support from Instituto Antartico Argentino.</t>
  </si>
  <si>
    <t>10.5817/CPR2021-2-20</t>
  </si>
  <si>
    <t>WOS:000937851900008</t>
  </si>
  <si>
    <t>Abakumov, E; Lupachev, A; Yaneva, R; Zhiyanski, M</t>
  </si>
  <si>
    <t>Abakumov, Evgeny; Lupachev, Alexey; Yaneva, Rositsa; Zhiyanski, Miglena</t>
  </si>
  <si>
    <t>Micromorphological structure of maritime antarctic cryosols (King-George and Livingston Islands, West Antarctica)</t>
  </si>
  <si>
    <t>Antarctica; soils; micromorphology; origin</t>
  </si>
  <si>
    <t>Cryosols of the Antarctic maritime area are much different from the continental ones. The relatively moderate climate conditions in Maritime Antarctica and a strong interaction between the biotic and abiotic environment are drivers for more intensive soil formation processes than in the continental regions. Soil formation studies from the Maritime Antarctica are, however, rather rare. Therefore, micromorphological investigations on polar soils can contribute to more comprehensive information on soil genesis in Antarctica. In this study, we applied the micromorphological study of thin sections from soil micromonoliths to assess the intensity and trends of the pedogenic processes in selected soils from two adjacent islands of the South-Shetland archipelago: King George Island and Livingston Island. The results obtained show that regional lithology and the origin of the incoming organic matter mainly determine the micromorphological structure of the local soils. Soil matrix micromorphological properties and features (mineralogical content, weathering stage and even partly grain-size distribution) are mainly defined by pyroclastic particles due to recent and ancient volcanic eruptions. The presence of rounded grains and aggregated mineral particles is the evidence of marine origin of the sediments. Ornithogenic soils show the clear evidence of the organic plasma formation and mineral particles aggregation via the zoogenic organic substances provided by penguins which is a unique specifics of the maritime Antarctic soils.</t>
  </si>
  <si>
    <t>[Abakumov, Evgeny] St Petersburg State Univ, 7-9 Univ Embankment, St Petersburg 199034, Russia; [Lupachev, Alexey] Russian Acad Sci, Inst Physicochem &amp; Biol Problems Soil Sci, 2-2 Inst Skaya St, Pushchino 142290, Russia; [Yaneva, Rositsa; Zhiyanski, Miglena] Bulgarian Acad Sci, Forest Res Inst, 132 Kl Ohridski Blvd, Sofia 1756, Bulgaria</t>
  </si>
  <si>
    <t>Saint Petersburg State University; Russian Academy of Sciences; Pushchino Scientific Center for Biological Research (PSCBI) of the Russian Academy of Sciences; Institute of Physicohemical &amp; Biological Problems of Soil Science; Bulgarian Academy of Sciences; Forest Research Institute, Bulgaria</t>
  </si>
  <si>
    <t>Abakumov, E (corresponding author), St Petersburg State Univ, 7-9 Univ Embankment, St Petersburg 199034, Russia.</t>
  </si>
  <si>
    <t>e_abakumov@mail.ru</t>
  </si>
  <si>
    <t>Abakumov, Evgeny/AAO-8580-2020; Abakumov, e_abakumov@mail.ru/ADJ-1297-2022</t>
  </si>
  <si>
    <t>Abakumov, Evgeny/0000-0002-5248-9018; Abakumov, e_abakumov@mail.ru/0000-0002-5248-9018</t>
  </si>
  <si>
    <t>Russian Foundation for Basic Research [19-05-50107]; Saint Petersburg State University Internal Grant for the Modernization of Scientific Equipment [1.40.541.2017]; National Science Fund, Ministry of Education and Science [KP 06-Russia-29/28.09.2019 RFB bolg-a-19-54-18003]</t>
  </si>
  <si>
    <t>Russian Foundation for Basic Research(Russian Foundation for Basic Research (RFBR)Spanish Government); Saint Petersburg State University Internal Grant for the Modernization of Scientific Equipment; National Science Fund, Ministry of Education and Science</t>
  </si>
  <si>
    <t>This work was supported by Russian Foundation for Basic Research, project No 19-05-50107 and Saint Petersburg State University Internal Grant for the Modernization of Scientific Equipment No. 1.40.541.2017. The participation in the 28th BAE was realized within the scope of the bilateral project Assessment of the regional contribution of soils of maritime antarctica islands to global carbon balance with evaluation of stabilization and humification rate of organic matter (contract No. KP 06-Russia-29/28.09.2019 RFB bolg-a-19-54-18003) at the National Science Fund, Ministry of Education and Science. The development of the projects would not be possible without the collaboration with the National Center for Polar Studies -Sofia University St. Kliment Ohridski (and Bulgarian Antarctic Institute) and the logistical support during the 28th Bulgarian Antarctic Expedition. Authors thank Ivan Alekseev for assistance in field works on King-George Island. Authors thank Christo Pimpirev and Dragomir Matveev for their help in field research.</t>
  </si>
  <si>
    <t>10.5817/CPR2021-2-22</t>
  </si>
  <si>
    <t>WOS:000937851900010</t>
  </si>
  <si>
    <t>Martins, YAT; Moraes, MM; Mendes, TT; Maluf, CB; Ladeira, RVP; Wanner, SP; Soares, DD; Arantes, RME</t>
  </si>
  <si>
    <t>Tinoco Martins, Ygor Antonio; Moraes, Michele Macedo; Mendes, Thiago Teixeira; Maluf, Chams Bicalho; Puglia Ladeira, Roberto Vagner; Wanner, Samuel Penna; Soares, Danusa Dias; Esteves Arantes, Rosa Maria</t>
  </si>
  <si>
    <t>An exploratory study of short-term camping in Antarctica: Hormonal and mood states changes</t>
  </si>
  <si>
    <t>confinement; isolation; expedition; neuroendocrine; polar; stress</t>
  </si>
  <si>
    <t>THYROID-HORMONE; SALIVARY CORTISOL; HPA AXIS; RESPONSES; POLAR; TESTOSTERONE; COLD; EXERCISE; THYROTROPIN; METABOLISM</t>
  </si>
  <si>
    <t>Long-term Antarctic expedition's studies indicated harmful or positive behavioral and psychophysiological adaptive changes that arise from adversities in isolated, confined, and extreme environments. Whereas most of the published studies focused on overwintering situations, most Brazilian Antarctic Program summer expeditions consist of short-term stays. We evaluated the influence of a permanence in Antarctic short-term (13-day) summer camp on the hormonal responses and mood states in eight volunteers. Data collection was carried out at the beginning (initial measure, days 3 to 5) and the end (final measurement, days 10 to 12) of the camping. Morning and evening samples of saliva were obtained to measure the testosterone and cortisol concentrations. Morning blood drops were used to determine thyroid-stimulating hormone (TSH) and thyroxine (T4) concentration. The volunteers also answered a mood states questionnaire. During the short-term camp, T4 (3.92 +/- 0.75 vs 2.21 +/- 0.71 mu g.dL(-1)) and T4/TSH (3.16 +/- 0.97 vs 1.79 +/- 0.74 AU) reduced, without concomitant changes in TSH (1.28 +/- 0.17 vs 1.30 +/- 0.09 mu U.mL(-1)), and salivary cortisol increased (2,392 +/- 1,153 vs 4,440 +/- 1,941 pg.mL(-1)) resulting in greater cortisol amplitude (calculated from the difference between morning and evening measurement, 1,400 +/- 1,442 vs 3,230 +/- 2,046). In men, testosterone increased as well (26.2 +/- 12.5 vs 67.8 +/- 45.8, all differences with P&lt;0.05). There was a moderate effect in mood states evidenced by increased anger and fatigue, and reduced vigor. At the end of the camp, the change in cortisol correlated with anger, and the final cortisol values with anger and tension. We concluded that staying in a short-term summer camp in Antarctica induced endocrine and mood state changes, indicators of stress reaction.</t>
  </si>
  <si>
    <t>[Tinoco Martins, Ygor Antonio; Wanner, Samuel Penna; Soares, Danusa Dias] Univ Fed Minas Gerais, Sch Phys Educ Physiotherapy &amp; Occupat Therapy, Exercise Physiol Lab, Belo Horizonte, MG, Brazil; [Moraes, Michele Macedo; Esteves Arantes, Rosa Maria] Univ Fed Minas Gerais, Inst Biol Sci, Dept Pathol, Belo Horizonte, MG, Brazil; [Moraes, Michele Macedo; Puglia Ladeira, Roberto Vagner; Esteves Arantes, Rosa Maria] Univ Fed Minas Gerais, Fac Med, Ctr Newborn Screening &amp; Genet Diag, Nucl Acoes &amp; Pesquisa Apoio Diagnost,Fac Med UFMG, Belo Horizonte, MG, Brazil; [Mendes, Thiago Teixeira] Univ Fed Maranhao, Ctr Nat &amp; Human Sci Hlth &amp; Technol, Pinheiro, MA, Brazil; [Maluf, Chams Bicalho] Univ Fed Minas Gerais, Fac Med, Dept Clin Pathol, Belo Horizonte, MG, Brazil</t>
  </si>
  <si>
    <t>Universidade Federal de Minas Gerais; Universidade Federal de Minas Gerais; Universidade Federal de Minas Gerais; Universidade Federal do Maranhao; Universidade Federal de Minas Gerais</t>
  </si>
  <si>
    <t>Arantes, RME (corresponding author), Univ Fed Minas Gerais, Inst Biol Sci, Dept Pathol, Belo Horizonte, MG, Brazil.;Arantes, RME (corresponding author), Univ Fed Minas Gerais, Fac Med, Ctr Newborn Screening &amp; Genet Diag, Nucl Acoes &amp; Pesquisa Apoio Diagnost,Fac Med UFMG, Belo Horizonte, MG, Brazil.</t>
  </si>
  <si>
    <t>rosa@icb.ufmg.br</t>
  </si>
  <si>
    <t>Wanner, Samuel P./F-9654-2012; Arantes, Rosa ME/C-5749-2013; MORAES, MICHELE/W-4042-2019; Mendes, Thiago/H-6000-2012</t>
  </si>
  <si>
    <t>Wanner, Samuel P./0000-0002-4659-1032; MORAES, MICHELE/0000-0003-4707-6099; Mendes, Thiago/0000-0003-1644-4020</t>
  </si>
  <si>
    <t>CNPq/MCTIC/CAPES/FNDCT/PROANTAR [442645/2018-0]; Fundacao de Amparo a Pesquisa do Estado de Minas Gerais (FAPEMIG) [AEC00017-18, CDS-PPM 000304/16, CBB-APQ-01419-14]; Pro-Reitoria de Pesquisa da Universidade Federal de Minas Gerais (PRPq UFMG); Conselho Nacional de Desenvolvimento Cientifico e Tecnologico (CNPq) [311976/2021-2]; Coordenacao de Aperfeicoamento de Pessoal de Nivel Superior -Brasil (CAPES) [001]; CAPES/BRASIL [88887.321687/2019-00]; FAPEMIG master's fellowship</t>
  </si>
  <si>
    <t>CNPq/MCTIC/CAPES/FNDCT/PROANTAR; Fundacao de Amparo a Pesquisa do Estado de Minas Gerais (FAPEMIG)(Fundacao de Amparo a Pesquisa do Estado de Minas Gerais (FAPEMIG)); Pro-Reitoria de Pesquisa da Universidade Federal de Minas Gerais (PRPq UFMG); Conselho Nacional de Desenvolvimento Cientifico e Tecnologico (CNPq)(Conselho Nacional de Desenvolvimento Cientifico e Tecnologico (CNPQ)); Coordenacao de Aperfeicoamento de Pessoal de Nivel Superior -Brasil (CAPES)(Coordenacao de Aperfeicoamento de Pessoal de Nivel Superior (CAPES)); CAPES/BRASIL(Coordenacao de Aperfeicoamento de Pessoal de Nivel Superior (CAPES)); FAPEMIG master's fellowship</t>
  </si>
  <si>
    <t>This study was supported by CNPq/MCTIC/CAPES/FNDCT/PROANTAR [grant 442645/2018-0]; Fundacao de Amparo a Pesquisa do Estado de Minas Gerais (FAPEMIG) [grants AEC00017-18; CDS-PPM 000304/16; CBB-APQ-01419-14] and Pro-Reitoria de Pesquisa da Universidade Federal de Minas Gerais (PRPq UFMG). RMEA received research fellowship from Conselho Nacional de Desenvolvimento Cientifico e Tecnologico (CNPq) [grant 311976/2021-2]. This study was financed in part by the Coordenacao de Aperfeicoamento de Pessoal de Nivel Superior -Brasil (CAPES) -Finance Code 001; MMM was the recipient of a post-doctoral fellowship CAPES/BRASIL [88887.321687/2019-00]. YATM was the recipient of a FAPEMIG master's fellowship.</t>
  </si>
  <si>
    <t>10.5817/CPR2021-2-24</t>
  </si>
  <si>
    <t>WOS:000937851900012</t>
  </si>
  <si>
    <t>Singer, D; Seppey, CVW; Lentendu, G; Dunthorn, M; Bass, D; Belbahri, L; Blandenier, Q; Debroas, D; de Groot, GA; de Vargas, C; Domaizon, I; Duckert, C; Izaguirre, I; Koenig, I; Mataloni, G; Schiaffino, MR; Mitchell, EAD; Geisen, S; Lara, E</t>
  </si>
  <si>
    <t>Singer, David; Seppey, Christophe V. W.; Lentendu, Guillaume; Dunthorn, Micah; Bass, David; Belbahri, Lassaad; Blandenier, Quentin; Debroas, Didier; de Groot, G. Arjen; de Vargas, Colomban; Domaizon, Isabelle; Duckert, Clement; Izaguirre, Irina; Koenig, Isabelle; Mataloni, Gabriela; Romina Schiaffino, M.; Mitchell, Edward A. D.; Geisen, Stefan; Lara, Enrique</t>
  </si>
  <si>
    <t>Protist taxonomic and functional diversity in soil, freshwater and marine ecosystems</t>
  </si>
  <si>
    <t>Terrestrial systems; Metabarcoding; Microbial eukaryotes; Taxonomic and functional diversity; Ocean</t>
  </si>
  <si>
    <t>GLOBAL PATTERNS; BIODIVERSITY; COMMUNITIES; SEQUENCES; SIZE</t>
  </si>
  <si>
    <t>Protists dominate eukaryotic diversity and play key functional roles in all ecosystems, particularly by catalyzing carbon and nutrient cycling. To date, however, a comparative analysis of their taxonomic and functional diversity that compares the major ecosystems on Earth (soil, freshwater and marine systems) is missing. Here, we present a comparison of protist diversity based on standardized high throughput 18S rRNA gene sequencing of soil, freshwater and marine environmental DNA. Soil and freshwater protist communities were more similar to each other than to marine protist communities, with virtually no overlap of Operational Taxonomic Units (OTUs) between terrestrial and marine habitats. Soil protists showed higher gamma diversity than aquatic samples. Differences in taxonomic composition of the communities led to changes in a functional diversity among ecosystems, as expressed in relative abundance of consumers, phototrophs and parasites. Phototrophs (eukaryotic algae) dominated freshwater systems (49% of the sequences) and consumers soil and marine ecosystems (59% and 48%, respectively). The individual functional groups were composed of ecosystemspecific taxonomic groups. Parasites were equally common in all ecosystems, yet, terrestrial systems hosted more OTUs assigned to parasites of macro-organisms while aquatic systems contained mostly microbial parasitoids. Together, we show biogeographic patterns of protist diversity across major ecosystems on Earth, preparing the way for more focused studies that will help understanding the multiple roles of protists in the biosphere.</t>
  </si>
  <si>
    <t>[Singer, David; Seppey, Christophe V. W.; Lentendu, Guillaume; Belbahri, Lassaad; Blandenier, Quentin; Duckert, Clement; Koenig, Isabelle; Mitchell, Edward A. D.; Lara, Enrique] Univ Neuchatel, Inst Biol, Lab Soil Biodivers, Rue Emile Argand 11, CH-2000 Neuchatel, Switzerland; [Singer, David] Univ Sao Paulo, Inst Biosci, Dept Zool, BR-05508090 Sao Paulo, Brazil; [Singer, David] Univ Angers, UMR 6112, CNRS, LPG BIAF, Angers 1, France; [Seppey, Christophe V. W.] Univ Tromso, Dept Arctic &amp; Marine Biol, Framstredet 39, N-9019 Tromso, Norway; [Dunthorn, Micah] Univ Duisburg Essen, Dept Eukaryot Microbiol, D-45141 Essen, Germany; [Dunthorn, Micah] Univ Duisburg Essen, Ctr Water &amp; Environm Res ZWU, D-45141 Essen, Germany; [Bass, David] Nat Hist Museum, Dept Life Sci, London, England; [Blandenier, Quentin; Lara, Enrique] CSIC, Real Jardin Bot Madrid, Plaza Murillo 2, Madrid 28014, Spain; [Debroas, Didier] Univ Clermont Auvergne, CNRS, Lab Microorganismes Genome &amp; Environm, F-63000 Clermont Ferrand, France; [de Groot, G. Arjen] Wageningen UR, Wageningen Environm Res, POB 47, NL-6700 AA Wageningen, Netherlands; [de Vargas, Colomban] Sorbonne Univ, CNRS, Stn Biol Roscoff, ECOMAP,UMR 7144, F-29680 Roscoff, France; [de Vargas, Colomban] FR2022 GOSEE, Res Federat Study Global Ocean Syst Ecol &amp; Evolut, 3 Rue Michel Ange, F-75016 Paris, France; [Domaizon, Isabelle] Univ Savoie Mt Blanc, INRAE, CARRTEL, F-74200 Thonon Les Bains, France; [Izaguirre, Irina] Univ Buenos Aires, Fac Ciencias Exactas &amp; Nat, Dept Ecol Genet &amp; Evoluc, IEGEBA UBA CONICET, Buenos Aires, DF, Argentina; [Mataloni, Gabriela] Univ Nacl San Martin, Inst Invest &amp; Ingn Ambiental IIIA, CONICET, RA-1650 San Martin, Buenos Aires, Argentina; [Romina Schiaffino, M.] Univ Nacl Noroeste Prov Buenos Aires, Ctr Invest &amp; Transferencia Noroeste Prov Buenos A, UNNOBA UNSAdA CONICET, RA-6000 Junin, Argentina; [Mitchell, Edward A. D.] Jardin Bot Neuchatel, Chemin Perthuis Sault 58, CH-2000 Neuchatel, Switzerland; [Geisen, Stefan] Wageningen Univ &amp; Res, Nematol Lab, Droevendaalsesteeg 1, NL-6708PB Wageningen, Netherlands</t>
  </si>
  <si>
    <t>University of Neuchatel; Universidade de Sao Paulo; Universite d'Angers; Centre National de la Recherche Scientifique (CNRS); UiT The Arctic University of Tromso; University of Duisburg Essen; University of Duisburg Essen; Natural History Museum London; Consejo Superior de Investigaciones Cientificas (CSIC); CSIC - Real Jardin Botanico de Madrid; Universite Clermont Auvergne (UCA); Centre National de la Recherche Scientifique (CNRS); Wageningen University &amp; Research; Sorbonne Universite; Centre National de la Recherche Scientifique (CNRS); CNRS - Institute of Ecology &amp; Environment (INEE); INRAE; Universite Savoie Mont Blanc; University of Buenos Aires; Consejo Nacional de Investigaciones Cientificas y Tecnicas (CONICET); Universidad Nacional del Noroeste de la Provincia de Buenos Aires; Wageningen University &amp; Research</t>
  </si>
  <si>
    <t>Seppey, CVW (corresponding author), Univ Neuchatel, Inst Biol, Lab Soil Biodivers, Rue Emile Argand 11, CH-2000 Neuchatel, Switzerland.;Singer, D (corresponding author), Univ Angers, UMR 6112, CNRS, LPG BIAF, Angers 1, France.;Lara, E (corresponding author), CSIC, Real Jardin Bot Madrid, Plaza Murillo 2, Madrid 28014, Spain.;Geisen, S (corresponding author), Wageningen Univ &amp; Res, Nematol Lab, Droevendaalsesteeg 1, NL-6708PB Wageningen, Netherlands.</t>
  </si>
  <si>
    <t>david.singer@univ-angers.fr; christophe.seppey@uit.no; stefan.geisen@wur.nl; enrique.lara@rjb.csic.es</t>
  </si>
  <si>
    <t>Lassaad, Belbahri/E-1648-2015; Blandenier, Quentin/AAC-5351-2022; Mitchell, Edward AD/B-7259-2013; Lara, Enrique/N-3679-2017; Singer, David/B-6889-2016; Domaizon, Isabelle/A-2517-2011</t>
  </si>
  <si>
    <t>Mitchell, Edward AD/0000-0003-0358-506X; Singer, David/0000-0002-4116-033X; Domaizon, Isabelle/0000-0001-9785-3082; Lentendu, Guillaume/0000-0003-3826-6253; Blandenier, Quentin/0000-0002-4297-0262; Belbahri, Lassaad/0000-0001-7040-4500; Mataloni, Gabriela/0000-0002-6852-6143; Bass, David/0000-0002-9883-7823</t>
  </si>
  <si>
    <t>Swiss National Science Foundation [31003A_143960, 31003A_163254, P2NEP3-178543, 31003A_182531]; University of Neuchatel; 'Atraccion de talentos' from the Community of Madrid [2017-T1/AMB-5210]; project MYXOTROPIC VI from the Spanish Government [PGC2018-094660-B-I00]; NWOVENI grant from the Netherlands Organisation for Scientific Research [016.Veni.181.078]; Norwegian Research Council [270252, 256132]; French Government 'Investissements d'Avenir' program OCEANOMICS [ANR-11-BTBR-0008]; Gordon and Betty Moore Foundation [GBMF5257 UniEuk]; UNINETT Sigma2 -the National Infrastructure for High Performance Computing [NN9549K]; Data Storage in Norway [NS9593K]; Swiss National Science Foundation (SNF) [31003A_163254, P2NEP3_178543, 31003A_143960] Funding Source: Swiss National Science Foundation (SNF)</t>
  </si>
  <si>
    <t>Swiss National Science Foundation(Swiss National Science Foundation (SNSF)); University of Neuchatel; 'Atraccion de talentos' from the Community of Madrid; project MYXOTROPIC VI from the Spanish Government; NWOVENI grant from the Netherlands Organisation for Scientific Research; Norwegian Research Council(Research Council of Norway); French Government 'Investissements d'Avenir' program OCEANOMICS(Agence Nationale de la Recherche (ANR)); Gordon and Betty Moore Foundation(Gordon and Betty Moore Foundation); UNINETT Sigma2 -the National Infrastructure for High Performance Computing; Data Storage in Norway; Swiss National Science Foundation (SNF)(Swiss National Science Foundation (SNSF))</t>
  </si>
  <si>
    <t>This work was supported by the Swiss National Science Foundation 31003A_143960 &amp; 31003A_163254 to E.L., P2NEP3-178543 to D.S. and 31003A_182531 to E.A.D.M.; internal funding of the University of Neuch &lt;^&gt;atel to E.A.D.M.; the `Atracci ' on de talentos' from the Community of Madrid, project 2017-T1/AMB-5210 and the project MYXOTROPIC VI (PGC2018-094660-B-I00) from the Spanish Government to E.L.; NWOVENI grant from the Netherlands Organisation for Scientific Research (016.Veni.181.078) to S.G.; the Norwegian Research Council projects 270252 (BiodivERsA-Climate change impacts on Arctic soil and lake microbiomes) and 256132 (ERAnet-LAC, METHAnogenic Biodiversity and activity in Arctic and Sub-Antarctic Ecosystems affected by climate change) to C.V.W.S.; the French Government 'Investissements d'Avenir' program OCEANOMICS (ANR-11-BTBR-0008) to C.d.V., and the Gordon and Betty Moore Foundation through grant GBMF5257 UniEuk. The authors would like to thank all the peoples involved in the sampling and in the laboratory and the Calculations Center of the Faculty of Science of the University of Neuch &lt;^&gt;atel as well as UNINETT Sigma2 -the National Infrastructure for High Performance Computing (project NN9549K) and Data Storage (project NS9593K) in Norway for the computing facilities.</t>
  </si>
  <si>
    <t>10.1016/j.envint.2020.106262</t>
  </si>
  <si>
    <t>PN6ZW</t>
  </si>
  <si>
    <t>WOS:000604626300012</t>
  </si>
  <si>
    <t>Guo, GJ; Gao, LB; Shi, JX</t>
  </si>
  <si>
    <t>Guo, Guijun; Gao, Libao; Shi, Jiuxin</t>
  </si>
  <si>
    <t>Modulation of dense shelf water salinity variability in the western Ross Sea associated with the Amundsen Sea Low</t>
  </si>
  <si>
    <t>ENVIRONMENTAL RESEARCH LETTERS</t>
  </si>
  <si>
    <t>dense shelf water; freshwater input; large-scale circulation; Ross Sea; Amundsen Sea low</t>
  </si>
  <si>
    <t>ANTARCTIC ICE SHELVES; SOUTHERN-OCEAN; OVERTURNING CIRCULATION; BASAL MELT; CLIMATE; WIND; SENSITIVITY; DRIVEN; MOTION; OCEANOGRAPHY</t>
  </si>
  <si>
    <t>Dense shelf water (DSW) produced in the western Ross Sea (RS) is one of the major sources of Antarctic bottom water (AABW). Thus the understanding of long-term variability of DSW salinity and its controlling factors in the western RS is critical to assess the variability of globally distributed AABW. Here we analyze a long time record of hydrographic data (1984-2020) collected in the western RS, as well as sea ice drift vectors, surface wind speed, sea level pressure and Amundsen Sea low (ASL) indices. We confirm recent findings that there is a rapid increase of DSW salinity in the western RS after a minimum in 2013, although the DSW has experienced substantial freshening in the past few decades, indicating a significant multidecadal variability of DSW salinity in the western RS. Over the past four decades, multidecadal variability in the DSW salinity has been strongly coupled with westward zonal flow changes along the coastal current, and the post-2013 rapid enhancement of DSW salinity is accompanied by reduced freshwater input due to weakening of the westward zonal flow from the upstream Amundsen Sea (AS) into the RS. Large-scale circulation determining the strength of the zonal flow is closely linked to the ASL variability. The accelerated deepening of the ASL and the resulting southwestward extension of low pressure induce an eastward coastal current anomaly. This reduces the freshwater input from the AS to the RS and is responsible for the subsequent enhancement of DSW salinity in recent years in the western RS. These dynamical processes demonstrated here explain how the ASL changes modulate the DSW salinity in the western RS, and will help to understand the implication of climate changes in the Southern Ocean on AABW formation.</t>
  </si>
  <si>
    <t>[Guo, Guijun; Gao, Libao] First Inst Oceanog, Ctr Ocean &amp; Climate Res, Qingdao, Peoples R China; [Guo, Guijun; Gao, Libao; Shi, Jiuxin] Qingdao Natl Lab Marine Sci &amp; Technol, Qingdao, Peoples R China; [Shi, Jiuxin] Ocean Univ China, Phys Oceanog Lab, Qingdao, Peoples R China</t>
  </si>
  <si>
    <t>First Institute of Oceanography, Ministry of Natural Resources; Laoshan Laboratory; Ocean University of China</t>
  </si>
  <si>
    <t>Guo, GJ; Gao, LB (corresponding author), First Inst Oceanog, Ctr Ocean &amp; Climate Res, Qingdao, Peoples R China.;Guo, GJ; Gao, LB (corresponding author), Qingdao Natl Lab Marine Sci &amp; Technol, Qingdao, Peoples R China.</t>
  </si>
  <si>
    <t>guoguijun@fio.org.cn; gaolb@fio.org.cn</t>
  </si>
  <si>
    <t>Guo, Guijun/AAO-3686-2021; Shi, Jiuxin/AAK-5495-2021</t>
  </si>
  <si>
    <t>Shi, Jiuxin/0000-0002-5825-8894; Guo, Guijun/0000-0002-1437-1561; Gao, Libao/0000-0002-0402-9340</t>
  </si>
  <si>
    <t>program of Response and Feedback of the Southern Ocean to Climate Change [RFSOCC2020-2025]; Basic Scientific Fund for National Public Research Institutes of China [2018S02]; National Natural Science Foundation of China [41706220, 41876231]; National Key R&amp;D Program of China [2018YFA0605701, 2019YFC1509102]</t>
  </si>
  <si>
    <t>program of Response and Feedback of the Southern Ocean to Climate Change; Basic Scientific Fund for National Public Research Institutes of China; National Natural Science Foundation of China(National Natural Science Foundation of China (NSFC)); National Key R&amp;D Program of China</t>
  </si>
  <si>
    <t>This work was supported by the program of Response and Feedback of the Southern Ocean to Climate Change (Grant No. RFSOCC2020-2025), the Basic Scientific Fund for National Public Research Institutes of China (Grant No. 2018S02), the National Natural Science Foundation of China (Grant Nos. 41706220 and 41876231), and the National Key R&amp;D Program of China (Grant Nos. 2018YFA0605701 and 2019YFC1509102). We are grateful to the staff of Chinese Arctic and Antarctic Administration and the crew of the R/V Xuelong for their professional supports in the Antarctic cruises. We thank Laurie Padman and an anonymous reviewer and the editor for their constructive feedback during the review process. We also want to give great thanks to many other individuals who contribute the in situ measurements and data processing over many years.</t>
  </si>
  <si>
    <t>IOP Publishing Ltd</t>
  </si>
  <si>
    <t>BRISTOL</t>
  </si>
  <si>
    <t>TEMPLE CIRCUS, TEMPLE WAY, BRISTOL BS1 6BE, ENGLAND</t>
  </si>
  <si>
    <t>1748-9326</t>
  </si>
  <si>
    <t>ENVIRON RES LETT</t>
  </si>
  <si>
    <t>Environ. Res. Lett.</t>
  </si>
  <si>
    <t>10.1088/1748-9326/abc995</t>
  </si>
  <si>
    <t>PH0CM</t>
  </si>
  <si>
    <t>WOS:000600092200001</t>
  </si>
  <si>
    <t>Zingaro, M; Baroni, C; Capolongo, D; Mastronuzzi, G; Salvatore, MC; Scicchitano, G; Vacchi, M</t>
  </si>
  <si>
    <t>Zingaro, Marina; Baroni, Carlo; Capolongo, Domenico; Mastronuzzi, Giuseppe; Salvatore, Maria Cristina; Scicchitano, Giovanni; Vacchi, Matteo</t>
  </si>
  <si>
    <t>OPEN ACCESS DATA REPOSITORY OF LATE-PLEISTOCENE AND HOLOCENE PALEO-SHORELINES ALONG THE ANTARCTIC PENINSULA AND SOUTH SHETLAND ISLANDS COASTS br</t>
  </si>
  <si>
    <t>Antarctica; Post-glacial; Paleo-shorelines; Cartographic Repository; Open access</t>
  </si>
  <si>
    <t>Zingaro M., Baroni C., Capolongo D., Mastro-nuZZi g., salvatore M.C., sCiCChitano g. &amp; vaCChi M.,Open access data repository of Late-Pleistocene and Holocene paleo-shorelines along the Antarctic Peninsula and South Shetland Islands coasts. (IT ISSN 0391-9838, 2021).An improved understanding of the chronology of Antarctic ice sheet deglaciation since the Last Glacial Maximum (LGM) represents a fundamental tool to better define the origin of past and future meltwa-ter influx in the global oceans. Relict shorelines and other evidence of past Relative Sea Level (RSL) evolution were widely used to understand past ice sheet history and to improve predictions of climate-controlled sea level evolution. In the last decades, RSL data in the Antarctic region have been mostly produced using a wide range of geomorphic evidence such as beach and marine deposits, marine terraces and isolation ba-sins. However, the lack of a geographic common framework that in-cludes data derived from different sources, limits the accessibility to the information. Here we present a new cartographic approach to cre-ate an open access geodatabase of the postglacial paleo-shorelines by using a standard collecting pattern. Cartographic Antarctica Reposito-ry (CAR) includes RSL data along the coasts of the Antarctic Peninsula and South Shetland Islands. Results show the advantages to use CAR for integrating data and supporting spatial analyses, by representing an easy and usable tool for the improvement of shoreline evolution defini-tion and the planning of Antarctic coast investigations. CAR is dynam-ic repository project that will be further expanded on other Antarctic regions too, integrating fully into the wide reference context of the free access Antarctic datasets.</t>
  </si>
  <si>
    <t>[Zingaro, Marina; Capolongo, Domenico; Mastronuzzi, Giuseppe; Scicchitano, Giovanni] Univ Bari, Dept Earth &amp; Geoenvironm Sci, Bari, Italy; [Baroni, Carlo; Salvatore, Maria Cristina; Vacchi, Matteo] Univ Pisa, Dept Earth Sci, Pisa, Italy; [Baroni, Carlo; Salvatore, Maria Cristina] Inst Geosci &amp; Earth Resources, IGG CNR, Pisa, Italy; [Capolongo, Domenico; Mastronuzzi, Giuseppe; Scicchitano, Giovanni] Univ Bari, Interdept Res Ctr Coastal Dynam, Bari, Italy</t>
  </si>
  <si>
    <t>Universita degli Studi di Bari Aldo Moro; University of Pisa; Consiglio Nazionale delle Ricerche (CNR); Istituto di Geoscienze e Georisorse (IGG-CNR); Universita degli Studi di Bari Aldo Moro</t>
  </si>
  <si>
    <t>Mastronuzzi, G (corresponding author), Univ Bari, Dept Earth &amp; Geoenvironm Sci, Bari, Italy.;Mastronuzzi, G (corresponding author), Univ Bari, Interdept Res Ctr Coastal Dynam, Bari, Italy.</t>
  </si>
  <si>
    <t>giuseppe.mastronuzzi@uniba.it</t>
  </si>
  <si>
    <t>Baroni, Carlo/D-8184-2012; Scicchitano, Giovanni/AAP-6605-2020; Zingaro, Marina/ABE-9795-2020; Vacchi, Matteo/E-1622-2011</t>
  </si>
  <si>
    <t>Baroni, Carlo/0000-0001-5905-4650; Scicchitano, Giovanni/0000-0003-0328-737X; Zingaro, Marina/0000-0002-5599-7472; Vacchi, Matteo/0000-0002-1569-7862</t>
  </si>
  <si>
    <t>10.4461/GFDQ.2021.44.10</t>
  </si>
  <si>
    <t>VL9NJ</t>
  </si>
  <si>
    <t>WOS:000927780100002</t>
  </si>
  <si>
    <t>Vighi, M; Borrell, A; Jackson, JA; Carroll, EL; Pennino, MG; Aguilar, A</t>
  </si>
  <si>
    <t>Vighi, Morgana; Borrell, Asuncion; Jackson, Jennifer A.; Carroll, Emma L.; Grazia Pennino, Maria; Aguilar, Alex</t>
  </si>
  <si>
    <t>The missing whales: relevance of struck and lost rates for the impact assessment of historical whaling in the southwestern Atlantic Ocean</t>
  </si>
  <si>
    <t>cetacean populations; demography; Eubalaena australis; logbooks; open-boat whaling; Physeter macrocephalus</t>
  </si>
  <si>
    <t>The massive impact that open-boat historical whaling (18th to 20th centuries) had on whale populations has been traditionally estimated from records of oil and baleen plate production. However, an unknown proportion of hunted whales were struck, wounded, eventually killed, but lost, and not included in these records, suggesting that whaling impact may be critically underestimated. Whaling logbooks provide a key source for assessing past catches and losses. Here, we extract detailed records of 19875 days of activity in the southwestern Atlantic Ocean from 255 logbooks of offshore whaling voyages. During the period considered (1776-1923), whalers first targeted southern right whales (Eubalaena australis, 2497 sightings and 658 catches), gradually substituted by sperm whales (Physeter macrocephalus, 1157 sightings and 843 catches) after 1840. Loss rate factors, calculated to account for the number of struck and lost whales, decreased across time for both species, and were particularly high (ranging 1.09-1.6) for the southern right whale, whose population was drastically reduced by whaling, as compared to previous estimates based on rough catch records. Accurate accounting for these lost individuals is essential for reconstructing the impact of whaling on cetacean populations and for a proper assessment of their initial population size and demographic trents.</t>
  </si>
  <si>
    <t>[Vighi, Morgana; Borrell, Asuncion; Aguilar, Alex] Univ Barcelona, Inst Biodivers Res IRBio, Dept Evolutionary Biol Ecol &amp; Environm Sci, Barcelona, Spain; [Jackson, Jennifer A.] British Antarctic Survey BAS, Madingley Rd, Cambridge, England; [Carroll, Emma L.] Univ Auckland, Sch Biol Sci, Auckland, New Zealand; [Carroll, Emma L.] Univ St Andrews, Scottish Oceans Inst, St Andrews, Fife, Scotland; [Carroll, Emma L.] Univ St Andrews, Sea Mammal Res Unit, St Andrews, Fife, Scotland; [Grazia Pennino, Maria] Ctr Oceanog Vigo, Inst Espanol Oceanog, Subida Radio Faro 50-52, Vigo 36390, Pontevedra, Spain</t>
  </si>
  <si>
    <t>University of Barcelona; University of Auckland; University of St Andrews; University of St Andrews; Spanish Institute of Oceanography</t>
  </si>
  <si>
    <t>Vighi, M (corresponding author), Univ Barcelona, Inst Biodivers Res IRBio, Dept Evolutionary Biol Ecol &amp; Environm Sci, Barcelona, Spain.</t>
  </si>
  <si>
    <t>morgana.vighi@gmail.com</t>
  </si>
  <si>
    <t>Borrell, Asunción/B-8257-2009; Carroll, Emma/U-9133-2019; Jackson, Jennifer A/E-7997-2013; Vivia, Ariel/JAO-4693-2023; Aguilar, Alex/L-1283-2014</t>
  </si>
  <si>
    <t>Borrell, Asunción/0000-0002-6714-0724; Carroll, Emma/0000-0003-3193-7288; Aguilar, Alex/0000-0002-5751-2512; pennino, maria grazia/0000-0002-7577-2617; Jackson, Jennifer/0000-0003-4158-1924; Vighi, Morgana/0000-0003-3422-9041</t>
  </si>
  <si>
    <t>Darwin PLUS [DPLUS057]; NERC [bas0100035] Funding Source: UKRI</t>
  </si>
  <si>
    <t>Darwin PLUS; NERC(UK Research &amp; Innovation (UKRI)Natural Environment Research Council (NERC))</t>
  </si>
  <si>
    <t>This research was partially supported by the Darwin PLUS project Where are they now? Right whales in South Georgia waters (Ref: DPLUS057).</t>
  </si>
  <si>
    <t>10.1093/icesjms/fsaa205</t>
  </si>
  <si>
    <t>RZ9TQ</t>
  </si>
  <si>
    <t>WOS:000648942600002</t>
  </si>
  <si>
    <t>Peng, XY; Zhang, YM; Lu, YJ; Zhou, XY; Wei, ZR; Sun, YL; Kuang, CJ; Lu, L; Geng, YC; Qin, K; Liu, J; Peng, F</t>
  </si>
  <si>
    <t>Peng, Xiaoya; Zhang, Yumin; Lu, Yijing; Zhou, Xueyin; Wei, Zhourui; Sun, Yulin; Kuang, Chengjie; Lu, Lu; Geng, Yingchao; Qin, Kun; Liu, Jia; Peng, Fang</t>
  </si>
  <si>
    <t>Kaistella flava sp. nov., isolated from Antarctic tundra soil, and emended descriptions of Kaistella yonginensis, Kaistella jeonii, Kaistella antarctica and Kaistella chaponensis</t>
  </si>
  <si>
    <t>Kaistella flava; novel species; phylogenetic analysis; taxonomy</t>
  </si>
  <si>
    <t>PROPOSED MINIMAL STANDARDS; GEN. NOV.; SEJONGIA-ANTARCTICA; CHRYSEOBACTERIUM; SEQUENCES; TAXONOMY</t>
  </si>
  <si>
    <t>A rod-shaped, yellow-pigmented, Gram- stain-negative, non-motile and aerobic bacterium, designated 7- 3AT, was isolated from soil from King George Island, maritime Antarctica, and subjected to a polyphasic taxonomic study. Growth occurred at 4-37 omega C (optimum, 20 degrees C) and at pH 5.0-9.0 (optimum, pH 7.0-8.0). Tolerance to NaCl was up to 4 % (w/v) with optimum growth in the absence of NaCl. The results of phylogenetic analysis based on 16S rRNA gene sequences indicated that strain 7- 3AT represented a member of the family Flavobacteriaceae. Strain 7- 3AT showed the highest sequence similarities with Kaistella yonginensis HMD 1043(T) (96.65 %), Kaistella carnis NCTC 13525T (96.53 %), Kaistella chaponensis DSM 23145(T) (96.27 %), Kaistella antarctica LMG 24720T (96.13 %) and Kaistella jeonii DSM 17048T (96.06 %). A whole genome- level comparison of 7- 3AT with K. jeonii DSM 17048T, K. antarctica LMG 24720T, K. chaponensis DSM 23145T, and Kaistella palustris DSM 21579T revealed average nucleotide identity (ANI) values of 79.03, 82.25, 78.12, and 74.42 %, respectively. The major respiratory isoprenoid quinone was identified as MK-6 and a few ubiquinones Q-10 were identified. In addition, flexirubin- type pigments were absent. The polar lipid profile of 7- 3AT was found to contain one phosphatidylethanolamine, six unidentified aminolipids (AL) and two unidentified lipids (L). The G+C content of the genomic DNA was determined to be 34.54 mol%. The main fatty acids were iso-C15:0, summed feature 9 (comprising iso-C17:1?9c and/or C16:0 10-methyl), anteiso-C-15:0, iso-C-13:0 and summed feature 3 (comprising C16:1?7c and/or C16:1?6c). On the basis of the evidence presented in this study, a novel species of the genus Kaistella, Kaistella flava sp. nov., is proposed, with the type strain 7- 3AT (=CCTCC AB 2016141T= KCTC 52492T). Emended descriptions of Kaistella yonginensis, Kaistella jeonii, Kaistella antarctica and Kaistella chaponensis are also given.</t>
  </si>
  <si>
    <t>[Peng, Xiaoya; Zhang, Yumin; Lu, Yijing; Zhou, Xueyin; Wei, Zhourui; Sun, Yulin; Kuang, Chengjie; Lu, Lu; Geng, Yingchao; Qin, Kun; Liu, Jia; Peng, Fang] Wuhan Univ, Coll Life Sci, China Ctr Type Culture Collect CCTCC, Wuhan 430072, Peoples R China</t>
  </si>
  <si>
    <t>Wuhan University</t>
  </si>
  <si>
    <t>Peng, F (corresponding author), Wuhan Univ, Coll Life Sci, China Ctr Type Culture Collect CCTCC, Wuhan 430072, Peoples R China.</t>
  </si>
  <si>
    <t>fangpeng2@aliyun.com</t>
  </si>
  <si>
    <t>zhen, wang/KBA-3844-2024; CHEN, AN/KFT-3370-2024; Zhang, Han/JMR-0670-2023</t>
  </si>
  <si>
    <t>Kuang, Chengjie/0000-0002-3869-5149; wei, zhou rui/0000-0002-0130-1679</t>
  </si>
  <si>
    <t>National Key R&amp;D Program of China [2018YFC1406701]; Ministry of Science and Technology of the People's Republic of China [NIMR-2020-8]; National Natural Science Foundation of China [42076230]; Chinese Polar Scientific Strategy Research Fund [IC201706]</t>
  </si>
  <si>
    <t>National Key R&amp;D Program of China; Ministry of Science and Technology of the People's Republic of China(Ministry of Science and Technology, China); National Natural Science Foundation of China(National Natural Science Foundation of China (NSFC)); Chinese Polar Scientific Strategy Research Fund</t>
  </si>
  <si>
    <t>This work was supported by the National Key R&amp;D Program of China (2018YFC1406701), the R and D Infrastructure and Facility Development Programme of the Ministry of Science and Technology of the People's Republic of China (grant number NIMR-2020-8), the National Natural Science Foundation of China (grant number 42076230), and the Chinese Polar Scientific Strategy Research Fund IC201706.</t>
  </si>
  <si>
    <t>10.1099/ijsem.0.004740</t>
  </si>
  <si>
    <t>WOS:000639142700027</t>
  </si>
  <si>
    <t>Sakdapetsiri, C; Kuntaveesuk, A; Ngaemthao, W; Suriyachadkun, C; Muangchinda, C; Chavanich, S; Viyakarn, V; Chen, B; Pinyakong, O</t>
  </si>
  <si>
    <t>Sakdapetsiri, Chatsuda; Kuntaveesuk, Aunchisa; Ngaemthao, Wipaporn; Suriyachadkun, Chanwit; Muangchinda, Chanokporn; Chavanich, Suchana; Viyakarn, Voranop; Chen, Bo; Pinyakong, Onruthai</t>
  </si>
  <si>
    <t>Paeniglutamicibacter terrestris sp. nov., isolated from phenanthrene-degrading consortium enriched from Antarctic soil</t>
  </si>
  <si>
    <t>actinomycete; Antarctica; Paeniglutamicibacter terrestris; phenanthrene-degrading consortium</t>
  </si>
  <si>
    <t>GENOME; ARTHROBACTER; SEQUENCES; BACTERIA; TAXONOMY; ACID</t>
  </si>
  <si>
    <t>A novel bacterium, designated strain ANT13_2(T), was isolated from a phenanthrene-degrading consortium enriched from a soil sample collected near the Great Wall Station located in the southwestern area of King George Island, Antarctica. Following a polyphasic taxonomic study, a novel species belonging to the genus Paeniglutamicibacter was described. The strain was a Gram- stain-positive bacterium that exhibited a rod-coccus growth cycle. Strain ANT13_2(T) grew aerobically at an optimum temperature of 20-25 degrees C and at pH 7.0?8.0. Ribose, arabinose and glucose were detected as whole -cell sugars. The predominant menaquinone was MK-9. The diagnostic phospholipids were diphosphatidylglycerol, phosphatidylglycerol and an unidentified phospholipid. The predominant cellular fatty acids were anteiso- C15: 0 (67.7 %) and anteiso- C17: 0 (11.2 %). The DNA G+C content of the genomic DNA was 60.6 mol%. Based on 16S rRNA gene sequence analysis, strain ANT13_2(T) showed the highest similarities to Paeniglutamicibacter antarcticus SPC26T (98.9 %) followed by Paeniglutamicibacter gangotriensis Lz1y(T) (98.4 %), Paeniglutamicibacter sulfureus DSM 20167(T) (98.3%) and Paeniglutamicibacter kerguelensis KGN15(T) (97.9 %). The average nucleotide identity values between strain ANT13_2T and the type strains of P. antarcticus SPC26T and P. gangotriensis Lz1y(T) were 73.8 and 77.5 %, respectively, which are well below the 95-96 % species circumscription threshold. On the basis of this polyphasic taxonomic study, strain ANT13_2(T) is proposed to represent a novel species to be named Paeniglutamicibacter terrestris sp. nov. The type strain is ANT13_2(T) (=TBRC 11756(T)=NBRC 114615(T)).</t>
  </si>
  <si>
    <t>[Sakdapetsiri, Chatsuda; Kuntaveesuk, Aunchisa; Muangchinda, Chanokporn; Pinyakong, Onruthai] Chulalongkorn Univ, Fac Sci, Dept Microbiol, Microbial Technol Marine Pollut Treatment Res Uni, Bangkok 10330, Thailand; [Ngaemthao, Wipaporn; Suriyachadkun, Chanwit] Natl Sci &amp; Technol Dev Agcy NSTDA, Natl Ctr Genet Engn &amp; Biotechnol BIOTEC, Microbial Divers &amp; Utilizat Res Team, Thailand Bioresource Res Ctr, 113 Thailand Sci Pk,Phaholyothin Rd, Khlong Luang 12120, Pathum Thani, Thailand; [Chavanich, Suchana; Viyakarn, Voranop] Chulalongkorn Univ, Fac Sci, Dept Marine Sci, Reef Biol Res Grp, Bangkok, Thailand; [Chen, Bo] Polar Res Inst China, Key Lab Polar Sci, MNR, Shanghai 200136, Peoples R China; [Pinyakong, Onruthai] Chulalongkorn Univ, Ctr Excellence Hazardous Subst Management HSM, Res Program Remediat Technol Petr Contaminat, Bangkok 10330, Thailand</t>
  </si>
  <si>
    <t>Chulalongkorn University; National Science &amp; Technology Development Agency - Thailand; National Center Genetic Engineering &amp; Biotechnology (BIOTEC); Chulalongkorn University; Polar Research Institute of China; Chulalongkorn University</t>
  </si>
  <si>
    <t>Pinyakong, O (corresponding author), Chulalongkorn Univ, Fac Sci, Dept Microbiol, Microbial Technol Marine Pollut Treatment Res Uni, Bangkok 10330, Thailand.;Pinyakong, O (corresponding author), Chulalongkorn Univ, Ctr Excellence Hazardous Subst Management HSM, Res Program Remediat Technol Petr Contaminat, Bangkok 10330, Thailand.</t>
  </si>
  <si>
    <t>onruthai@gmail.com</t>
  </si>
  <si>
    <t>Chavanich, Suchana/AAU-8266-2020; Muangchinda, Chanokporn/IUP-9976-2023</t>
  </si>
  <si>
    <t>Viyakarn, Voranop/0000-0002-2089-6356; Sakdapetsiri, Chatsuda/0000-0002-4092-6575; Chavanich, Suchana/0000-0001-6266-7300; Pinyakong, Onruthai/0000-0003-0014-1690</t>
  </si>
  <si>
    <t>Information Technology Foundation under the Initiative of Her Royal Highness Princess Maha Chakri Sirindhorn; National Science and Technology Development Agency; Chinese Arctic and Antarctic Administration; Research Program on Remediation Technologies for Petroleum Contamination, Centre of Excellence on Hazardous Substance Management (HSM), Chulalongkorn University, Thailand; Ratchadapisek Somphot Fund for Postdoctoral Fellowship, Chulalongkorn University; Polar Research Project under the Initiatives of Her Royal Highness Princess Maha Chakri Sirindhorn</t>
  </si>
  <si>
    <t>This work was supported by the Information Technology Foundation under the Initiative of Her Royal Highness Princess Maha Chakri Sirindhorn, Polar Research Project under the Initiatives of Her Royal Highness Princess Maha Chakri Sirindhorn, National Science and Technology Development Agency, Chinese Arctic and Antarctic Administration and Research Program on Remediation Technologies for Petroleum Contamination, Centre of Excellence on Hazardous Substance Management (HSM) , Chulalongkorn University, Thailand. C. S. was supported by Ratchadapisek Somphot Fund for Postdoctoral Fellowship, Chulalongkorn University.</t>
  </si>
  <si>
    <t>10.1099/ijsem.0.004689</t>
  </si>
  <si>
    <t>WOS:000639142700025</t>
  </si>
  <si>
    <t>Burmester, H</t>
  </si>
  <si>
    <t>Burmester, Henry</t>
  </si>
  <si>
    <t>CIVIL SOCIETY AND THE INSTIGATION OF INTERNATIONAL COURT LITIGATION: THE AUSTRALIAN EXPERIENCE</t>
  </si>
  <si>
    <t>MELBOURNE JOURNAL OF INTERNATIONAL LAW</t>
  </si>
  <si>
    <t>This article examines the way in which the actions of civil society may influence decisions of states to institute proceedings in the International Court of Justice ('ICJ'). In what circumstances, for instance, is a state most likely to respond to actions of domestic or international civil society constituencies by deciding to incur the diplomatic and other costs that result from any international litigation? This study focuses on Australia's experience, using as case studies the Nuclear Tests and Whaling in the Antarctic cases. In both cases, particular civil society components were able to secure political commitments to commence international litigation from political parties that went on to be elected to government. This will not always be possible, and this article examines some of the tensions that arise between government and civil society in relation to pursuing encounters with the ICJ.</t>
  </si>
  <si>
    <t>[Burmester, Henry] Australian Natl Univ, Coll Law, Canberra, ACT, Australia; [Burmester, Henry] Australian Govt Solicitor, Melbourne, Vic, Australia; [Burmester, Henry] Australian Attorney Gen Dept, Off Int Law, Barton, ACT, Australia</t>
  </si>
  <si>
    <t>Australian National University; Melbourne Genomics Health Alliance</t>
  </si>
  <si>
    <t>Burmester, H (corresponding author), Australian Natl Univ, Coll Law, Canberra, ACT, Australia.</t>
  </si>
  <si>
    <t>UNIV MELBOURNE, MELBOURNE LAW SCH</t>
  </si>
  <si>
    <t>MELBOURNE</t>
  </si>
  <si>
    <t>MELBOURNE LAW SCH, MELBOURNE, VIC 3010, AUSTRALIA</t>
  </si>
  <si>
    <t>1444-8602</t>
  </si>
  <si>
    <t>1444-8610</t>
  </si>
  <si>
    <t>MELB J INT LAW</t>
  </si>
  <si>
    <t>Melb. J. Int. Law</t>
  </si>
  <si>
    <t>Law</t>
  </si>
  <si>
    <t>Government &amp; Law</t>
  </si>
  <si>
    <t>XO7NU</t>
  </si>
  <si>
    <t>WOS:000730368400013</t>
  </si>
  <si>
    <t>Campbell, B</t>
  </si>
  <si>
    <t>Campbell, Bill</t>
  </si>
  <si>
    <t>AUSTRALIA'S ENGAGEMENT WITH THE INTERNATIONAL COURT OF JUSTICE: PRACTICAL AND POLITICAL FACTORS</t>
  </si>
  <si>
    <t>While much has been written on the legal issues raised in cases involving Australia at the International Court of Justice ('ICJ'), the politics behind decisions to appear before the Court, the organisation of Australia's arguments and its style of case management have attracted much less attention. This article, written by a former government international lawyer who appeared as agent and counsel for Australia before the ICJ, describes both the political decisions behind, and the practical organisation of, Australia's encounters with the ICJ, focusing on the Whaling in the Antarctic case. It explains the way that cases develop and the way that the executive branch of government engages with them, all in the context of Australia's approach to international dispute settlement more generally. It concludes that Australia's approach to international dispute settlement is highly effective, including in its conduct of cases before the ICJ.</t>
  </si>
  <si>
    <t>[Campbell, Bill] Australian Natl Univ, Coll Law, Canberra, ACT, Australia; [Campbell, Bill] Fed Attorney Gen Dept, Int Law, Barton, ACT, Australia; [Campbell, Bill] Fed Attorney Gen Dept, Off Int Law, Barton, ACT, Australia</t>
  </si>
  <si>
    <t>Australian National University</t>
  </si>
  <si>
    <t>Campbell, B (corresponding author), Australian Natl Univ, Coll Law, Canberra, ACT, Australia.</t>
  </si>
  <si>
    <t>WOS:000730368400006</t>
  </si>
  <si>
    <t>Keith, K</t>
  </si>
  <si>
    <t>Keith, Kenneth</t>
  </si>
  <si>
    <t>NEW ZEALAND AND THE INTERNATIONAL COURT OF JUSTICE</t>
  </si>
  <si>
    <t>New Zealand's encounters with the International Court of Justice ('ICJ') show the Court to be a central means for the resolution of international disputes, although by no means the only one. This article draws partly on the author's career as a judge (including on the bench of the ICJ) as well as earlier professional experience as counsel for New Zealand. Rather than comment on the reasoning of decisions to which the author has contributed, the article discusses certain general features of international dispute resolution. The article highlights New Zealand's cautious approach to the Permanent Court of International Justice, the Court's predecessor. It describes New Zealand's encounters with the ICJ during its claim against France's nuclear tests, in the requests for advisory opinions in the nuclear weapons cases and in its intervention in the Whaling in the Antarctic dispute against Japan, alongside other international situations and disputes.</t>
  </si>
  <si>
    <t>WOS:000730368400002</t>
  </si>
  <si>
    <t>Scott, SV</t>
  </si>
  <si>
    <t>Scott, Shirley, V</t>
  </si>
  <si>
    <t>NATIONAL ENCOUNTERS WITH THE INTERNATIONAL COURT OF JUSTICE: AVOIDING LITIGATING ANTARCTIC SOVEREIGNTY</t>
  </si>
  <si>
    <t>POLAR EMPIRE; DEPENDENCIES; BRITISH</t>
  </si>
  <si>
    <t>This article examines the two episodes during which the International Court of Justice ('ICJ') came closest to directly considering who has sovereignty over which portion of the Antarctic continent. The first was the period from 1947 to 1955, when the United Kingdom made multiple attempts to take Chile and Argentina to the ICJ. The second was the Whaling in the Antarctic case commenced by Australia in 2010, which concerned Japan's whaling program off the Australian Antarctic Territory. Of the six countries involved in these two episodes, only the UK was favourably disposed to having the ICJ determine the question. Viewed with hindsight, it may well have worked out for the better that the Court did not rule on the matter because if UK confidence had indeed been reflected in the resultant judgment, the UK may not have been prepared to agree to art IV of The Antarctic Treaty, by which claimants agreed not to press their claims while also agreeing to accept that other states would not recognise their sovereignty on the continent. The agreement to disagree as contained in art IV has underpinned the operation of what is widely regarded as one of the most successful of international regimes.</t>
  </si>
  <si>
    <t>Australian Research Council [DP19010124]</t>
  </si>
  <si>
    <t>Australian Research Council(Australian Research Council)</t>
  </si>
  <si>
    <t>Part of this research was supported by the Australian Research Council's Discovery Grant Scheme (DP19010124 Geopolitical Change and the Antarctic Treaty System). I would like to acknowledge the valuable research assistance of Dr Roberta Andrade.</t>
  </si>
  <si>
    <t>WOS:000730368400005</t>
  </si>
  <si>
    <t>Gregg, MC</t>
  </si>
  <si>
    <t>Ocean Mixing</t>
  </si>
  <si>
    <t>OCEAN MIXING</t>
  </si>
  <si>
    <t>Book</t>
  </si>
  <si>
    <t>NONLINEAR INTERNAL WAVES; AVAILABLE POTENTIAL-ENERGY; BOTTOM BOUNDARY-LAYER; DOUBLE-DIFFUSIVE INSTABILITIES; ANTARCTIC CIRCUMPOLAR CURRENT; THERMOHALINE STAIRCASE EAST; DIRECT NUMERICAL-SIMULATION; STABLE SALINITY GRADIENT; STRATIFIED SHEAR FLOWS; NORTH-ATLANTIC TRACER</t>
  </si>
  <si>
    <t>978-1-107-17380-4</t>
  </si>
  <si>
    <t>10.1017/9781316795439</t>
  </si>
  <si>
    <t>Environmental Sciences; Oceanography</t>
  </si>
  <si>
    <t>Environmental Sciences &amp; Ecology; Oceanography</t>
  </si>
  <si>
    <t>BV1EK</t>
  </si>
  <si>
    <t>WOS:000985330400010</t>
  </si>
  <si>
    <t>Chen, YY; Edgar, GJ; Fox, RJ</t>
  </si>
  <si>
    <t>Hawkins, SJ; Lemasson, AJ; Allcock, AL; Bates, AE; Byrne, M; Evans, AJ; Firth, LB; Marzinelli, EM; Russell, BD; Smith, IP; Swearer, SE; Todd, PA</t>
  </si>
  <si>
    <t>Chen, Yi-Yang; Edgar, Graham J.; Fox, Rebecca J.</t>
  </si>
  <si>
    <t>THE NATURE AND ECOLOGICAL SIGNIFICANCE OF EPIFAUNAL COMMUNITIES WITHIN MARINE ECOSYSTEMS</t>
  </si>
  <si>
    <t>OCEANOGRAPHY AND MARINE BIOLOGY: AN ANNUAL REVIEW, VOL 59</t>
  </si>
  <si>
    <t>Oceanography and Marine Biology</t>
  </si>
  <si>
    <t>Climate Change; Epibiota; Epifauna; Ecosystem Functioning; Marine Food Web; Mobile Invertebrates; Sessile Invertebrates</t>
  </si>
  <si>
    <t>SUBTIDAL BROWN SEAWEEDS; HARD-SUBSTRATE HABITATS; SEAGRASS ZOSTERA-MARINA; GREAT-BARRIER-REEF; FUCUS-SERRATUS L; CORAL-REEF; MOBILE EPIFAUNA; SECONDARY PRODUCTION; BENTHIC COMMUNITY; SPECIES-DIVERSITY</t>
  </si>
  <si>
    <t>As the rate of global change increases, the structure and functioning of marine ecosystems, including the food webs that underpin them, will radically alter. Forecasting the consequences of these changes requires a sound understanding of the fundamental components of marine food webs: their community composition, baseline biomass and productivity. Epifauna, a term restricted here to small invertebrates (both mobile and sessile) that inhabit living and non-living surfaces within marine ecosystems, are a ubiquitous and pivotal component of marine food webs, supporting the flow of energy through marine ecosystems and providing a critical trophic link between benthic primary producers and higher-order consumers. Yet, despite their importance, epifauna are rarely studied compared to the more visible and gregarious components of marine ecosystems. They are also typically neglected in management strategies for the protection of marine habitats. In addition, the plethora of alternative terms used within this research field (macrobenthos, cryptofauna, epibiont, mesograzer) can be a barrier to understanding and assimilating existing research knowledge. This review provides an assessment of epifaunal communities studied within tropical, subtropical and temperate marine ecosystems globally. We first review alternative terms used to describe marine epifaunal communities, with the aim of offering a consensus-based definition of epifauna as an aid for unifying different research areas. We then review the primary literature on epifauna, including the scarce information on tropical marine habitats. We outline how a detailed understanding of epifaunal communities within individual habitats is needed to predict how benthic food webs will alter under global change. While epifauna can persist under degraded habitat conditions, changes to taxonomic composition can fundamentally affect secondary productivity, and impact higher-order consumers through changes in prey size-spectra and foraging habitats. Finally, we issue a call-to-arms for increased focus on the study of epifauna, given their potential to underpin critical aspects of marine ecosystem functioning. We highlight the potential for eDNA sampling, other new technologies, and monitoring by citizen scientists to facilitate the use of epifaunal community metrics, including incorporation into marine ecosystem planning.</t>
  </si>
  <si>
    <t>[Chen, Yi-Yang; Fox, Rebecca J.] Australian Natl Univ, Res Sch Biol, Div Ecol &amp; Evolut, Canberra, ACT, Australia; [Edgar, Graham J.] Univ Tasmania, Inst Marine &amp; Antarctic Studies, Hobart, Tas, Australia</t>
  </si>
  <si>
    <t>Chen, YY (corresponding author), Australian Natl Univ, Res Sch Biol, Div Ecol &amp; Evolut, Canberra, ACT, Australia.</t>
  </si>
  <si>
    <t>Edgar, Graham/AAY-3797-2020</t>
  </si>
  <si>
    <t>Edgar, Graham/0000-0003-0833-9001</t>
  </si>
  <si>
    <t>Australian National University; Taiwanese Ministry of Education; Australian Research Council [DP190100279]</t>
  </si>
  <si>
    <t>Australian National University(Australian National University); Taiwanese Ministry of Education; Australian Research Council(Australian Research Council)</t>
  </si>
  <si>
    <t>We are grateful to Steve Hawkins for giving us the opportunity to write this review and for pointing us towards the definitional challenge. Y-Y.C was supported by a scholarship from The Australian National University and Taiwanese Ministry of Education. R.J.F was supported by an Australian Research Council grant to M. Jennions (DP190100279).</t>
  </si>
  <si>
    <t>CRC PRESS-TAYLOR &amp; FRANCIS GROUP</t>
  </si>
  <si>
    <t>BOCA RATON</t>
  </si>
  <si>
    <t>6000 BROKEN SOUND PARKWAY NW, STE 300, BOCA RATON, FL 33487-2742 USA</t>
  </si>
  <si>
    <t>0078-3218</t>
  </si>
  <si>
    <t>978-1-003-13884-6; 978-0-367-68522-5</t>
  </si>
  <si>
    <t>OCEANOGR MAR BIOL</t>
  </si>
  <si>
    <t>Oceanogr. Mar. Biol.</t>
  </si>
  <si>
    <t>10.1201/9781003138846-9</t>
  </si>
  <si>
    <t>10.1201/9781003138846</t>
  </si>
  <si>
    <t>BS7AF</t>
  </si>
  <si>
    <t>WOS:000755453100010</t>
  </si>
  <si>
    <t>Clark, EB; Bianch, A; Castano, R; Fenty, I; Gebara, C; Kourchians, A; Limonadi, D; Madhok, G; McGarey, P; Mechentel, F; Nguyen, K; Okamoto, T; Rignot, E; Rossi, F; Santos, B; Schachter, J; Schodlok, M; Schoelen, D; Stanton, T; Vander Hook, J; Wolsieffer, B; Zapien, X</t>
  </si>
  <si>
    <t>Clark, Evan Bock; Bianch, Andrew; Castano, Rebecca; Fenty, Ian; Gebara, Christine; Kourchians, Ara; Limonadi, Daniel; Madhok, Gauri; McGarey, Patrick; Mechentel, Flora; Nguyen, Kelly; Okamoto, Tyler; Rignot, Eric; Rossi, Federico; Santos, Brendan; Schachter, Justin; Schodlok, Michael; Schoelen, Dane; Stanton, Timothy; Vander Hook, Joshua; Wolsieffer, Ben; Zapien, Xavier</t>
  </si>
  <si>
    <t>IceNode: a Buoyant Vehicle for Acquiring Well-Distributed, Long-Duration Melt Rate Measurements under Ice Shelves</t>
  </si>
  <si>
    <t>OCEANS 2021: SAN DIEGO - PORTO</t>
  </si>
  <si>
    <t>OCEANS Conference</t>
  </si>
  <si>
    <t>SEP 20-23, 2021</t>
  </si>
  <si>
    <t>icenode; ice shelf; ice shelves; grounding zone; melt; sea level rise; climate change; underwater vehicles; oceanic instrumentation; sensors; robotics; autonomous; vehicle design; buoyant lander; profiling float; oceanography</t>
  </si>
  <si>
    <t>Antarctic ice shelves buttress the Antarctic Ice Sheet from sliding into the ocean and significantly raising global sea level. However, the accelerating dynamics of ice shelf melt in a warming environment are poorly understood, and the collapse of Antarctic ice shelves remains one of the largest sources of uncertainty in global sea level rise projections. The cavities below Antarctic ice shelves are notoriously difficult to access, making model-based hypotheses about the relationship between ocean warming and greater ice shelf melting difficult to verify because of a lack of in-situ data to constrain model parameters and examine key assumptions. We present early progress on IceNode, a novel vehicle under development at the NASA Jet Propulsion Laboratory designed to acquire well-distributed, concurrent, long-duration melt rate measurements under ice shelves. IceNodes are deployed as an array from a ship at the shelf edge, and use variable buoyancy to ride melt-driven exchange currents far into the cavity. Once underneath their target landing area, they release a ballast weight to gain high positive buoyancy and attach to the underside of the ice shelf, where they acquire in-situ measurements of basal melt rate directly at the ice-ocean interface for a year or more. Finally, IceNodes detach from their landing structure and use variable buoyancy to ride melt-driven exchange currents back to open water, where they surface and transmit their mission data home. IceNodes are designed to be relatively low-cost, expendable, and have simple logistics, enabling scientists to deploy scalable arrays that acquire simultaneous, distributed measurements of co-varying ice shelf melt and ocean conditions over large spatial areas, thereby providing an unprecedented view of ice shelf melt rate variability and its drivers.</t>
  </si>
  <si>
    <t>[Clark, Evan Bock; Bianch, Andrew; Castano, Rebecca; Fenty, Ian; Gebara, Christine; Kourchians, Ara; Limonadi, Daniel; Madhok, Gauri; McGarey, Patrick; Mechentel, Flora; Nguyen, Kelly; Okamoto, Tyler; Rignot, Eric; Rossi, Federico; Santos, Brendan; Schachter, Justin; Schodlok, Michael; Schoelen, Dane; Vander Hook, Joshua; Wolsieffer, Ben; Zapien, Xavier] CALTECH, Jet Prop Lab, Pasadena, CA 91125 USA; [Stanton, Timothy] San Jose State Univ, Moss Landing Marine Labs, Moss Landing, CA USA</t>
  </si>
  <si>
    <t>California Institute of Technology; National Aeronautics &amp; Space Administration (NASA); NASA Jet Propulsion Laboratory (JPL); California State University System; San Jose State University; Moss Landing Marine Laboratories</t>
  </si>
  <si>
    <t>Clark, EB (corresponding author), CALTECH, Jet Prop Lab, Pasadena, CA 91125 USA.</t>
  </si>
  <si>
    <t>evan.clark@jpl.nasa.gov; andrew.branch@jpl.nasa.gov; rebecca.castano@jpl.nasa.gov; ian.fenty@jpl.nasa.gov; christine.a.gebara@jpl.nasa.gov; ara.kourchians@jpl.nasa.gov; daniellimonadi@jpl.nasa.gov; gauri.madhok@gmail.com; patrick.mcgarey@jpl.nasa.gov; flora.s.mechentel@jpl.nasa.gov; kelly.nguyen@jpl.nasa.gov; tyler.okamoto@jpl.nasa.gov; eric.j.rignot@jpl.nasa.gov; federico.rossi@jpl.nasa.gov; brendan.a.santos@jpl.nasa.gov; justin.h.schachter@jpl.nasa.gov; michael.p.schodlok@jpl.nasa.gov; dane.a.schoelen@jpl.nasa.gov; stanton@nps.edu; hook@jpl.nasa.gov; benjamin.a.wolsieffer@jpl.nasa.gov; xavier.a.zapien@jpl.nasa.gov</t>
  </si>
  <si>
    <t>Rignot, Eric/A-4560-2014; Nguyen, Kelly/JKI-2200-2023</t>
  </si>
  <si>
    <t>Rignot, Eric/0000-0002-3366-0481;</t>
  </si>
  <si>
    <t>Part of this work was carried out at the Jet Propulsion Laboratory (JPL), California Institute of Technology, under a contract with the National Aeronautics and Space Administration (80NM0018D0004). We gratefully acknowledge support from the NASA Cryospheric Sciences Programs. High-end computing resources were provided by the NASA Advanced Supercomputing (NAS) Division of the Ames Research Center. (c) 2021. All rights reserved.</t>
  </si>
  <si>
    <t>978-0-692-93559-0</t>
  </si>
  <si>
    <t>BU8HJ</t>
  </si>
  <si>
    <t>WOS:000947273300072</t>
  </si>
  <si>
    <t>Nardelli, SC; Gray, PC; Schofield, O</t>
  </si>
  <si>
    <t>Nardelli, Schuyler C.; Gray, Patrick C.; Schofield, Oscar</t>
  </si>
  <si>
    <t>Developing a convolutional neural network to classify phytoplankton images collected with an Imaging FlowCytobot along the West Antarctic Peninsula</t>
  </si>
  <si>
    <t>machine learning; neural network; phytoplankton; polar science</t>
  </si>
  <si>
    <t>CLIMATE-CHANGE; SEA-ICE; VARIABILITY; COMMUNITIES</t>
  </si>
  <si>
    <t>High-resolution optical imaging systems are quickly becoming universal tools to characterize and quantify microbial diversity in marine ecosystems. Automated detection systems such as convolutional neural networks (CNN) are often developed to identify the immense number of images collected. The goal of our study was to develop a CNN to classify phytoplankton images collected with an Imaging FlowCytobot for the Palmer Antarctica Long-Term Ecological Research project. A medium complexity CNN was developed using a subset of manually-identified images, resulting in an overall accuracy, recall, and f1-score of 93.8%, 93.7%, and 93.7%, respectively. The f1-score dropped to 46.5% when tested on a new random subset of 10,269 images, likely due to highly imbalanced class distributions, high intraclass variance, and interclass morphological similarities of cells in naturally occurring phytoplankton assemblages. Our model was then used to predict taxonomic classifications of phytoplankton at Palmer Station, Antarctica over 2017-2018 and 2018-2019 summer field seasons. The CNN was generally able to capture important seasonal dynamics such as the shift from large centric diatoms to small pennate diatoms in both seasons, which is thought to be driven by increases in glacial meltwater from January to March. Moving forward, we hope to further increase the accuracy of our model to better characterize coastal phytoplankton communities threatened by rapidly changing environmental conditions.</t>
  </si>
  <si>
    <t>[Nardelli, Schuyler C.; Schofield, Oscar] Rutgers State Univ, Ctr Ocean Observing Leadership, New Brunswick, NJ 08901 USA; [Gray, Patrick C.] Duke Univ, Marine Lab, Beaufort, NC USA</t>
  </si>
  <si>
    <t>Rutgers University System; Rutgers University New Brunswick; Duke University</t>
  </si>
  <si>
    <t>Nardelli, SC (corresponding author), Rutgers State Univ, Ctr Ocean Observing Leadership, New Brunswick, NJ 08901 USA.</t>
  </si>
  <si>
    <t>nardelli@marine.rutgers.edu; patrick.c.gray@duke.edu; oscar@marine.rutgers.edu</t>
  </si>
  <si>
    <t>National Science Foundation Antarctic Organisms and Ecosystems Program [PLR-1440435]</t>
  </si>
  <si>
    <t>National Science Foundation Antarctic Organisms and Ecosystems Program(National Science Foundation (NSF)NSF - Directorate for Geosciences (GEO))</t>
  </si>
  <si>
    <t>This work was supported by the National Science Foundation Antarctic Organisms and Ecosystems Program (PLR-1440435) as part of the PAL-LTER program. Thank you to Alison Chase and Sasha Kramer for help with taxonomic identifications, and to Emmett Culhane for helpful discussions regarding the challenges of building a CNN for IFCB data. This work would not be possible without the PAL-LTER field teams who aided in data collection and the Palmer Station and Laurence M. Gould personnel who provided logistical support.</t>
  </si>
  <si>
    <t>WOS:000947273302100</t>
  </si>
  <si>
    <t>Schoelen, D; Clark, EB; Mechentel, F; Gebara, C</t>
  </si>
  <si>
    <t>Schoelen, Dane; Clark, Evan Bock; Mechentel, Flora; Gebara, Christine</t>
  </si>
  <si>
    <t>System Analysis and Generative Design for IceNode, a Buoyant Vehicle for Measuring Melt Rate under Ice Shelves</t>
  </si>
  <si>
    <t>icenode; ice shelf; ice shelves; grounding zone; melt; sea level rise; climate change; underwater vehicles; oceanic instrumentation; sensors; robotics; autonomous; vehicle design; buoyant lander; profiling float; oceanography; systems engineering; generative design; design analysis</t>
  </si>
  <si>
    <t>Antarctic ice shelves buttress the Antarctic Ice Sheet from sliding into the ocean, and their collapse could trigger a meter or more of global sea level rise by the end of the century. Current state-of-the-art predictions for ice shelf behavior in a warming climate have large uncertainty, significantly hindered by a lack of in situ melt rate observations under ice shelves, especially near grounding zones. IceNode is a novel robotic vehicle under development at the NASA Jet Propulsion Laboratory to acquire such measurements, but presents a complex design problem owing to the large design space and conflicting performance requirements. Evaluating a preliminary design requires several types of tedious analysis which prevents rapid iteration and exploration of the design space. We present the implementation of a custom system analysis framework which was used to automate analysis such as resource budgeting, mission simulation, mass and buoyancy balancing, and static landing stability analysis of a given design configuration. Using this framework, we selected parameters which had the largest effects on design success and conducted a generative design study in which we programmatically varied a handful of parameters to generate 1540 different design candidates and test them across 160 different environmental scenarios. The custom built system analysis tool enabled rapid development of critical analysis and automated exploration of a large design space to guide preliminary design of the IceNode vehicle.</t>
  </si>
  <si>
    <t>[Schoelen, Dane; Clark, Evan Bock; Mechentel, Flora; Gebara, Christine] CALTECH, Jet Prop Lab, Pasadena, CA 91125 USA</t>
  </si>
  <si>
    <t>California Institute of Technology; National Aeronautics &amp; Space Administration (NASA); NASA Jet Propulsion Laboratory (JPL)</t>
  </si>
  <si>
    <t>Schoelen, D (corresponding author), CALTECH, Jet Prop Lab, Pasadena, CA 91125 USA.</t>
  </si>
  <si>
    <t>dane.a.schoelen@jpl.nasa.gov; Evan.Clark@jpl.nasa.gov; Flora.S.Mechentel@jpl.nasa.gov; Christine.A.Gebara@jpl.nasa.gov</t>
  </si>
  <si>
    <t>WOS:000947273302104</t>
  </si>
  <si>
    <t>Sheehan, A; Saba, GK; Nardelli, S; Beaird, N</t>
  </si>
  <si>
    <t>Sheehan, Ailey; Saba, Grace K.; Nardelli, Schuyler; Beaird, Nicholas</t>
  </si>
  <si>
    <t>Developing an Open-Source Analysis Pipeline for a Glider-Based Acoustic Zooplankton Fish Profiler (AZFP)</t>
  </si>
  <si>
    <t>Acoustic Zooplankton Fish Profiler; Slocum-Webb Glider; Echopype; Antarctic Krill</t>
  </si>
  <si>
    <t>ANTARCTIC KRILL; PREDATORS</t>
  </si>
  <si>
    <t>Multi-frequency acoustic sensors such as the Acoustic Zooplankton Fish Profiler (AZFP) simultaneously observe marine species of various sizes and trophic levels. As such, they are now routinely being used to augment or replace traditional vessel-based sampling. When acoustic sensors are integrated into underwater autonomous vehicles such as gliders, they can record data at a wider depth range and over longer time periods than vessel-based sampling. The AZFP requires specialized processing and software packages that can be expensive to purchase or subscribe to. Additionally, software packages are typically designed for vessel hull-mounted acoustic sensors, and therefore are limited in application to vertically profiling platforms including gliders. This study utilized modern, free open-source software, originally developed for vessel-based acoustic sampling (Echopype), and developed a pipeline to extend Echopype for processing novel glider-based AZFP acoustic data. Echopype is a free acoustic processing package that, with alterations, can be used as an alternative to other packages such as Echoview, the proprietary software that is frequently used for processing these types of datasets. Using a case study focused on Antarctic krill, we then compared processed data outputs of Echopype and Echoview. The adapted Echopype processing method was able to reproduce the results that Echoview accomplished in calculating and plotting acoustic backscatter strength recorded by a glider-mounted AZFP. However, this correlation became weaker with more complexity integrated into the data processing stream, particularly in the comparison of data outputs after applying seafloor masking and krill swarm detection. Therefore, future efforts to address these more complex analysis features would further improve Echopype application to glider-based acoustic data.</t>
  </si>
  <si>
    <t>[Sheehan, Ailey; Saba, Grace K.; Nardelli, Schuyler; Beaird, Nicholas] Rutgers State Univ, Ctr Ocean Observing Leadership, Dept Marine &amp; Coastal Sci, Sch Environm &amp; Biol Sci, New Brunswick, NJ 08901 USA</t>
  </si>
  <si>
    <t>Rutgers University System; Rutgers University New Brunswick</t>
  </si>
  <si>
    <t>Sheehan, A (corresponding author), Rutgers State Univ, Ctr Ocean Observing Leadership, Dept Marine &amp; Coastal Sci, Sch Environm &amp; Biol Sci, New Brunswick, NJ 08901 USA.</t>
  </si>
  <si>
    <t>saba@marine.rutgers.edu; nlbeaird@marine.rutgers.edu</t>
  </si>
  <si>
    <t>WOS:000947273302058</t>
  </si>
  <si>
    <t>Velasco, DW; Lefevre, D; Gojak, C; Nylund, S; Hutton, B; Zakardjian, B; Mahiouz, K; Bezile, A; Heyndrickx, C</t>
  </si>
  <si>
    <t>Velasco, David W.; Lefevre, Dominique; Gojak, Carl; Nylund, Sven; Hutton, Briony; Zakardjian, Bruno; Mahiouz, Karim; Bezile, Antoine; Heyndrickx, Celine</t>
  </si>
  <si>
    <t>Performance evaluation of a combined ADCP-scientific echosounder system</t>
  </si>
  <si>
    <t>scientific echosounding; ADCP; currents; biomass</t>
  </si>
  <si>
    <t>DOPPLER CURRENT PROFILER; DIEL VERTICAL MIGRATION; MEDITERRANEAN SEA; ZOOPLANKTON; OCEAN; VELOCITIES; PATTERNS; NOISE; BIAS</t>
  </si>
  <si>
    <t>Echosounders are widely used to quantify fish behavior, fish stocks, and zooplankton biomass. Acoustic Doppler Current Profilers have also been used to accurately measure currents in all of the world's major water bodies over the last 30 years. The present work evaluates the performance of a combined echosounder/ADCP system, the Nortek Signature100, for simultaneous biomass assessment and current profile data analysis. Due to its combined current profiling and scientific echosounding capabilities, the system is seeing increased usage in biomass flux applications, particularly in Antarctic krill research. However, capabilities of the system are still being studied and the present work aims to expand characterization of its performance. To that effect, a four month deployment was carried out by the French National Center for Scientific Research (CNRS) in the Mediterranean Sea with an up-looking Signature100 mounted atop the ALBATROSS mooring line. The line was at a total water depth of 2420 m and its top was approximately 370 m below the surface. Data show significant variations in scattering conditions between daytime and nighttime due to diel vertical migration (DVM), often unrelated to horizontal velocity fluctuations, highlighting not only the multiple frequency band capabilities of the system (up to 7 bands), but also the strength of the combined echosounder and current profiling functions. Echoview, a commercial software package for hydroacoustic data processing, was used to further explore the spatial and temporal patterns of the organisms observed in the echosounder data. A semi-automated technique was implemented to efficiently and objectively clean (e. g. remove interference generated by passing ship traffic), classify (e.g. based on relative frequency response or morphology), and characterize the narrow bandwidth and pulse compressed echosounder data by generating outputs that can contribute to the management and monitoring of aquatic resources.</t>
  </si>
  <si>
    <t>[Velasco, David W.] Nortek Grp, San Diego, CA 92131 USA; [Lefevre, Dominique; Zakardjian, Bruno] CNRS MIO, Marseille, France; [Gojak, Carl; Mahiouz, Karim; Heyndrickx, Celine] Div Tech LINSU, La Seyne Sur Mer, France; [Nylund, Sven] Nortek Grp, Rud, Norway; [Hutton, Briony] Echoview Software Pty Ltd, Hobart, Australia; [Bezile, Antoine] Nortek Grp, Toulon, France</t>
  </si>
  <si>
    <t>Velasco, DW (corresponding author), Nortek Grp, San Diego, CA 92131 USA.</t>
  </si>
  <si>
    <t>david.velasco@nortekgroup.com</t>
  </si>
  <si>
    <t>French Oceanographic Fleet (EMSOANTARES project)</t>
  </si>
  <si>
    <t>The authors would like to thank Haley Viehman for assistance with the Wavelet analysis, as well as all the field crew responsible for the successful deployment and recovering of the ALBATROSS mooring containing the Signature100. The EMSO Western Ligurian project is supported by the French Oceanographic Fleet (EMSOANTARES project, DOI 10.17600/18001080).</t>
  </si>
  <si>
    <t>WOS:000947273302122</t>
  </si>
  <si>
    <t>Geodynamic setting of Scotia Sea and its effects on geomorphology of South Sandwich Trench, Southern Ocean</t>
  </si>
  <si>
    <t>South Atlantic Ocean; Scotia Sea Plate; deep-sea trench; GMT; Geology; Cartography</t>
  </si>
  <si>
    <t>TECTONIC EVOLUTION; MANTLE FLOW; ARC; ATLANTIC; RIDGE; MODEL; GMT; SYSTEM; NORTH; GEOCHEMISTRY</t>
  </si>
  <si>
    <t>The South Sandwich Trench located eastward of the Drake Passage in the Scotia Sea between Antarctica and South America is one of the least studied deep-sea trenches. Its geomorphological formation and present shape formed under the strong influence of the tectonic plate movements and various aspects of the geological setting, i.e., sediment thickness, faults, fracture zones and geologic lineaments. The aim of this paper is to link the geological and geophysical setting of the Scotia Sea with individual geomorphological features of the South Sandwich Trench in the context of the phenomena of its formation and evolution. Linking several datasets (GEBCO, ETOPO1, EGM96, GlobSed and marine free-air gravity raster grids, geological vector layers) highlights correlations between various factors affecting deep-sea trench formation and development, using the Generic Mapping Tools (GMT) for cartographic mapping. The paper contributes to the regional studies of the submarine geomorphology in the Antarctic region with a technical application of the GMT cartographic scripting toolset.</t>
  </si>
  <si>
    <t>[Lemenkova, Polina] Russian Acad Sci, Schmidt Inst Phys Earth, Bolshaya Gruzinskaya St 10,Bld 1, Moscow 123995, Russia</t>
  </si>
  <si>
    <t>Lemenkova, P (corresponding author), Russian Acad Sci, Schmidt Inst Phys Earth, Bolshaya Gruzinskaya St 10,Bld 1, Moscow 123995, Russia.</t>
  </si>
  <si>
    <t>I am indebted to Philip Leat from British Antarctic Survey, Tomasz Janik from the Institute of Geophysics, Polish Academy of Sciences and two anonymous reviewers for their careful reading, critical reviews and constructive comments that helped improve both the maps and the text in an initial version of the typescript. The research has been implemented in the framework of the Project No. 0144-2019-0011, Schmidt Institute of Physics of the Earth, Russian Academy of Sciences.</t>
  </si>
  <si>
    <t>10.24425/ppr.2021.136510</t>
  </si>
  <si>
    <t>WOS:000632220600001</t>
  </si>
  <si>
    <t>Kyyak, N; Lobachevska, O</t>
  </si>
  <si>
    <t>Kyyak, N.; Lobachevska, O.</t>
  </si>
  <si>
    <t>MORPHO-PHYSIOLOGICAL REACTIONS OF GRAVISENSITIVITY AND ADAPTATION TO UV IRRADIATION OF THE MOSSBRYUMCAESPITICIUMHEDW. FROM ANTARCTICA</t>
  </si>
  <si>
    <t>SPACE SCIENCE AND TECHNOLOGY-KOSMICNA NAUKA I TEHNOLOGIA</t>
  </si>
  <si>
    <t>gravi-dependent growth reactions; UV irradiation; phenols; flavonoids; antioxidant activity; mosses; Antarctica</t>
  </si>
  <si>
    <t>TOTAL PHENOLIC CONTENT; DESICCATION TOLERANCE; ANTIOXIDANT ACTIVITY; MOSS; BRYOPHYTES; STRESS; PLANTS; EXPOSURE; ECOLOGY; BIOLOGY</t>
  </si>
  <si>
    <t>The adaptive physiological reactions of the moss Bryum caespiticium Hedw. from Antarctica to the influence of UV radiation and gravimorphoses as a factor of adaptive plasticity, associated with environmental conditions, were studied. As a control, B. caespiticium plants were collected in the Nature Reserve Roztochchia (Lviv region). In investigations,we used a sterile laboratory culture of mosses grown under controlled conditions in a phytotron. Moss shoots were irradiated with UV rays generated by an ultraviolet lamp OSRAM with an intensity of 4 kW/m(2), which caused 50 % inhibition of plant regeneration (ED50). Physiological parameters were determined 24 h after exposure to UV radiation. The influence of gravity on the morphological form of B. caespiticium gametophyte turf and the interaction of light and gravity in gravi-/phototropism as a manifestation of gravimorphoses adaptability were analyzed. One of the objectiveswas to investigate the formation of gravimorphoses as a result of the initiation of cells' branching processes and the formation of gametophore buds and to evaluatetheir role in the life cycle of B. caespiticium under extreme conditions. For this, we determined the branching coefficient of the gravitropic protonema, the inclination angle of the branches and the buds' development depending on the interaction of photo-and gravitropism, under the influence of red and blue light, and the effect of UV on gravisensitivity. The influence of physiologically active red and blue light on the branching activity and bud formation on the gravitropic protonema of the Antarctic moss B. caespiticium was investigated. It was found that red light mainly inhibited graviperception and gravitropic growth of protonemata cells, resulting in a change of the response to gravity, but initiated high branching activity and, accordingly, another morphological form of turf. After the influence of the blue light, intensive bud formation and gametophore development were observed. Thus, gravitation promoted morphological variability and changes in the functional activity of cells at the juvenile stage of the protonemata development, which is important for the survival of the moss under extreme environmental conditions. After UV irradiation the gravisensitivity of the B. caespiticium protonemata decreased.However, due to the resistance of the moss sample from Antarctica to the prolonged influence of UV rays, gravitropic growth was not completely blocked, as in plants from the Lviv region. The effect of the ultraviolet irradiation on the antioxidant activity, the content of soluble (vacuolar) and cell wall-bound fractions of UV-absorbing phenolic components, flavonoids content and their absorption spectra, as well as the amount of carotenoids and anthocyanins in B. caespiticium shoots, were determined. It was established that B. caespiticium plants from Antarctica have 1.5 times higher antioxidant activity compared to plants from the Lviv region, which confirms the high level of protection against oxidative damage. UV irradiation activates the synthesis of UV-absorbing phenolic compounds in mosses. The shoots of B. caespiticium from Antarctica defined a higher content of phenols compared to samples from the Lviv region and their significant increase under the influence of UV radiation. The content of UV-absorbing compounds bound with the cell wall was higher than the concentration of soluble phenolic compounds, both in plants from Antarctica and in samples from the Lviv region, which indicates their participation in the mechanisms of cells protection from UV radiation. It was shown that the influence of UV irradiation induced an increase of flavonoids' content in the shoots of both samples of B. caespiticium, but for plants from Antarctica, the concentration of flavonoids after stress was 1.7 times higher than in plants from theLviv region. The absorption spectra of flavonoids revealed flavonolsrutin and quercetin and flavoneluteolin in both samples of B. caespiticium, which provide effective cells absorption of UV rays. The higher content of anthocyanins and carotenoids in moss shoots from Antarctica both in the control sample and after the exposure to UV radiation promotesthe protection against damage and formation of the adaptive potential.</t>
  </si>
  <si>
    <t>[Kyyak, N.; Lobachevska, O.] Natl Acad Sci Ukraine, Inst Ecol Carpathian, 4 Kozelnytska Str, UA-79026 Lvov, Ukraine</t>
  </si>
  <si>
    <t>National Academy of Sciences Ukraine</t>
  </si>
  <si>
    <t>Kyyak, N (corresponding author), Natl Acad Sci Ukraine, Inst Ecol Carpathian, 4 Kozelnytska Str, UA-79026 Lvov, Ukraine.</t>
  </si>
  <si>
    <t>kyyak_n@i.ua</t>
  </si>
  <si>
    <t>Kyyak, Natalia Ya./Q-6017-2018</t>
  </si>
  <si>
    <t>PUBLISHING HOUSE AKADEMPERIODYKA</t>
  </si>
  <si>
    <t>PUBLISHING HOUSE AKADEMPERIODYKA, KYIV, 00000, UKRAINE</t>
  </si>
  <si>
    <t>1561-8889</t>
  </si>
  <si>
    <t>2518-1459</t>
  </si>
  <si>
    <t>SPACE SCI TECHNOL</t>
  </si>
  <si>
    <t>Space Sci. Technol.</t>
  </si>
  <si>
    <t>10.15407/knit2021.05.047</t>
  </si>
  <si>
    <t>XU7VT</t>
  </si>
  <si>
    <t>WOS:000734468500005</t>
  </si>
  <si>
    <t>THE VISUALIZATION OF GEOPHYSICAL AND GEOMORPHOLOGIC DATA FROM THE AREA OF WEDDELL SEA BY THE GENERIC MAPPING TOOLS</t>
  </si>
  <si>
    <t>STUDIA QUATERNARIA</t>
  </si>
  <si>
    <t>Weddell Sea; Antarctic; GMT; Cartography; Geophysics</t>
  </si>
  <si>
    <t>ANTARCTIC ICE-SHEET; SEDIMENT TRANSPORT; DEGLACIAL HISTORY; EMBAYMENT; PENINSULA; SYSTEMS; SURFACE; WATER; CONSTRAINTS; THICKNESS</t>
  </si>
  <si>
    <t>The paper concerns GMT application for studies of the geophysical and geomorphological settings of the Weddell Sea. Its western part is occupied by the back-arc basin developed during geologic evolution of the Antarctic. The mapping presents geophysical settings reflecting tectonic formation of the region, glaciomarine sediment distribution and the bathymetry. The GlobSed grid highlighted the abnormally large thickness of sedimentary strata resulted from the long lasting sedimentation and great subsidence ratio. The sediment thickness indicated significant influx (&gt;13,000m) in the southern segment. Values of 6,000-7,000 m along the peninsula indicate stability of the sediments influx. The northern end of the Filchner Trough shows increased sediment supply. The topography shows variability -7,160-4,763 m. The ridges in the northern segment and gravity anomalies (&gt;75 mGal) show parallel lines stretching NW-SE (10 degrees-45 degrees W, 60 degrees-67 degrees S) which points at the effects of regional topography. The basin is dominated by the slightly negative gravity &gt;-30 mGal. The geoid model shows a SW-NE trend with the lowest values &lt;18 m in the south, the highest values &gt;20m in the NE and along the Coats Land. The ripples in the north follow the geometry of the submarine ridges and channels proving correlation with topography and gravitational equipotential surface.</t>
  </si>
  <si>
    <t>[Lemenkova, Polina] Russian Acad Sci, Schmidt Inst Phys Earth, Dept Nat Disasters Anthropogen Hazards &amp; Seism, Lab Reg Geophys &amp; Nat Disasters, Bolshaya Gruzinskaya Str 10,Bld 1, Moscow 123995, Russia</t>
  </si>
  <si>
    <t>Lemenkova, P (corresponding author), Russian Acad Sci, Schmidt Inst Phys Earth, Dept Nat Disasters Anthropogen Hazards &amp; Seism, Lab Reg Geophys &amp; Nat Disasters, Bolshaya Gruzinskaya Str 10,Bld 1, Moscow 123995, Russia.</t>
  </si>
  <si>
    <t>The author gratefully acknowledges the anonymous referees for their helpful comments. This research was implemented into the framework of the project No. 0144-2019-0011, Schmidt Institute of Physics of the Earth, Russian Academy of Sciences.</t>
  </si>
  <si>
    <t>POLISH ACAD SCIENCES, INST GEOLOGICAL SCIENCES</t>
  </si>
  <si>
    <t>UL TWARDA 51-55, WARSAW, 00-818, POLAND</t>
  </si>
  <si>
    <t>1641-5558</t>
  </si>
  <si>
    <t>2300-0384</t>
  </si>
  <si>
    <t>STUD QUAT</t>
  </si>
  <si>
    <t>Stud. Quat.</t>
  </si>
  <si>
    <t>10.24425/sq.2020.133759</t>
  </si>
  <si>
    <t>RN8PP</t>
  </si>
  <si>
    <t>WOS:000640614200002</t>
  </si>
  <si>
    <t>Sutherland, WJ; Atkinson, PW; Broad, S; Brown, S; Clout, M; Dias, MP; Dicks, LV; Doran, H; Fleishman, E; Garratt, EL; Gaston, KJ; Hughes, AC; Le Roux, X; Lickorish, FA; Maggs, L; Palardy, JE; Peck, LS; Pettorelli, N; Pretty, J; Spalding, MD; Tonneijck, FH; Walpole, M; Watson, JEM; Wentworth, J; Thornton, A</t>
  </si>
  <si>
    <t>Sutherland, William J.; Atkinson, Philip W.; Broad, Steven; Brown, Sam; Clout, Mick; Dias, Maria P.; Dicks, Lynn V.; Doran, Helen; Fleishman, Erica; Garratt, Elizabeth L.; Gaston, Kevin J.; Hughes, Alice C.; Le Roux, Xavier; Lickorish, Fiona A.; Maggs, Luke; Palardy, James E.; Peck, Lloyd S.; Pettorelli, Nathalie; Pretty, Jules; Spalding, Mark D.; Tonneijck, Femke H.; Walpole, Matt; Watson, James E. M.; Wentworth, Jonathan; Thornton, Ann</t>
  </si>
  <si>
    <t>A 2021 Horizon Scan of Emerging Global Biological Conservation Issues</t>
  </si>
  <si>
    <t>OCEAN; OXYGEN</t>
  </si>
  <si>
    <t>We present the results from our 12th annual horizon scan of issues likely to impact biological conservation in the future. From a list of 97 topics, our global panel of 25 scientists and practitioners identified the top 15 issues that we believe society may urgently need to address. These issues are either novel in the biological conservation sector or represent a substantial positive or negative step-change in impact at global or regional level. Six issues, such as coral reef deoxygenation and changes in polar coastal productivity, affect marine or coastal ecosystems and seven relate to human and ecosystem-level responses to climate change. Identification of potential forthcoming issues for biological conservation may enable increased preparedness by researchers, practitioners, and decision-makers.</t>
  </si>
  <si>
    <t>[Sutherland, William J.; Dicks, Lynn V.; Spalding, Mark D.; Thornton, Ann] Univ Cambridge, Conservat Sci Grp, Dept Zool, David Attenborough Bldg,Pembroke St, Cambridge CB2 3QZ, England; [Atkinson, Philip W.] British Trust Ornithol, The Nunnery IP24 2PU, Thetford, England; [Broad, Steven] TRAFFIC, David Attenborough Bldg,Pembroke St, Cambridge CB2 3QZ, England; [Brown, Sam] Environm Agcy, Horizon House,Deanery Rd, Bristol BS1 5AH, Avon, England; [Clout, Mick] Univ Auckland, Sch Biol Sci, Ctr Biodivers &amp; Biosecur, PB 90129, Auckland, New Zealand; [Dias, Maria P.] BirdLife Int, David Attenborough Bldg,Pembroke St, Cambridge CB2 3QZ, England; [Dias, Maria P.] Inst Univ, MARE Marine &amp; Environm Sci Ctr, ISPA, Lisbon, Portugal; [Dicks, Lynn V.] Univ East Anglia, Sch Biol Sci, Norwich NR4 7TJ, Norfolk, England; [Doran, Helen] Eastbrook, Nat England, Shaftesbury Rd, Cambridge CB2 8DR, England; [Fleishman, Erica] Oregon State Univ, Coll Earth Ocean &amp; Atmospher Sci, Corvallis, OR 97331 USA; [Garratt, Elizabeth L.] NERC, UK Res &amp; Innovat, Polaris House,North Star Ave, Swindon SN2 1EU, Wilts, England; [Gaston, Kevin J.] Univ Exeter, Environm &amp; Sustainabil Inst, Penryn TR10 9FE, Cornwall, England; [Hughes, Alice C.] Chinese Acad Sci, Ctr Integrat Conservat, Xishuangbanna Trop Bot Garden, Xishuangbanna 666303, Yunnan, Peoples R China; [Le Roux, Xavier] Univ Lyon 1, Microbial Ecol Ctr, UMR1418, CNRS,VetAgroSup, F-69622 Villeurbanne, France; [Le Roux, Xavier] Fdn Rech Biodivers, BiodivERsA, 195 Rue St Jacques, F-75005 Paris, France; [Lickorish, Fiona A.] UK Res &amp; Consultancy Serv RCS Ltd, Hereford HR4 8BU, England; [Maggs, Luke] Nat Resources Wales, Cambria House,29 Newport Rd, Cardiff CF24 0TP, Wales; [Palardy, James E.] Pew Charitable Trusts, 901 E St NW, Washington, DC 20004 USA; [Peck, Lloyd S.] British Antarctic Survey, Nat Environm Res Council, Madingley Rd, Cambridge CB3 0ET, England; [Pettorelli, Nathalie] Zool Soc London, Inst Zool, Regents Pk, London NW1 4RY, England; [Pretty, Jules] Univ Essex, Sch Life Sci, Colchester CO4 3SQ, Essex, England; [Spalding, Mark D.] Univ Siena, Nat Conservancy, Dept Phys Earth &amp; Environm Sci, I-53100 Siena, Italy; [Tonneijck, Femke H.] Wetlands Int, NL-6700 AL Wageningen, Netherlands; [Walpole, Matt] Fauna &amp; Flora Int, David Attenborough Bldg,Pembroke St, Cambridge CB2 3QZ, England; [Watson, James E. M.] Univ Queensland, Sch Earth &amp; Environm Sci, St Lucia, Qld 4072, Australia; [Watson, James E. M.] Wildlife Conservat Soc, 2300 Southern Blvd, Bronx, NY 10460 USA; [Wentworth, Jonathan] Parliamentary Off Sci &amp; Technol, 14 Tothill St, London SW1H 9NB, England</t>
  </si>
  <si>
    <t>University of Cambridge; British Trust for Ornithology; University of Auckland; BirdLife International; Instituto Superior Psicologia Aplicada (ISPA); Instituto Universitario de Lisboa; University of East Anglia; Oregon State University; UK Research &amp; Innovation (UKRI); Natural Environment Research Council (NERC); University of Exeter; Chinese Academy of Sciences; Xishuangbanna Tropical Botanical Garden, CAS; VetAgro Sup; Centre National de la Recherche Scientifique (CNRS); Universite Claude Bernard Lyon 1; UK Research &amp; Innovation (UKRI); Natural Environment Research Council (NERC); NERC British Antarctic Survey; Zoological Society of London; University of Essex; University of Siena; University of Queensland; Wildlife Conservation Society</t>
  </si>
  <si>
    <t>Sutherland, WJ (corresponding author), Univ Cambridge, Conservat Sci Grp, Dept Zool, David Attenborough Bldg,Pembroke St, Cambridge CB2 3QZ, England.</t>
  </si>
  <si>
    <t>w.sutherland@zoo.cam.ac.uk</t>
  </si>
  <si>
    <t>Hughes, Alice C./HCH-3838-2022; Atkinson, Philip W/B-8975-2009; Sutherland, William/B-1291-2013; Dicks, Lynn V./AFH-5289-2022; Dias, Maria P./D-1331-2012; Spalding, Mark/GVU-0739-2022; Pettorelli, Nathalie/AAW-8438-2021; Watson, James Edward Maxwell/D-8779-2013</t>
  </si>
  <si>
    <t>Hughes, Alice C./0000-0002-4899-3158; Dicks, Lynn V./0000-0002-8304-4468; Dias, Maria P./0000-0002-7281-4391; Watson, James Edward Maxwell/0000-0003-4942-1984; Lickorish, Fiona/0000-0002-0696-202X; Atkinson, Philip/0000-0002-0838-557X; Pettorelli, Nathalie/0000-0002-1594-6208; Palardy, James/0000-0002-8347-7108; LE ROUX, Xavier/0000-0001-9695-0825; Spalding, Mark/0000-0001-9456-4533</t>
  </si>
  <si>
    <t>Natural Environment Research Council; Royal Society for the Protection of Birds (RSPB); Arcadia; NERC [NE/N014472/2, bas0100036] Funding Source: UKRI</t>
  </si>
  <si>
    <t>Natural Environment Research Council(UK Research &amp; Innovation (UKRI)Natural Environment Research Council (NERC)); Royal Society for the Protection of Birds (RSPB); Arcadia; NERC(UK Research &amp; Innovation (UKRI)Natural Environment Research Council (NERC))</t>
  </si>
  <si>
    <t>This exercise was coordinated by the Cambridge Conservation Initiative and was funded by the Natural Environment Research Council and the Royal Society for the Protection of Birds (RSPB). We are grateful to everyone who submitted ideas to the exercise, in particular Randi Rotjan (deoxygenation on coral reefs), Steven Degraer (decommissioning offshore), Alexander Gershunov and Rachel Clemesha (coastal low clouds), Nicola Stevens, Maria Long, and Charlie Gardner (challenges to tree plantations), and Lammert Hilarides (emergence of a global market for stranded energy). The results, conclusions, and opinions expressed are those of the authors and do not necessarily reflect the views of any of their organisations. A.T. and W.J.S. are funded by Arcadia.</t>
  </si>
  <si>
    <t>10.1016/j.tree.2020.10.014</t>
  </si>
  <si>
    <t>Green Submitted, Bronze, Green Accepted, Green Published</t>
  </si>
  <si>
    <t>WOS:000604275900017</t>
  </si>
  <si>
    <t>Storey, BC; Granot, R</t>
  </si>
  <si>
    <t>Storey, Bryan C.; Granot, Roi</t>
  </si>
  <si>
    <t>Tectonic history of Antarctica over the past 200 million years</t>
  </si>
  <si>
    <t>MARIE-BYRD-LAND; NORTHERN VICTORIA-LAND; MANTLE-PLUME ACTIVITY; ROSS SEA REGION; WEST-ANTARCTICA; TRANSANTARCTIC MOUNTAINS; NEW-ZEALAND; ELLSWORTH MOUNTAINS; THURSTON ISLAND; PACIFIC MARGIN</t>
  </si>
  <si>
    <t>The tectonic evolution of Antarctica in the Mesozoic and Cenozoic eras was marked by igneous activity that formed as a result of simultaneous continental rifting and subduction processes acting during the final stages of the southward drift of Gondwana towards the South Pole. For the most part, continental rifting resulted in the progressive disintegration of the Gondwana supercontinent from Middle Jurassic times to the final isolation of Antarctica at the South Pole following the Cenozoic opening of the surrounding ocean basins, and the separation of Antarctica from South America and Australia. The initial rifting into East and West Gondwana was proceeded by emplacement of large igneous provinces preserved in present-day South America, Africa and Antarctica. Continued rifting within Antarctica did not lead to continental separation but to the development of the West Antarctic Rift System, dividing the continent into the East and West Antarctic plates, and uplift of the Transantarctic Mountains. Motion between East and West Antarctica has been accommodated by a series of discrete rifting pulses with a westward shift and concentration of the motion throughout the Cenozoic leading to crustal thinning, subsidence, elevated heat flow conditions and rift-related magmatic activity. Contemporaneous with the disintegration of Gondwana and the isolation of Antarctica, subduction processes were active along the palaeo-Pacific margin of Antarctica recorded by magmatic arcs, accretionary complexes, and forearc and back-arc basin sequences. A low in magmatic activity between 156 and 142 Ma suggests that subduction may have ceased during this time. Today, following the gradual cessation of the Antarctic rifting and surrounding subduction, the Antarctic continent is situated close to the centre of a large Antarctic Plate which, with the exception of an active margin on the northern tip of the Antarctic Peninsula, is surrounded by active spreading ridges.</t>
  </si>
  <si>
    <t>[Storey, Bryan C.] Univ Canterbury, Gateway Antarctic, Christchurch 8041, New Zealand; [Granot, Roi] Ben Gurion Univ Negev, Dept Geol &amp; Environm Sci, IL-84105 Beer Sheva, Israel</t>
  </si>
  <si>
    <t>University of Canterbury; Ben Gurion University</t>
  </si>
  <si>
    <t>Storey, BC (corresponding author), Univ Canterbury, Gateway Antarctic, Christchurch 8041, New Zealand.</t>
  </si>
  <si>
    <t>b.storey@xtra.co.nz</t>
  </si>
  <si>
    <t>Granot, Roi/F-4555-2012</t>
  </si>
  <si>
    <t>10.1144/M55-2018-38</t>
  </si>
  <si>
    <t>WOS:000683732500003</t>
  </si>
  <si>
    <t>Antarctic volcanism: volcanology and palaeoenvironmental overview</t>
  </si>
  <si>
    <t>JAMES-ROSS-ISLAND; SOUTH SHETLAND ISLANDS; MARIE-BYRD-LAND; NORTHERN VICTORIA LAND; LARGE IGNEOUS PROVINCES; FLOOD-BASALT VOLCANISM; PENINSULA ICE-SHEET; FORE-ARC MAGMATISM; KING GEORGE ISLAND; TRANSANTARCTIC MOUNTAINS</t>
  </si>
  <si>
    <t>Since Jurassic time (c. 200 Ma), Antarctica has had a greater diversity of volcanism than other southern continents. It includes: (1) voluminous mafic and felsic volcanism associated with the break-up of Gondwana; (2) a long-lived continental margin volcanic arc, including back-arc alkaline volcanism linked to slab rollback; (3) small-volume mafic alkaline volcanism associated with slab-window formation; and (4) one of Earth's major continental rift zones, the West Antarctic Rift System (WARS), with its numerous large alkaline central volcanoes. Several of Antarctica's volcanoes are still active. This chapter is a review of the major volcanic episodes and their principal characteristics, in their tectonic, volcanological and palaeoenvironmental contexts. Jurassic Gondwana break-up was associated with large-scale volcanism that caused global environmental changes and associated mass extinctions. The volcanic arc was a major extensional arc characterized by alternating volcanic flare-ups and lulls. The Neogene rift-related alkaline volcanism is dominated by effusive glaciovolcanic eruptions, overwhelmingly as both pahoehoe- and 'a'a-sourced lava-fed deltas. The rift is conspicuously poor in pyroclastic rocks due to the advection and removal of tephra erupted during glacial intervals. Volcanological investigations of the Neogene volcanism have also significantly increased our knowledge of the critical parameters and development of the Antarctic Ice Sheet.</t>
  </si>
  <si>
    <t>[Smellie, John L.] Univ Leicester, Dept Geog Geol &amp; Environm, Leicester LE1 7RH, Leics, England</t>
  </si>
  <si>
    <t>Smellie, JL (corresponding author), Univ Leicester, Dept Geog Geol &amp; Environm, Leicester LE1 7RH, Leics, England.</t>
  </si>
  <si>
    <t>Transantarctic Association</t>
  </si>
  <si>
    <t>This research was supported by grants from the Transantarctic Association, which were particularly helpful.</t>
  </si>
  <si>
    <t>10.1144/M55-2020-1</t>
  </si>
  <si>
    <t>WOS:000683732500004</t>
  </si>
  <si>
    <t>Martin, AP; Cooper, AF; Price, RC; Kyle, PR; Gamble, JA</t>
  </si>
  <si>
    <t>Martin, Adam P.; Cooper, Alan F.; Price, Richard C.; Kyle, Philip R.; Gamble, John A.</t>
  </si>
  <si>
    <t>Erebus Volcanic Province: petrology</t>
  </si>
  <si>
    <t>SOUTHERN VICTORIA LAND; WEST ANTARCTIC RIFT; LITHOSPHERIC MANTLE BENEATH; HUT-POINT-PENINSULA; MARIE BYRD LAND; DOME ICE CORE; MCMURDO-SOUND; ROSS-ISLAND; ERUPTIVE HISTORY; BROWN-PENINSULA</t>
  </si>
  <si>
    <t>Igneous rocks of the Erebus Volcanic Province have been investigated for more than a century but many aspects of petrogenesis remain problematic. Current interpretations are assessed and summarized using a comprehensive dataset of previously published and new geo-chemical and geochronological data. Igneous rocks, ranging in age from 25 Ma to the present day, are mainly nepheline normative. Compositional variation is largely controlled by fractionation of olivine + clinopyroxene + magnetite/ilmenite + titanite +/- kaersutite +/- feldspar, with relatively undifferentiated melts being generated by &lt;10% partial melting of a mixed spinel + garnet lherzolite source. Equilibration of radiogenic Sr, Nd, Pb and Hf is consistent with a high time-integrated HIMU sensu stricto source component and this is unlikely to be related to subduction of the palaeo-Pacific Plate around 0.5 Ga. Relatively undifferentiated whole-rock chemistry can be modelled to infer complex sources comprising depleted and enriched peridotite, HIMU, eclogite-like and carbonatite-like components. Spatial (west-east) variations in Sr, Nd and Pb isotopic compositions and Ba/Rb and Nb/Ta ratios can be interpreted to indicate increasing involvement of an eclogitic crustal component eastwards. Melting in the region is related to decompression, possibly from edge-driven mantle convection or a mantle plume.</t>
  </si>
  <si>
    <t>[Martin, Adam P.] GNS Sci, Private Bag 1930, Dunedin, New Zealand; [Cooper, Alan F.] Univ Otago, Dept Geol, POB 56, Dunedin, New Zealand; [Price, Richard C.] Univ Waikato, Sci &amp; Engn, Hamilton, New Zealand; [Kyle, Philip R.] New Mexico Inst Min &amp; Technol, Dept Earth &amp; Environm Sci, Socorro, NM 87801 USA; [Gamble, John A.] Victoria Univ Wellington, Sch Geog Environm &amp; Earth Sci, Wellington, New Zealand; [Gamble, John A.] Univ Coll Cork, Sch Biol Earth &amp; Environm Sci, North Mall, Cork, Ireland</t>
  </si>
  <si>
    <t>GNS Science - New Zealand; University of Otago; University of Waikato; New Mexico Institute of Mining Technology; Victoria University Wellington; University College Cork</t>
  </si>
  <si>
    <t>Martin, AP (corresponding author), GNS Sci, Private Bag 1930, Dunedin, New Zealand.</t>
  </si>
  <si>
    <t>A.Martin@gns.cri.nz</t>
  </si>
  <si>
    <t>Kyle, Philip/0000-0001-6598-8062; Martin, A. P./0000-0002-4676-8344</t>
  </si>
  <si>
    <t>Antarctica New Zealand</t>
  </si>
  <si>
    <t>Antarctica New Zealand provided financial and logistical support over several field seasons.</t>
  </si>
  <si>
    <t>10.1144/M55-2018-80</t>
  </si>
  <si>
    <t>WOS:000683732500025</t>
  </si>
  <si>
    <t>Panter, KS; Reindel, J; Smellie, JL</t>
  </si>
  <si>
    <t>Panter, Kurt S.; Reindel, Jenna; Smellie, John L.</t>
  </si>
  <si>
    <t>Mount Early and Sheridan Bluff: petrology</t>
  </si>
  <si>
    <t>NORTHERN VICTORIA LAND; MCMURDO VOLCANIC GROUP; MARIE BYRD LAND; TRACE-ELEMENT; WEST ANTARCTICA; ROSS SEA; LITHOSPHERIC MANTLE; MAGMATIC PROCESSES; OCEANIC BASALTS; O-ISOTOPE</t>
  </si>
  <si>
    <t>This study discusses the petrological and geochemical features of two monogenetic Miocene volcanoes, Mount Early and Sheridan Bluff, which are the above-ice expressions of Earth's southernmost volcanic field located at c. 87 degrees S on the East Antarctic Craton. Their geo-chemistry is compared to basalts from the West Antarctic Rift System to test affiliation and resolve mantle sources and cause of melting beneath East Antarctica. Basaltic lavas and dykes are olivine-phyric and comprise alkaline (hawaiite and mugearite) and subalkaline (tholeiite) types. Trace element abundances and ratios (e.g. La/Yb, Nb/Y, Zr/Y) of alkaline compositions resemble basalts from the West Antarctic rift and ocean islands (OIB), while tholeiites are relatively depleted and approach the concentrations levels of enriched mid-ocean ridge basalt (EMORB). The magmas evolved by fractional crystallization with contamination by crust; however, neither process can adequately explain the contemporaneous eruption of hawaiite and tholeiite at Sheridan Bluff. Our preferred scenario is that primary magmas of each type were produced by different degrees of partial melting from a compositionally similar mantle source. The nearly simultaneous generation of lower degrees of melting to produce alkaline types and higher degrees of melting forming tholeiite was most likely to have been facilitated by the detachment and dehydration of metasomatized mantle lithosphere.</t>
  </si>
  <si>
    <t>[Panter, Kurt S.; Reindel, Jenna] Bowling Green State Univ, Sch Earth Environm &amp; Soc, Bowling Green, OH 43403 USA; [Smellie, John L.] Univ Leicester, Dept Geol, Leicester LE1 7RH, Leics, England</t>
  </si>
  <si>
    <t>University System of Ohio; Bowling Green State University; University of Leicester</t>
  </si>
  <si>
    <t>US National Science Foundation [NSF-PLR 1443576]</t>
  </si>
  <si>
    <t>US National Science Foundation(National Science Foundation (NSF))</t>
  </si>
  <si>
    <t>This work and an assistantship for Reindel (MSc) was provided by a US National Science Foundation grant NSF-PLR 1443576 awarded to KSP.</t>
  </si>
  <si>
    <t>10.1144/M55-2019-2</t>
  </si>
  <si>
    <t>WOS:000683732500027</t>
  </si>
  <si>
    <t>Pérez, LF; Martos, YM; García, M; Weber, ME; Raymo, ME; Williams, T; Bohoyo, F; Armbrecht, L; Bailey, I; Brachfeld, S; Glüder, A; Guitard, M; Gutjahr, M; Hemming, S; Hernández-Almeida, I; Hoem, FS; Kato, Y; O'Connell, S; Peck, VL; Reilly, B; Ronge, TA; Tauxe, L; Warnock, J; Zheng, XF</t>
  </si>
  <si>
    <t>Perez, Lara F.; Martos, Yasmina M.; Garcia, Marga; Weber, Michael E.; Raymo, Maureen E.; Williams, Trevor; Bohoyo, Fernando; Armbrecht, Linda; Bailey, Ian; Brachfeld, Stefanie; Gluder, Anna; Guitard, Michelle; Gutjahr, Marcus; Hemming, Sidney; Hernandez-Almeida, Ivan; Hoem, Frida S.; Kato, Yuji; O'Connell, Suzanne; Peck, Victoria L.; Reilly, Brendan; Ronge, Thomas A.; Tauxe, Lisa; Warnock, Jonathan; Zheng, Xufeng</t>
  </si>
  <si>
    <t>IODP Expedition 382 Scientists</t>
  </si>
  <si>
    <t>Miocene to present oceanographic variability in the Scotia Sea and Antarctic ice sheets dynamics: Insight from revised seismic-stratigraphy following IODP Expedition 382</t>
  </si>
  <si>
    <t>Drake Passage; Scotia Sea; IODP Expedition 382; oceanic gateways; Antarctic ice sheets evolution; core-log-seismic correlation</t>
  </si>
  <si>
    <t>SOUTHERN-OCEAN; BOTTOM WATER; EVOLUTION; BASINS; EOCENE; FLOW; ARC; TECTONICS; PROTECTOR; BOUNDARY</t>
  </si>
  <si>
    <t>Scotia Sea and the Drake Passage is key towards understanding the development of modern oceanic circulation patterns and their implications for ice sheet growth and decay. The sedimentary record of the southern Scotia Sea basins documents the regional tectonic, oceanographic and climatic evolution since the Eocene. However, a lack of accurate age estimations has prevented the calibration of the reconstructed history. The upper sedimentary record of the Scotia Sea was scientifically drilled for the first time in 2019 during International Ocean Discovery Program (IODP) Expedition 382, recovering sediments down to similar to 643 and 676 m below sea floor in the Dove and Pine basins respectively. Here, we report newly acquired high resolution physical properties data and the first accurate age constraints for the seismic sequences of the upper sedimentary record of the Scotia Sea to the late Miocene. The drilled record contains four basin-wide reflectors - Reflector-c, -b, -a and -a' previously estimated to be similar to 12.6 Ma, similar to 6.4 Ma, similar to 3.8 Ma and similar to 2.6 Ma, respectively. By extrapolating our new Scotia Sea age model to previous morpho-structural and seismic-stratigraphic analyses of the wider region we found, however, that the four discontinuities drilled are much younger than previously thought. Reflector-c actually formed before 8.4 Ma, Reflector-b at similar to 4.5/3.7 Ma, Reflector-a at similar to 1.7 Ma, and Reflector-a' at similar to 0.4 Ma. Our updated age model of these discontinuities has major implications for their correlation with regional tectonic, oceanographic and cryospheric events. According to our results, the outflow of Antarctic Bottom Water to northern latitudes controlled the Antarctic Circumpolar Current flow from late Miocene. Subsequent variability of the Antarctic ice sheets has influenced the oceanic circulation pattern linked to major global climatic changes during early Pliocene, Mid-Pleistocene and the Marine Isotope Stage 11. (C) 2020 The Authors. Published by Elsevier B.V.</t>
  </si>
  <si>
    <t>[Perez, Lara F.; Peck, Victoria L.] British Antarctic Survey, Cambridge, England; [Martos, Yasmina M.] NASA, Goddard Space Flight Ctr, Greenbelt, MD USA; [Martos, Yasmina M.] Univ Maryland, College Pk, MD 20742 USA; [Garcia, Marga] Spanish Inst Oceanog, Cadiz, Spain; [Weber, Michael E.] Univ Bonn, Bonn, Germany; [Raymo, Maureen E.; Hemming, Sidney] Columbia Univ, Lamont Doherty Earth Observ, Palisades, NY USA; [Williams, Trevor; IODP Expedition 382 Scientists] Texas A&amp;M Univ, Int Ocean Discovery Program, College Stn, TX USA; [Bohoyo, Fernando] Geol Survey Spain, Madrid, Spain; [Armbrecht, Linda] Univ Adelaide, Sch Biol Sci, Adelaide, SA, Australia; [Bailey, Ian] Univ Exeter, Coll Engn Math &amp; Phys Sci, Camborne Sch Mines, Penryn, England; [Brachfeld, Stefanie] Montclair State Univ, Earth &amp; Environm Studies, Montclair, NJ USA; [Gluder, Anna] Oregon State Univ, Coll Earth Ocean &amp; Atmospher Sci, Corvallis, OR 97331 USA; [Guitard, Michelle] Univ S Florida, Coll Marine Sci, St Petersburg, FL USA; [Gutjahr, Marcus] GEOMAR Helmholtz Ctr Ocean Res, Kiel, Germany; [Hernandez-Almeida, Ivan] ETH, Dept Earth Sci, Zurich, Switzerland; [Hoem, Frida S.] Univ Utrecht, Dept Earth Sci, Utrecht, Netherlands; [Kato, Yuji] Kochi Univ, Ctr Adv Marine Core Res, Kochi, Japan; [O'Connell, Suzanne] Wesleyan Univ, Dept Earth &amp; Environm Sci, Middletown, CT USA; [Reilly, Brendan; Tauxe, Lisa] Univ Calif San Diego, Scripps Inst Oceanog, San Diego, CA 92103 USA; [Ronge, Thomas A.] Helmholtz Ctr Polar &amp; Marine, Alfred Wegener Inst, Bremerhaven, Germany; [Warnock, Jonathan] Indiana Univ Penn, Indiana, PA USA; [Zheng, Xufeng] Chinese Acad Sci, South China Sea Inst Oceanol, Guangzhou, Peoples R China</t>
  </si>
  <si>
    <t>UK Research &amp; Innovation (UKRI); Natural Environment Research Council (NERC); NERC British Antarctic Survey; National Aeronautics &amp; Space Administration (NASA); NASA Goddard Space Flight Center; University System of Maryland; University of Maryland College Park; Spanish Institute of Oceanography; University of Bonn; Columbia University; Texas A&amp;M University System; Texas A&amp;M University College Station; University of Adelaide; University of Exeter; Montclair State University; Oregon State University; State University System of Florida; University of South Florida; Helmholtz Association; GEOMAR Helmholtz Center for Ocean Research Kiel; Swiss Federal Institutes of Technology Domain; ETH Zurich; Utrecht University; Kochi University; Wesleyan University; University of California System; University of California San Diego; Scripps Institution of Oceanography; Helmholtz Association; Alfred Wegener Institute, Helmholtz Centre for Polar &amp; Marine Research; Pennsylvania State System of Higher Education (PASSHE); Indiana University of Pennsylvania; Chinese Academy of Sciences; South China Sea Institute of Oceanology, CAS</t>
  </si>
  <si>
    <t>Pérez, LF (corresponding author), British Antarctic Survey, Cambridge, England.</t>
  </si>
  <si>
    <t>larrez@bas.ac.uk; yasmina.martos@nasa.gov; marga.garcia@ieo.es; mike.weber@uni-bonn.de; raymo@ldeo.columbia.edu; williams@iodp.tamu.edu; f.bohoyo@igme.es; linda.armbrecht@adelaide.edu.au; I.Bailey@exeter.ac.uk; brachfelds@mail.montclair.edu; gluedera@oregonstate.edu; mguitard@mail.usf.edu; mgutjahr@geomar.de; sidney@ldeo.columbia.edu; ivan.hernandez@erdw.ethz.ch; f.s.hoem@uu.nl; jm-ykato@kochi-u.ac.jp; soconnell@wesleyan.edu; vlp@bas.ac.uk; btreilly@ucsd.edu; tronge@awi.de; ltauxe@ucsd.edu; jwarnock@iup.edu; zxf@scsio.ac.cn</t>
  </si>
  <si>
    <t>ALMEIDA, IVAN HERNANDEZ/G-3134-2015; Kato, Yuji/ABF-5333-2020; Armbrecht, Linda/GZB-0547-2022; Garcia, Marga/L-7410-2014; 郑, 旭/JAO-2624-2023; Williams, Trevor/L-7670-2014; Bailey, Ian/G-4707-2010; Bohoyo, Fernando/C-1062-2011; Gutjahr, Marcus/L-9158-2013; Pérez, Lara F./H-3572-2015; Bohoyo, Fernando/AAZ-5990-2021; Zheng, Xufeng/HPC-4252-2023</t>
  </si>
  <si>
    <t>ALMEIDA, IVAN HERNANDEZ/0000-0002-9329-8357; Garcia, Marga/0000-0003-2632-6132; Bailey, Ian/0000-0001-5150-5437; Bohoyo, Fernando/0000-0002-1044-8816; Gutjahr, Marcus/0000-0003-2556-2619; Pérez, Lara F./0000-0002-6229-4564; Bohoyo, Fernando/0000-0002-1044-8816; Glueder, Anna/0000-0002-2829-1204; Kato, Yuji/0000-0001-9420-487X; Tripathi, Shubham/0000-0002-0676-4744</t>
  </si>
  <si>
    <t>European Union's Horizon 2020 research and innovation programme under the Marie Sklodowska-Curie grant [792773]; Natural Environment Research Council(NERC) UK-IODP programme [NEB1782]; National Science Foundation (NSF) [GG009393]; Deutsche Forschungsgemeinschaft (DFG) [We2039/8-1, We 2039/17-1]; project TALUS [CGL2015-74216-JIN]; IODP JRSO (NSF) [1326927]; Australia-New Zealand IODP Consortium (ANZIC); NERC UK-IODP [NE/T006609/1]; EU MARINEFF project (Interreg VA France(Channel)-England Programme) [162]; NWO Netherlands Polar Programme [ALW.2016.001]; NSF [OCE 1450528]; Spanish Antarctic Science Program [CTM2011-30241-C2-1/2, CTM2014-60451-C2-1/2]; Marie Curie Actions (MSCA) [792773] Funding Source: Marie Curie Actions (MSCA); NERC [bas0100030, NE/T013648/1, NE/T006609/1] Funding Source: UKRI</t>
  </si>
  <si>
    <t>European Union's Horizon 2020 research and innovation programme under the Marie Sklodowska-Curie grant(Marie Curie Actions); Natural Environment Research Council(NERC) UK-IODP programme(UK Research &amp; Innovation (UKRI)Natural Environment Research Council (NERC)); National Science Foundation (NSF)(National Science Foundation (NSF)); Deutsche Forschungsgemeinschaft (DFG)(German Research Foundation (DFG)); project TALUS; IODP JRSO (NSF); Australia-New Zealand IODP Consortium (ANZIC); NERC UK-IODP; EU MARINEFF project (Interreg VA France(Channel)-England Programme)(Interreg Europe); NWO Netherlands Polar Programme; NSF(National Science Foundation (NSF)); Spanish Antarctic Science Program; Marie Curie Actions (MSCA)(Marie Curie Actions); NERC(UK Research &amp; Innovation (UKRI)Natural Environment Research Council (NERC))</t>
  </si>
  <si>
    <t>The first author and this work have received funding from the European Union's Horizon 2020 research and innovation programme under the Marie Sklodowska-Curie grant agreement No. 792773 Global Fellowship H2020-MSCA-IF-GF-2017 WAMSISE and the Natural Environment Research Council(NERC) UK-IODP programme under the grand NEB1782. Y.M. Martos thanks National Science Foundation (NSF) subaward 97 (GG009393) for supporting her research. M.E. Weber was supported by the Deutsche Forschungsgemeinschaft (DFG grant numbers We2039/8-1 and We 2039/17-1). M. Garcia's research was funded by the project TALUS (CGL2015-74216-JIN). T. Williams acknowledges financial support from the IODP JRSO (NSF grant number 1326927). L. Armbrecht acknowledges the Australia-New Zealand IODP Consortium (ANZIC) support. I. Bailey's research was funded by the NERC UK-IODP grant NE/T006609/1 and EU MARINEFF project (Interreg VA France(Channel)-England Programme project #162). F.S. Hoem acknowledges funding through NWO Netherlands Polar Programme grant ALW.2016.001. The U.S. members of IODP Expedition 382 acknowledge the support by the NSF-funded U.S. Science Support Program based at Columbia University award OCE 1450528. This research used data provided by the International Ocean Discovery Program (IODP). Our acknowledgement is extended to the Spanish Antarctic Science Program that has funded geophysical and geological data acquisition within the project grants CTM2011-30241-C2-1/2 and CTM2014-60451-C2-1/2 providing part of the pre-site survey data for the IODP Expedition 382. Our heartfelt acknowledgement to the captain, crew and technicians of JOIDES Resolutionwho made a successful expedition possible. We further thank Karsten Gohl and an anonymous reviewer whose constructive comments on the initial manuscript have contributed greatly to this final version.</t>
  </si>
  <si>
    <t>10.1016/j.epsl.2020.116657</t>
  </si>
  <si>
    <t>OW9NH</t>
  </si>
  <si>
    <t>WOS:000593204200027</t>
  </si>
  <si>
    <t>Bramich, J; Bolch, CJS; Fischer, A</t>
  </si>
  <si>
    <t>Bramich, James; Bolch, Christopher J. S.; Fischer, Andrew</t>
  </si>
  <si>
    <t>Improved red-edge chlorophyll-a detection for Sentinel 2</t>
  </si>
  <si>
    <t>ECOLOGICAL INDICATORS</t>
  </si>
  <si>
    <t>Remote sensing; Chlorophyll-a; Sentinel 2; MSI; Red-edge</t>
  </si>
  <si>
    <t>TURBID PRODUCTIVE WATERS; REMOTE ESTIMATION; ABSORPTION-COEFFICIENTS; ATMOSPHERIC CORRECTION; SATELLITE IMAGERY; COASTAL; INLAND; BLOOMS; PHYTOPLANKTON; ALGORITHMS</t>
  </si>
  <si>
    <t>Chlorophyll-a (chl-a) concentration is an indicator of algal biomass. The Sentinel 2 platform offers greatly improved spatial resolution over other satellite platforms designed for water based chl-a retrievals and includes a red-edge band at 704 nm not present on the Landsat 8 operational land imager. This study provides validation of an improved version of a well known semi-analytical chl-a retrieval algorithm. The algorithm is provided with several free image processing utilities and the improved approach can be implemented with minimal technology skills. The improved performance is the result of replacing a fixed chl-a specific absorption coefficient (a*) with a variable model. This method was applied to three Sentinel 2 images taken over the Lake Erie western basin correlating with an in-situ dataset of 24 samples where chl-a ranged from 1.89 mg m(-3) to 70.20 mg m(-3). The variable a* model produced chl-a retrievals with normalised root mean squared error of prediction (NRMSEP) = 7.5%, bias =-0.47 mg m(-3), coefficient of determination (R-2) = 0.91 and Nash-Sutcliffe efficiency (NSE) = 0.90). This represented a 23% reduction in NRMSEP, an 85% reduction in bias and an increase in NSE of 7% over the default algorithm using a fixed a* value. Creation of chl-a retrieval algorithms that consider the variability in a* should result in algorithms that perform better against a wide range of chl-a concentrations and are less likely to require local recalibration. Obtaining accurate chl-a retrievals from a satellite platform with the spatial resolution of Sentinel 2 will allow satellite monitoring of many more inland waters than previously possible.</t>
  </si>
  <si>
    <t>[Bramich, James; Bolch, Christopher J. S.; Fischer, Andrew] Univ Tasmania, Inst Marine &amp; Antarctic Studies, Launceston, Tas 7250, Australia</t>
  </si>
  <si>
    <t>University of Tasmania</t>
  </si>
  <si>
    <t>Bramich, J (corresponding author), Univ Tasmania, Inst Marine &amp; Antarctic Studies, Launceston, Tas 7250, Australia.</t>
  </si>
  <si>
    <t>j.m.bramich@utas.edu.au</t>
  </si>
  <si>
    <t>Bolch, Christopher J/J-7619-2014</t>
  </si>
  <si>
    <t>Fischer, Andrew/0000-0001-5284-6428</t>
  </si>
  <si>
    <t>1470-160X</t>
  </si>
  <si>
    <t>1872-7034</t>
  </si>
  <si>
    <t>ECOL INDIC</t>
  </si>
  <si>
    <t>Ecol. Indic.</t>
  </si>
  <si>
    <t>10.1016/j.ecolind.2020.106876</t>
  </si>
  <si>
    <t>Biodiversity Conservation; Environmental Sciences</t>
  </si>
  <si>
    <t>OV0FR</t>
  </si>
  <si>
    <t>WOS:000591897500002</t>
  </si>
  <si>
    <t>Díaz-Puente, FJ; Schmid, T; Pelayo, M; Rodríguez-Rastrero, M; Herraiz, MJS; O'Neill, T; López-Martínez, J</t>
  </si>
  <si>
    <t>Diaz-Puente, F. J.; Schmid, T.; Pelayo, M.; Rodriguez-Rastrero, M.; Sierra Herraiz, M. J.; O'Neill, T.; Lopez-Martinez, J.</t>
  </si>
  <si>
    <t>Abiotic factors influencing soil microbial activity in the northern Antarctic Peninsula region</t>
  </si>
  <si>
    <t>Microbial activity; Soils; Organic matter; Mineralization; South Shetland Islands</t>
  </si>
  <si>
    <t>SOUTH-SHETLAND ISLANDS; KING-GEORGE-ISLAND; CONTINENTAL ANTARCTICA; ORNITHOGENIC SOILS; METABOLIC QUOTIENT; ARCTOWSKI-STATION; FILDES PENINSULA; WINDMILL ISLANDS; ORGANIC-CARBON; ARDLEY ISLAND</t>
  </si>
  <si>
    <t>Microorganisms play a key role in the carbon (C) cycle through soil organic matter (SOM). The rate of SOM mineralization, the influence of abiotic factors on this rate and the potential behaviour of SOM are of particular interest in the northern Antarctic Peninsula and offshore islands. This is one of the most rapidly warming regions on Earth with numerous ice-free areas, some with abundant wildlife and with the greatest known soil organic carbon (SOC) storage in Antarctica. The latter implies extended Antarctic summer conditions promote increased terrestrial plant growth and soil microbial activity (SMA). SMA, determined by respirometry, is a measure of ecosystem function, and depends on microclimatic conditions and soil environmental properties. SMA and the effect of abiotic variables have been analysed in locations with different soil types, on Cierva Point (Antarctic Peninsula), Deception Island and Fildes Peninsula (King George Island). Soil microbial biomass carbon (SMBC) ranged from 5.66 to 196.6 mg SMBC kg(-1)and basal respiration (BR) from 2.86 to 160.67 mg CO2 kg(-1) d(-1). SMBC and BR values were higher in Cierva Point, followed by Fildes Peninsula and Deception Island, showing the same trend of SOM abundance. Except for Cierva Point, low nitrogen, phosphorus and C concentrations were observed. SMBC/total organic carbon (TOC) levels indicated that SOC was recalcitrant and SOM content was closely related to the extent of vegetation cover observed in situ. High metabolic quotient values obtained at Cierva Point and Deception Island (median values 7.27 and 6.53 mg C-CO2 g SMBC-1 h(-1)) and low SMBC/TOC in Cierva Point suggest a poor efficiency of the microbial populations in the consumption of the SOC. High SMBC/TOC values obtained in Deception Island indicates that SMBC may influence SOM stabilization. Mineralization rates were very low (negligible values to 1.44%) and sites with the lowest values had the highest SOM. (C) 2020 Elsevier B.V. All rights reserved.</t>
  </si>
  <si>
    <t>[Diaz-Puente, F. J.; Schmid, T.; Pelayo, M.; Rodriguez-Rastrero, M.; Sierra Herraiz, M. J.] CIEMAT, Dept Environm, Avda Complutense 40, Madrid 28040, Spain; [O'Neill, T.] Univ Waikato, Sch Sci, Private Bag 3105, Hamilton, New Zealand; [Lopez-Martinez, J.] Univ Autonoma Madrid, Fac Sci, Madrid 28049, Spain</t>
  </si>
  <si>
    <t>Centro de Investigaciones Energeticas, Medioambientales Tecnologicas; University of Waikato; Autonomous University of Madrid</t>
  </si>
  <si>
    <t>Díaz-Puente, FJ (corresponding author), CIEMAT, Dept Environm, Avda Complutense 40, Madrid 28040, Spain.</t>
  </si>
  <si>
    <t>fj.puente@ciemat.es</t>
  </si>
  <si>
    <t>Lopez-Martinez, Jeronimo/C-5744-2011; Schmid, Thomas/L-3397-2014; O'Neill, Tanya/I-3045-2017; Pelayo Bayon, Marta/L-4861-2014; Diaz Puente, Francisco Javier/K-7824-2014; Sierra, Maria Jose/P-5561-2015</t>
  </si>
  <si>
    <t>Lopez-Martinez, Jeronimo/0000-0002-1750-8287; Schmid, Thomas/0000-0002-2849-4730; O'Neill, Tanya/0000-0001-8181-4249; Pelayo Bayon, Marta/0000-0002-8589-2882; Diaz Puente, Francisco Javier/0000-0002-0441-3473; Sierra, Maria Jose/0000-0002-6005-4882</t>
  </si>
  <si>
    <t>Spanish RD National Plan [CTM 2014-57119-R, RTI2018-098099-B-100]</t>
  </si>
  <si>
    <t>Spanish RD National Plan(Spanish Government)</t>
  </si>
  <si>
    <t>This work has been supported by the projects CTM 2014-57119-R and RTI2018-098099-B-100 of the Spanish R&amp;D National Plan. The authors acknowledge the logistic support provided by the National Antarctic Programmes of Spain, Chile and Argentina. The authors also appreciated the reviews by two anonymous referees and the editor that have contributed to improve the manuscript.</t>
  </si>
  <si>
    <t>10.1016/j.scitotenv.2020.141602</t>
  </si>
  <si>
    <t>OM0BS</t>
  </si>
  <si>
    <t>WOS:000585694600062</t>
  </si>
  <si>
    <t>Baranov, A; Tenzer, R; Morelli, A</t>
  </si>
  <si>
    <t>Baranov, A.; Tenzer, R.; Morelli, A.</t>
  </si>
  <si>
    <t>Updated Antarctic crustal model</t>
  </si>
  <si>
    <t>Crustal structure; Sediments; Antarctica; Gondwana</t>
  </si>
  <si>
    <t>DRONNING MAUD LAND; PRINCE CHARLES MOUNTAINS; EAST ANTARCTICA; TRANSANTARCTIC MOUNTAINS; WEST ANTARCTICA; CONTINENTAL-CRUST; SEISMIC STRUCTURE; MANTLE SOURCES; RIFT SYSTEM; THICKNESS</t>
  </si>
  <si>
    <t>We use seismic data together with a subglacial bedrock relief from the BEDMAP2 database to obtain a new three layer model of the consolidated (crystalline) crust of Antarctica that locally improves the global seismic crustal model CRUST1.0. We collect suitable data for constructing crustal layers, analyse them and build maps of the crustal layer thickness and seismic velocities. We use the subglacial relief according to a tectonic configuration and then interpolate data using a statistical kriging method. The P-wave velocity information from old seismic profiles have been supplemented with the new shear-wave velocity models. We adjust the thickness of crustal layers by multiplying a total crustal thickness by a percentage ratio of each individual layer at each point. Our results reveal large variations in seismic velocities between different crustal blocks forming Antarctica. The most pronounced differences exist between East and West Antarctica. In East Antarctica, a high P-wave velocity (vP &gt; 7 km/s) layer in the lower crust is absent. The P-wave velocity in the lower crust changes from 6.1 km/s beneath the Lambert Rift to 6.9 km/s beneath the Wilkes Basin. In West Antarctica, a thick mafic lower crust is characterized by large P-wave velocities, ranging from 7.0 km/s under the Ross Sea to 7.3 km/s under the Byrd Basin. In contrast, velocities in the lower crust beneath the Transantarctic and Ellsworth-Whitmore Mountains are-6.8 km/s. The P-wave velocities in the upper crust in East Antarctica are within the range 5.5-6.4 km/s. The upper crust of West Antarctica is characterized by the P-wave velocities of 5.6-6.3 km/s. The P-wave velocities in the middle crust vary within 5.9-6.6 km/s in East Antarctica and within 6.3-6.5 km/s in West Antarctica. A low-velocity layer (5.8-5.9 km/s) is detected at depth of-20-25 km beneath the Princes Elizabeth Land.</t>
  </si>
  <si>
    <t>[Baranov, A.] Russian Acad Sci, Schmidt Inst Phys Earth, Bolshaya Gruzinskaya Ul,10, Moscow 123995, Russia; [Tenzer, R.] Hong Kong Polytech Univ, Dept Land Surveying &amp; Geoinformat, Hong Kong, Peoples R China; [Morelli, A.] Ist Nazl Geofis &amp; Vulcanol, Sez Bologna, Via Donato Creti 12, I-40128 Bologna, Italy</t>
  </si>
  <si>
    <t>Russian Academy of Sciences; Schmidt Institute of Physics of the Earth of the Russian Academy of Sciences; Hong Kong Polytechnic University; Istituto Nazionale Geofisica e Vulcanologia (INGV)</t>
  </si>
  <si>
    <t>Baranov, A (corresponding author), Russian Acad Sci, Schmidt Inst Phys Earth, Bolshaya Gruzinskaya Ul,10, Moscow 123995, Russia.</t>
  </si>
  <si>
    <t>baranov@ifz.ru</t>
  </si>
  <si>
    <t>TENZER, Robert/C-3960-2019; Baranov, Alexey/ABF-0062-2022</t>
  </si>
  <si>
    <t>TENZER, Robert/0000-0002-9915-4960; Baranov, Alexey/0000-0002-7793-5555</t>
  </si>
  <si>
    <t>OX7ST</t>
  </si>
  <si>
    <t>WOS:000593760600001</t>
  </si>
  <si>
    <t>He, YP; Mason, RP</t>
  </si>
  <si>
    <t>He, Yipeng; Mason, Robert P.</t>
  </si>
  <si>
    <t>Comparison of reactive gaseous mercury measured by KCl-coated denuders and cation exchange membranes during the Pacific GEOTRACES GP15 expedition</t>
  </si>
  <si>
    <t>ATMOSPHERIC ENVIRONMENT</t>
  </si>
  <si>
    <t>Mercury; Reactive gaseous mercury; KCl-Coated denuder; Cation exchange membrane; Pacific; GEOTRACES GP15</t>
  </si>
  <si>
    <t>AIR-SEA EXCHANGE; ATMOSPHERIC MERCURY; OXIDIZED MERCURY; ATLANTIC-OCEAN; ELEMENTAL MERCURY; UNCERTAINTIES; SPECIATION; PROGRESS; HGBR2; NYLON</t>
  </si>
  <si>
    <t>Reactive gaseous mercury (RGHg) over the marine boundary layer (MBL) has been investigated in many oceans, such as the North Atlantic, Arctic and Antarctic using the KCl-coated denuder, as deployed in the Tekran in-strument. Given recent concerns on the suitability of the denuder for capturing RGHg, we initiated a comparison study of RGHg concentrations measured by the KCl-coated denuder and with cation exchange membranes (CEM) during the Pacific GEOTRACES GP15 cruise between Alaska and Tahiti along 152 degrees W from 18 September to November 24, 2018. RGHg concentrations measured by the KCl-coated denuder showed a strong variability along the cruise and ranged from 0.2 to 42.2 pg/m(3) (average 7.2 pg/m(3)), while RGHg collected by the CEM similarly showed a large variability with a range from 10.7 to 143.3 pg/m(3). However, a different pattern spatially and temporally was seen with the two measurement devices. Overall, RGHg concentrations measured by the CEM were, on average, 5 times higher than those measured by the KCl-coated denuder. In addition, the Tekran data suggest that occasional daily peaks of RGHg were associated with ozone depletion providing evidence for the formation of RGHg by reactions with reactive halogen species. A diurnal cycle in the RGHg concentration was observed in the low latitude tropical regions, likely caused by these photochemical reactions. Although the measurements by the denuder have better time resolution, and allow for examination of processes for RGHg formation, their efficiency of capture of RGHg needs to be further considered. This study suggested that using the KCl-coated denuder led to an underestimation of RGHg over the MBL, as found in previous studies. Therefore, further studies should be made to examine the measured RGHg concentrations over the MBL using different quantification approaches to further examine the distribution of RGHg.</t>
  </si>
  <si>
    <t>[He, Yipeng; Mason, Robert P.] Univ Connecticut, Dept Marine Sci, 1080 Shennecossett Rd, Groton, CT 06340 USA</t>
  </si>
  <si>
    <t>University of Connecticut</t>
  </si>
  <si>
    <t>Mason, RP (corresponding author), Univ Connecticut, Dept Marine Sci, 1080 Shennecossett Rd, Groton, CT 06340 USA.</t>
  </si>
  <si>
    <t>robert.mason@uconn.edu</t>
  </si>
  <si>
    <t>He, Yipeng/0000-0002-3305-2558; Mason, Robert/0000-0002-7443-4931</t>
  </si>
  <si>
    <t>National Science Foundation (NSF) Chemical Oceanography Program [1736659]; Directorate For Geosciences; Division Of Ocean Sciences [1736659] Funding Source: National Science Foundation</t>
  </si>
  <si>
    <t>National Science Foundation (NSF) Chemical Oceanography Program(National Science Foundation (NSF)); Directorate For Geosciences; Division Of Ocean Sciences(National Science Foundation (NSF)NSF - Directorate for Geosciences (GEO))</t>
  </si>
  <si>
    <t>We would like to thank the captain and crew of the R/V Roger Revelle, as well as our colleagues on the U.S. GEOTRACES GP15 cruise, especially the atmospheric sampling group (Buck, Marsay and Landing). We also acknowledge the provision of a backup Tekran 2537A from Environment Canada, the Tekran 2505 calibration unit from Dr. Dan Jaffe's lab, and the HEPA filter blower unit from Dr. Carl Lamborg's lab. We would also like to thank Bridget Holohan, Dennis Arbige and Robert Dziomba for helping with pre-cruise preparation and shipping. This study was funded by the National Science Foundation (NSF) Chemical Oceanography Program grant number 1736659, and the results will be part of the thesis of Yipeng He.</t>
  </si>
  <si>
    <t>1352-2310</t>
  </si>
  <si>
    <t>1873-2844</t>
  </si>
  <si>
    <t>ATMOS ENVIRON</t>
  </si>
  <si>
    <t>Atmos. Environ.</t>
  </si>
  <si>
    <t>10.1016/j.atmosenv.2020.117973</t>
  </si>
  <si>
    <t>OU7WV</t>
  </si>
  <si>
    <t>WOS:000591736200005</t>
  </si>
  <si>
    <t>Chiang, G; Kidd, KA; Díaz-Jaramillo, M; Espejo, W; Bahamonde, P; O'Driscoll, NJ; Munkittrick, KR</t>
  </si>
  <si>
    <t>Chiang, Gustavo; Kidd, Karen A.; Diaz-Jaramillo, Mauricio; Espejo, Winfred; Bahamonde, Paulina; O'Driscoll, Nelson J.; Munkittrick, Kelly R.</t>
  </si>
  <si>
    <t>Methylmercury biomagnification in coastal aquatic food webs from western Patagonia and western Antarctic Peninsula</t>
  </si>
  <si>
    <t>Methylmercury biomagnification; Marine food web; Stable isotopes; Patagonia; Antarctica</t>
  </si>
  <si>
    <t>MERCURY BIOMAGNIFICATION; TROPHIC POSITION; STABLE-ISOTOPES; BEAUFORT SEA; LAKES; BIOACCUMULATION; ECOSYSTEMS; ISLAND; COMMUNITIES; SEDIMENT</t>
  </si>
  <si>
    <t>Mercury (Hg) is a global pollutant of concern because its organic and more toxic form, methylHg (MeHg), bioaccumulates and biomagnifies through aquatic food webs to levels that affect the health of fish and fish consumers, including humans. Although much is known about trophic transfer of MeHg in aquatic food webs at temperate latitudes in the northern hemisphere, it is unclear whether its fate is similar in biota from coastal zones of the southeastern Pacific. To assess this gap, MeHg, total Hg and food web structure (using delta C-13 and delta N-15) were measured in marine macroinvertebrates, fishes, birds, and mammals from Patagonian fjords and the Antarctic Peninsula. Trophic magnification slopes (TMS; log MeHg versus delta N-15) for coastal food webs of Patagonia were high when compared with studies in the northern hemisphere, and significantly higher near freshwater inputs as compared to offshore sites (0.244 vs 0.192). Similarly, in Antarctica, the site closer to glacial inputs had a significantly higher TMS than the one in the Southern Shetland Islands (0.132 vs 0.073). Composition of the food web also had an influence, as the TMS increased when mammals and seabirds were excluded (0.132-0.221) at a coastal site. This study found that both the composition of the food web and the proximity to freshwater outflows are key factors influencing the TMS for MeHg in Patagonian and Antarctic food webs. (C) 2020 Elsevier Ltd. All rights reserved.</t>
  </si>
  <si>
    <t>[Chiang, Gustavo] Pontificia Univ Catolica Chile, Fac Biol Sci, Ctr Appl Ecol &amp; Sustainabil, CAPES, Ave Libertador Bernardo OHiggins 340, Santiago, Chile; [Kidd, Karen A.] McMaster Univ, Dept Biol, 1280 Main St W, Hamilton, ON L8S 4K1, Canada; [Kidd, Karen A.] McMaster Univ, Sch Earth Environm &amp; Soc, 1280 Main St W, Hamilton, ON L8S 4K1, Canada; [Diaz-Jaramillo, Mauricio] FCEyN UNMdP CONICET, IIMyC, Estresores Multiples Ambiente EMA, Funes 3350 B7602AYL, RA-7600 Mar Del Plata, Argentina; [Espejo, Winfred] Univ Concepcion, Fac Vet Sci, Dept Anim Sci, Ave Vicente Mendez 595, Chillan, Chile; [Bahamonde, Paulina] Nucleo Milenio INVASAL, Concepcion, Chile; [Bahamonde, Paulina] Univ Playa Ancha, HUB AMBIENTAL UPLA Ctr Estudios Avanzado, Valparaiso, Chile; [O'Driscoll, Nelson J.] Acadia Univ, Dept Earth &amp; Environm Sci, Wolfville, NS, Canada; [Munkittrick, Kelly R.] Wilfrid Laurier Univ, Dept Biol, Waterloo, ON, Canada; [Munkittrick, Kelly R.] Univ Calgary, Dept Biol Sci, Calgary, AB T2L 2K8, Canada</t>
  </si>
  <si>
    <t>Pontificia Universidad Catolica de Chile; McMaster University; McMaster University; Universidad de Concepcion; Universidad de Playa Ancha; Acadia University; Wilfrid Laurier University; University of Calgary</t>
  </si>
  <si>
    <t>Chiang, G (corresponding author), Pontificia Univ Catolica Chile, Fac Biol Sci, Ave Libertador Bernardo OHiggins 340, Santiago, Chile.</t>
  </si>
  <si>
    <t>gustavochiang@gmail.com</t>
  </si>
  <si>
    <t>Bahamonde, Paulina/JSK-9617-2023; Kidd, Karen/ABG-3237-2020; Chiang, Gustavo/ABA-9349-2020; Munkittrick, Kelly/HTN-8847-2023</t>
  </si>
  <si>
    <t>Kidd, Karen/0000-0002-5619-1358; Bahamonde, Paulina/0000-0002-8880-8463; O'Driscoll, Nelson/0000-0002-8598-8251; Diaz-Jaramillo, Mauricio/0000-0002-5923-3154; Chiang, Gustavo/0000-0003-4504-355X; Espejo, Winfred/0000-0002-3753-2006</t>
  </si>
  <si>
    <t>project FONDECYT [1161504, 11180914]; Instituto Antartico Chileno (INACH) [T31-11]; NSERC; CAPES-Center for Applied Ecology Sustainability; Chile's government program; Ministerio de Economia, Fomento y Turismo</t>
  </si>
  <si>
    <t>project FONDECYT(Comision Nacional de Investigacion Cientifica y Tecnologica (CONICYT)CONICYT FONDECYT); Instituto Antartico Chileno (INACH); NSERC(Natural Sciences and Engineering Research Council of Canada (NSERC)); CAPES-Center for Applied Ecology Sustainability; Chile's government program; Ministerio de Economia, Fomento y Turismo</t>
  </si>
  <si>
    <t>This article was funded by project FONDECYT 1161504 (G. Chiang), Instituto Antartico Chileno (INACH) T31-11 (G. Chiang), project FONDECYT 11180914 (P. Bahamonde) and NSERC funds to K.R. Munkittrick, K.A. Kidd and N.J. O'Driscoll. G. Chiang is supported by CAPES-Center for Applied Ecology &amp; Sustainability and P. Bahamonde by Nucleo Milenio INVASAL funded by Chile's government program, Cientifica Milenio from Ministerio de Economia, Fomento y Turismo. Authors would like to thank all the support during field work sampling collection to Rodrigo Sanchez, Ignacio Rudolph and our colleague from Universidade Federal do Rio de Janeiro Dr. Joao Torres Machado, INACH personnel and Chilean Navy/Airforce crew of the different bases. Authors also want to acknowledge Major Luis Torres (Carabineros de Chile, Underwater Criminal Lab) for the support during underwater sampling. We would also thank Carine Nzirorera, Erin Mann and Alyson Hasson for their support during laboratory analysis and Ms. Marlayna Clevenger English grammar revision.</t>
  </si>
  <si>
    <t>10.1016/j.chemosphere.2020.128360</t>
  </si>
  <si>
    <t>OO3NV</t>
  </si>
  <si>
    <t>WOS:000587290300164</t>
  </si>
  <si>
    <t>Chou, L; Murray, AE; Kenig, F</t>
  </si>
  <si>
    <t>Chou, Luoth; Murray, Alison E.; Kenig, Fabien</t>
  </si>
  <si>
    <t>Organic sulfones in the brine of Lake Vida, East Antarctica</t>
  </si>
  <si>
    <t>Cryosphere; Dissolved organic matter; Hypersaline brine; Antarctica; Sulfur</t>
  </si>
  <si>
    <t>MCMURDO DRY VALLEYS; K-EDGE XANES; SULFUR-COMPOUNDS; REDUCED SULFUR; MASS-SPECTRA; TAYLOR VALLEY; QUATERNARY AMMONIUM; FUNCTIONAL-GROUPS; MARINE-BACTERIA; ICE COVER</t>
  </si>
  <si>
    <t>Located in a closed basin in the McMurdo Dry Valleys, East Antarctica, Lake Vida brine is a cold (-13 degrees C), hypersaline, interstitial, anoxic, and aphotic ecosystem trapped within 27+ m of ice. This brine is not in contact with the atmosphere, and currently hosts a slow-growing, cold-limited bacteria-dominated ecosystem that have persisted for at least similar to 2800 years. Anal-ysis of the dichloromethane extractable fraction of dissolved organic matter of Lake Vida brine revealed the presence of seven novel organic sulfones, tentatively identified on the basis of mass spectral fragmentation, as well as eight sulfones that have been structurally described in previous chemistry studies. A total of fifteen organic sulfones, and others that have yet to be identified, were observed in Lake Vida brine, most of which have never been previously detected in any other natural ecosystems. Results suggest that these compounds may be derived from a lake system in which a dissolved organic carbon pool may have been oxidized in lake waters in contact with the atmosphere. Alternative hypotheses on the origin of these sulfones, involving potential abiotic alterations of dissolved organic sulfur as a consequence of long-term brine-rock reactions that generated reactive oxygen species, are also considered. Understanding the origin and formation mechanisms of these organic sulfones may reveal an important pathway that influence the dissolved organic sulfur constituent, not only of Antarctic aquatic systems, but also potentially the global marine environment, as well as extraterrestrial hypersaline, subzero habitats. (C) 2020 Elsevier Ltd. All rights reserved.</t>
  </si>
  <si>
    <t>[Chou, Luoth; Kenig, Fabien] Univ Illinois, Dept Earth &amp; Environm Sci, 845 West Taylor St, Chicago, IL 60607 USA; [Murray, Alison E.] Univ Nevada, Desert Res Inst, Div Earth &amp; Ecosyst Sci, 2215 Raggio Pkwy, Reno, NV 89512 USA; [Chou, Luoth] NASA, Goddard Space Flight Ctr, 8800 Greenbelt Rd, Greenbelt, MD 20771 USA; [Chou, Luoth] Georgetown Univ, Dept Biol, 3700 O St NW, Washington, DC 20057 USA</t>
  </si>
  <si>
    <t>University of Illinois System; University of Illinois Chicago; University of Illinois Chicago Hospital; Nevada System of Higher Education (NSHE); Desert Research Institute NSHE; University of Nevada Reno; National Aeronautics &amp; Space Administration (NASA); NASA Goddard Space Flight Center; Georgetown University</t>
  </si>
  <si>
    <t>Chou, L (corresponding author), Univ Illinois, Dept Earth &amp; Environm Sci, 845 West Taylor St, Chicago, IL 60607 USA.;Chou, L (corresponding author), NASA, Goddard Space Flight Ctr, 8800 Greenbelt Rd, Greenbelt, MD 20771 USA.;Chou, L (corresponding author), Georgetown Univ, Dept Biol, 3700 O St NW, Washington, DC 20057 USA.</t>
  </si>
  <si>
    <t>luoth.chou@nasa.gov; Alison.Murray@dri.edu; fkenig@uic.edu</t>
  </si>
  <si>
    <t>Chou, Luoth/0000-0003-0345-1635</t>
  </si>
  <si>
    <t>NASA Headquarters under the NASA Earth and Space Science Fellowship [NNX16AP47H]; NASA-ASTEP [NAG5-12889]; National Science Foundation (NSF) [ANT-0739681, ANT-0739698]; Chancellor's Graduate Research Fellowship (University of Illinois at Chicago); Illinois Space Grant Consortium Graduate Research Fellowship</t>
  </si>
  <si>
    <t>NASA Headquarters under the NASA Earth and Space Science Fellowship; NASA-ASTEP(National Aeronautics &amp; Space Administration (NASA)); National Science Foundation (NSF)(National Science Foundation (NSF)); Chancellor's Graduate Research Fellowship (University of Illinois at Chicago); Illinois Space Grant Consortium Graduate Research Fellowship</t>
  </si>
  <si>
    <t>This work was supported by NASA Headquarters under the NASA Earth and Space Science Fellowship Program -Grant NNX16AP47H(awarded to L.C.). This work was also supported in part by NASA-ASTEP NAG5-12889 (to Peter T. Doran, PI; A.E.M., F.K., and Christian H. Fritsen, Co-PIs) and National Science Foundation (NSF) awards ANT-0739681 (to A.E.M. and C.H.F.) and ANT-0739698 (to P.T.D. and F.K.). In 2005, the NSF Office of Polar Programs provided logistical support through a cooperative agreement with NASA. In addition, L.C. was supported by the Chancellor's Graduate Research Fellowship (University of Illinois at Chicago), and the Illinois Space Grant Consortium Graduate Research Fellowship. The authors would like to thank the four anonymous reviewers and associate editor for providing insightful feedback that helped improve the quality of this manuscript.</t>
  </si>
  <si>
    <t>10.1016/j.gca.2020.10.001</t>
  </si>
  <si>
    <t>OT3VR</t>
  </si>
  <si>
    <t>WOS:000590778600008</t>
  </si>
  <si>
    <t>Gales, J; Rebesco, M; De Santis, L; Bergamasco, A; Colleoni, F; Kim, S; Accettella, D; Kovacevic, V; Liu, Y; Olivo, E; Colizza, E; Florindo-Lopez, C; Zgur, F; McKay, R</t>
  </si>
  <si>
    <t>Gales, J.; Rebesco, M.; De Santis, L.; Bergamasco, A.; Colleoni, F.; Kim, S.; Accettella, D.; Kovacevic, V.; Liu, Y.; Olivo, E.; Colizza, E.; Florindo-Lopez, C.; Zgur, F.; McKay, R.</t>
  </si>
  <si>
    <t>Role of dense shelf water in the development of Antarctic submarine canyon morphology</t>
  </si>
  <si>
    <t>Slope process; Continental slope; Submarine gully; Meltwater</t>
  </si>
  <si>
    <t>NORWEGIAN-GREENLAND SEA; DEBRIS FLOW DEPOSITS; ROSS SEA; CONTINENTAL-SLOPE; ICE-SHEET; SEDIMENTARY PROCESSES; HIGH-LATITUDE; CLIMATE-CHANGE; WEST; MARGIN</t>
  </si>
  <si>
    <t>Increased ocean heat supply to the Antarctic continental shelves is projected to cause accelerated ice sheet loss and contribute significantly to global sea-level rise over coming decades. Changes in temperature or salinity of dense shelf waters around Antarctica, resulting from increased glacial meltwater input, have the potential to significantly impact the location and structure of the global Meridional Overturning Circulation, with seabed irregularities such as submarine canyons, driving these flows toward the abyss. Submarine canyons also influence the location of intruding warm water currents by acting as preferential routes for rising Circumpolar Deep Water. These global changes have implications for large-scale effects to atmospheric and oceanic circulation. The ability for numerical modellers to predict these future behaviours is dependent upon our ability to understand both modern and past oceanic, sedimentological and glaciological processes. This knowledge allows ocean models to better predict the flux and pathways of Circumpolar Deep Water delivery to the shelf, and consequently to ice shelf cavities where melt is concentrated. Here we seek to understand how dense shelf water and other continental slope processes influence submarine canyon morphology by analysing newly collected geophysical and oceanographic data from ]a region of significant and prolonged dense shelf water export, the Hillary Canyon in the Ross Sea. We find that cascading flows of dense shelf water do not contribute to significant gully incision at the shelf edge during interglacial periods, however, are strong enough to prevent gully infilling and contribute to canyon-levee aggradation down-slope. We find buried paleo-gullies beneath gullies incising the modern seafloor. Paleo-gullies occur as single gullies and in complexes indicating that gully activity was continuous over multiple glacial cycles and formed an important role in the development of the shelf edge and upper slope. Glacial cycles likely drive large-scale shifts in canyon head processes with periods of intense seafloor erosion and significant gully incision likely occurring when ice grounded near to the shelf edge, during glacial and deglacial periods, when sediment-laden subglacial meltwater was released at the shelf edge. We put slope morphology observed at the Hillary Canyon head into global perspective to show that cascading flows of dense shelf water do not exert consistent patterns of erosion on high-latitude continental margins. (C) 2020 Elsevier B.V. All rights reserved.</t>
  </si>
  <si>
    <t>[Gales, J.] Univ Plymouth, Biol &amp; Marine Sci, Plymouth, Devon, England; [Rebesco, M.; De Santis, L.; Colleoni, F.; Accettella, D.; Kovacevic, V.; Olivo, E.; Zgur, F.] OGS, Borgo Grotta Gigante 42-C, I-34010 Sgonico, TS, Italy; [Bergamasco, A.] CNR, Inst Polar Sci, Via Torino 155, I-30172 Venice, Italy; [Kim, S.] KOPRI, 26 Songdomirae Ro, Incheon 21990, South Korea; [Liu, Y.] Minist Nat Resources, Inst Oceanog 1, Xianxialing Rd 6, Qingdao 266061, Peoples R China; [Colizza, E.] Univ Trieste, Dept Math &amp; Geosci, I-34128 Trieste, Italy; [Florindo-Lopez, C.] Natl Oceanog Ctr, European Way, Southampton SO14 3ZH, Hants, England; [McKay, R.] Victoria Univ Wellington, Antarctic Res Ctr, POB 600, Wellington 6140, New Zealand</t>
  </si>
  <si>
    <t>University of Plymouth; Istituto Nazionale di Oceanografia e di Geofisica Sperimentale; Consiglio Nazionale delle Ricerche (CNR); Istituto di Scienze Polari (ISP-CNR); Korea Polar Research Institute (KOPRI); First Institute of Oceanography, Ministry of Natural Resources; Ministry of Natural Resources of the People's Republic of China; University of Trieste; University of Southampton; NERC National Oceanography Centre; Victoria University Wellington</t>
  </si>
  <si>
    <t>Gales, J (corresponding author), Univ Plymouth, Biol &amp; Marine Sci, Plymouth, Devon, England.</t>
  </si>
  <si>
    <t>Jenny.gales@plymouth.ac.uk</t>
  </si>
  <si>
    <t>Colleoni, Florence/JMQ-7847-2023; Rebesco, Michele/B-7462-2014; Kim, Sookwan/JJD-3241-2023</t>
  </si>
  <si>
    <t>Colleoni, Florence/0000-0003-4582-812X; Rebesco, Michele/0000-0002-9492-4081; Kim, Sookwan/0000-0001-9960-2295; McKay, Robert/0000-0002-5602-6985; Zgur, Fabrizio/0000-0002-7761-4110; Gales, Jenny/0000-0003-4402-5800; ACCETTELLA, Daniela/0000-0001-8886-6607</t>
  </si>
  <si>
    <t>EUROFLEETS Funding Program (ANTSSS project); Italian National Antarctic Research Program [PNRA16 00205]; Royal Society Te Aparangi Marsden Fund [MFP-VUW1808]</t>
  </si>
  <si>
    <t>EUROFLEETS Funding Program (ANTSSS project); Italian National Antarctic Research Program; Royal Society Te Aparangi Marsden Fund(Royal Society of New Zealand)</t>
  </si>
  <si>
    <t>This work was supported by the EUROFLEETS Funding Program (ANTSSS project) and Italian National Antarctic Research Program (PNRA16 00205; ODYSSEA) projects. The authors thank Captain Franco Sedmak and crewof R/V OGS Explora; party chief Riccardo Codiglia; the technicians and scientific party of the expedition; We thank Laura de Steur for supplying the L-ADCP during the ANTSSS expedition and for processing of L-ADCP data. We acknowledge IHS Markit, Paradigm, Schlumberger for Kingdom and Vista academic license to OGS. RM was funded by the Royal Society Te Aparangi Marsden Fund award MFP-VUW1808.</t>
  </si>
  <si>
    <t>10.1016/j.geomorph.2020.107453</t>
  </si>
  <si>
    <t>OS1IL</t>
  </si>
  <si>
    <t>WOS:000589918100003</t>
  </si>
  <si>
    <t>Cieslak, M; Tixier, P; Richard, G; Hindell, M; Arnould, JPY; Lea, MA</t>
  </si>
  <si>
    <t>Cieslak, Matthew; Tixier, Paul; Richard, Gaetan; Hindell, Mark; Arnould, John P. Y.; Lea, Mary-Anne</t>
  </si>
  <si>
    <t>Acoustics and photo-identification provide new insights on killer whale presence and movements when interacting with longline fisheries in South East Australia</t>
  </si>
  <si>
    <t>FISHERIES RESEARCH</t>
  </si>
  <si>
    <t>Fisheries interactions; Mitigation; Marine mammals; Longlining; Depredation</t>
  </si>
  <si>
    <t>ORCINUS-ORCA; SPERM-WHALES; PHYSETER-MACROCEPHALUS; FISHING PRACTICES; MARINE MAMMALS; CHINOOK SALMON; DEPREDATION; TOOTHFISH; BEHAVIOR; CROZET</t>
  </si>
  <si>
    <t>Removal of target catch from longlines by marine mammals, known as depredation, is a global issue creating animal welfare, socioeconomic and management concerns. The killer whale (Orcinus orca) is a key species of concern for longline depredation due to their global presence and ability to remove large quantities of caught fish. Currently, data on whale behaviours around fishing vessels, including timing of depredation and ability to follow vessels, is not completely understood. This lack of knowledge prevents a complete assessment of depredation both spatially and temporally, which is important to reduce the chance of underestimating depredation events. Our study utilised both photo-identification and acoustics as complementary approaches to investigate depredation on the blue-eye trevalla (Hyperoglyphe antarctica) demersal longline fishery in Australia. Of the 14 d when depredations were recorded acoustic detection of killer whales prior to visual confirmations occurred in 13 (93 %). Photo-identification revealed individuals repeatedly interacting with the vessel, sometimes over long distances (&gt;1000 km), with increasing inter-depredation times as the vessel travelled further. These findings suggest that killer whales move to known fishing areas well before detection from surface monitoring occurs. While this study has revealed aspects of killer whale behaviours when encountering and interacting with longline fisheries, it has highlighted how traditional monitoring methods underestimate depredation and that this aspect needs to be further investigated.</t>
  </si>
  <si>
    <t>[Cieslak, Matthew; Hindell, Mark; Lea, Mary-Anne] Univ Tasmania, Ecol &amp; Biodivers Ctr, Inst Marine &amp; Antarctic Studies, Hobart, Tas, Australia; [Tixier, Paul; Richard, Gaetan; Arnould, John P. Y.] Deakin Univ, Sch Life &amp; Environm Sci, Burwood, Vic, Australia; [Richard, Gaetan] ENSTA Bretagne, Lab STTCC UMR 6285, 2 Rue Francois Verny, F-29806 Brest 9, France; [Lea, Mary-Anne] Univ Tasmania, Ctr Marine Socioecol, Hobart, Tas 7005, Australia</t>
  </si>
  <si>
    <t>University of Tasmania; Deakin University; ENSTA Bretagne; University of Tasmania</t>
  </si>
  <si>
    <t>Cieslak, M (corresponding author), 20 Castray Esplanade, Battery Point, Tas 7004, Australia.</t>
  </si>
  <si>
    <t>matthew.cieslak@utas.edu.au</t>
  </si>
  <si>
    <t>Hindell, Mark A/K-1131-2013; Tixier, Paul/AFU-7272-2022; Lea, Mary-Anne/E-9054-2013; Arnould, John/E-8386-2011</t>
  </si>
  <si>
    <t>Lea, Mary-Anne/0000-0001-8318-9299; Arnould, John/0000-0003-1124-9330; Tixier, Paul/0000-0002-7325-3573</t>
  </si>
  <si>
    <t>Australian Research Council [160100329]</t>
  </si>
  <si>
    <t>We would like to thank the staff and crew from Petuna Sealord Deepwater Fishing Toni Clark (Operations managers), Bob Wilkinson (Master) and Phil Hough (Master). Their help with logistics and data collection is greatly appreciated. The research was conducted under approval from the University of Tasmania Animal Ethics Committee (Permit A0016944) and the approval of Tasmanian Department of Primary Industries, Parks and the Environment Science (No permit required). We gratefully acknowledge financial support from the Australian Research Council (Linkage Project 160100329). We would also like to thank the reviewers for their helpful comments which greatly strengthened this study.</t>
  </si>
  <si>
    <t>0165-7836</t>
  </si>
  <si>
    <t>1872-6763</t>
  </si>
  <si>
    <t>FISH RES</t>
  </si>
  <si>
    <t>Fish Res.</t>
  </si>
  <si>
    <t>10.1016/j.fishres.2020.105748</t>
  </si>
  <si>
    <t>Fisheries</t>
  </si>
  <si>
    <t>OH3TM</t>
  </si>
  <si>
    <t>WOS:000582494800006</t>
  </si>
  <si>
    <t>Wysocka, I</t>
  </si>
  <si>
    <t>Wysocka, Irena</t>
  </si>
  <si>
    <t>Determination of rare earth elements concentrations in natural waters - A review of ICP-MS measurement approaches</t>
  </si>
  <si>
    <t>TALANTA</t>
  </si>
  <si>
    <t>Inductively coupled plasma mass spectrometry; Rare earth elements; Natural waters; Spectral interferences</t>
  </si>
  <si>
    <t>INDUCTIVELY-COUPLED PLASMA; TIME-OF-FLIGHT; ACID-MINE DRAINAGE; MASS-SPECTROMETRY; TRACE-ELEMENTS; ANTHROPOGENIC GADOLINIUM; ISOTOPE-DILUTION; ENVIRONMENTAL-SAMPLES; NEODYMIUM ISOTOPES; CONTRAST AGENTS</t>
  </si>
  <si>
    <t>Since the rare earth elements (REEs) determination in waters is still not a routine procedure, different analytical protocols have been developed to deal with complexity and variability of sample matrices, problems caused by spectral and non-spectral interferences, insufficient instruments sensitivity, potential contamination and lack of certified reference materials. The aim of this work is to review the current measurement approaches given for REEs total concentrations in natural water samples, including surface and groundwaters as well as rain water and Antarctic ice. As inductively coupled plasma mass spectrometry (ICP-MS) has become the most widely employed technique for analysis of trace concentrations of REEs in aqueous samples it has been intended to present the common issues affecting the measurement results. Apart from a sample preparation step, various configurations of mass spectrometers and sample introduction systems, means of interferences elimination or correction, and calibration strategies used in analytical approaches for REEs analysis are discussed and compared.</t>
  </si>
  <si>
    <t>[Wysocka, Irena] Polish Geol Inst Natl Res Inst, Rakowiecka 4, PL-00975 Warsaw, Poland</t>
  </si>
  <si>
    <t>Polish Geological Institute - National Research Institute</t>
  </si>
  <si>
    <t>Wysocka, I (corresponding author), Polish Geol Inst Natl Res Inst, Rakowiecka 4, PL-00975 Warsaw, Poland.</t>
  </si>
  <si>
    <t>irena.wysocka@pgi.gov.pl</t>
  </si>
  <si>
    <t>WYSOCKA, IRENA/0000-0001-9513-0884</t>
  </si>
  <si>
    <t>National Centre of Science (NCN, Poland) [UMO-2015/17/B/ST10/03295]; Polish Geological Institute-National Research Institute [62.9012.1971.00.0]</t>
  </si>
  <si>
    <t>National Centre of Science (NCN, Poland); Polish Geological Institute-National Research Institute</t>
  </si>
  <si>
    <t>This work was supported by the National Centre of Science (NCN, Poland), the grant No UMO-2015/17/B/ST10/03295, and the Polish Geological Institute-National Research Institute, the grant No. 62.9012.1971.00.0.</t>
  </si>
  <si>
    <t>0039-9140</t>
  </si>
  <si>
    <t>1873-3573</t>
  </si>
  <si>
    <t>Talanta</t>
  </si>
  <si>
    <t>10.1016/j.talanta.2020.121636</t>
  </si>
  <si>
    <t>Chemistry, Analytical</t>
  </si>
  <si>
    <t>OD5RI</t>
  </si>
  <si>
    <t>WOS:000579910600112</t>
  </si>
  <si>
    <t>Hastings, KK; Johnson, DS; Pendleton, GW; Fadely, BS; Gelatt, TS</t>
  </si>
  <si>
    <t>Hastings, Kelly K.; Johnson, Devin S.; Pendleton, Grey W.; Fadely, Brian S.; Gelatt, Thomas S.</t>
  </si>
  <si>
    <t>Investigating life-history traits of Steller sea lions with multistate hidden Markov mark-recapture models: Age at weaning and body size effects</t>
  </si>
  <si>
    <t>ECOLOGY AND EVOLUTION</t>
  </si>
  <si>
    <t>Alaska; body size; Eumetopias jubatus; life history; mammals; pinnipeds; population dynamics; reproduction; trade‐ offs</t>
  </si>
  <si>
    <t>ANTARCTIC FUR SEALS; EUMETOPIAS-JUBATUS; ATTENDANCE PATTERNS; MATERNAL-CARE; LACTATION STRATEGIES; POPULATION DECLINE; PREY AVAILABILITY; FORAGING BEHAVIOR; BREEDING-SEASON; DIVING BEHAVIOR</t>
  </si>
  <si>
    <t>The duration of offspring care is critical to female fitness and population resilience by allowing flexibility in life-history strategies in a variable environment. Yet, for many mammals capable of extended periods of maternal care, estimates of the duration of offspring dependency are not available and the relative importance of flexibility of this trait on fitness and population viability has rarely been examined. We used data from 4,447 Steller sea lions Eumetopias jubatus from the Gulf of Alaska and multistate hidden Markov mark-recapture models to estimate age-specific weaning probabilities. Maternal care beyond age 1 was common: Weaning was later for animals from Southeast Alaska (SEAK) and Prince William Sound (PWS, weaning probabilities: 0.536-0.648/0.784-0.873 by age 1/2) compared with animals born to the west (0.714-0.855/0.798-0.938). SEAK/PWS animals were also smaller than those born farther west, suggesting a possible link. Females weaned slightly earlier (+0.080 at age 1 and 2) compared with males in SEAK only. Poor survival for weaned versus unweaned yearlings occurred in southern SEAK (female survival probabilities: 0.609 vs. 0.792) and the central Gulf (0.667 vs. 0.901), suggesting poor conditions for juveniles in these areas. First-year survival increased with neonatal body mass (NBM) linearly in the Gulf and nonlinearly in SEAK. The probability of weaning at age 1 increased linearly with NBM for SEAK animals only. Rookeries where juveniles weaned at earlier ages had lower adult female survival, but age at weaning was unrelated to population trends. Our results suggest the time to weaning may be optimized for different habitats based on long-term average conditions (e.g., prey dynamics), that may also shape body size, with limited short-term plasticity. An apparent trade-off of adult survival in favor of juvenile survival and large offspring size in the endangered Gulf of Alaska population requires further study.</t>
  </si>
  <si>
    <t>[Hastings, Kelly K.; Pendleton, Grey W.] Alaska Dept Fish &amp; Game, Div Wildlife Conservat, POB 115526, Juneau, AK 99811 USA; [Johnson, Devin S.; Fadely, Brian S.; Gelatt, Thomas S.] NOAA Fisheries, Alaska Fisheries Sci Ctr, Seattle, WA USA</t>
  </si>
  <si>
    <t>Alaska Department of Fish &amp; Game; National Oceanic Atmospheric Admin (NOAA) - USA</t>
  </si>
  <si>
    <t>Hastings, KK (corresponding author), Alaska Dept Fish &amp; Game, Div Wildlife Conservat, POB 115526, Juneau, AK 99811 USA.</t>
  </si>
  <si>
    <t>kelly.hastings@alaska.gov</t>
  </si>
  <si>
    <t>; Fadely, Brian/P-3601-2015</t>
  </si>
  <si>
    <t>Pendleton, Grey/0000-0003-0741-9202; Johnson, Devin/0000-0002-0068-7098; Fadely, Brian/0000-0002-9172-1887</t>
  </si>
  <si>
    <t>National Oceanic and Atmospheric Administration [NA04NMF4390170, NA08NMF4390544, NA11NMF4390200, NA15NMF4390170, NA16NMF4390029, NA17FX1079, NA19NMF4390084]</t>
  </si>
  <si>
    <t>National Oceanic and Atmospheric Administration(National Oceanic Atmospheric Admin (NOAA) - USA)</t>
  </si>
  <si>
    <t>National Oceanic and Atmospheric Administration, Grant/Award Number: NA04NMF4390170, NA08NMF4390544, NA11NMF4390200, NA15NMF4390170, NA16NMF4390029, NA17FX1079 and NA19NMF4390084</t>
  </si>
  <si>
    <t>2045-7758</t>
  </si>
  <si>
    <t>ECOL EVOL</t>
  </si>
  <si>
    <t>Ecol. Evol.</t>
  </si>
  <si>
    <t>10.1002/ece3.6878</t>
  </si>
  <si>
    <t>DEC 2020</t>
  </si>
  <si>
    <t>Ecology; Evolutionary Biology</t>
  </si>
  <si>
    <t>PU6CP</t>
  </si>
  <si>
    <t>WOS:000603497100001</t>
  </si>
  <si>
    <t>Reed, AJ; Godbold, JA; Grange, LJ; Solan, M</t>
  </si>
  <si>
    <t>Reed, Adam J.; Godbold, Jasmin A.; Grange, Laura J.; Solan, Martin</t>
  </si>
  <si>
    <t>Growth of marine ectotherms is regionally constrained and asymmetric with latitude</t>
  </si>
  <si>
    <t>GLOBAL ECOLOGY AND BIOGEOGRAPHY</t>
  </si>
  <si>
    <t>biogeography; climate change; growth; macroecology; macrophysiology; physiology; regionally constrained; resource management</t>
  </si>
  <si>
    <t>CLIMATE-CHANGE; TEMPERATURE-DEPENDENCE; OXYGEN LIMITATION; ANTARCTIC SCALLOP; ONTOGENIC GROWTH; EXTINCTION RISK; ADAPTATION; ORGANISMS; IMPACTS; COLD</t>
  </si>
  <si>
    <t>Aim Growth rates of organisms are routinely used to summarize physiological performance, but the consequences of local evolutionary history and ecology are largely missed by analyses on wide biogeographical scales. This broad approach has been commonly applied to other physiological parameters across terrestrial and aquatic environments. Here, we examine growth rates of marine bivalves across all biogeographical realms, latitude, and temperature, with analyses to determine regional effects on growth on global scales. Location Global: marine ecosystems. Time period 1930-2018. Major taxa Bivalves. Methods We use a comprehensive data set of bivalve growth parameters (n = 966, 243 species) representing all biogeographical realms to calculate overall growth performances. We use these data with environmental temperature to analyse global patterns in growth, accounting for regional primary productivity and phylogeny using general additive mixed and linear models. The Arrhenius relationship and corresponding activation energies are used to quantify the sensitivity to temperature in each biogeographical realm and province. Results Our analyses show that bivalve growth demonstrates latitudinal asymmetry and exhibits nonlinear relationships with latitude. We find that overall growth performance is affected by temperature and particulate organic carbon, but the form of these relationships differs with phylogeny. Growth is slower and more sensitive to increasing temperature in the Antarctic than it is in the Arctic, and decreases with increasing temperature in some tropical realms, a previously unidentified and fundamental difference in growth and physiological sensitivity. Main conclusions Our findings provide compelling evidence that the widely used curvilinear relationship between temperature and growth rates in marine ectotherms is an inappropriate descriptor of thermal sensitivity, because it normalizes regional variations in physiological performance. Without a more detailed assessment of global physiological patterns, the responses of species to local variations associated with climate change will be under-appreciated in global assessments of climate risk, minimizing the effectiveness of management and conservation.</t>
  </si>
  <si>
    <t>[Reed, Adam J.; Godbold, Jasmin A.; Solan, Martin] Univ Southampton, Natl Oceanog Ctr Southampton, Sch Ocean &amp; Earth Sci, European Way, Southampton SO14 3ZH, Hants, England; [Grange, Laura J.] Bangor Univ, Sch Ocean Sci, Bangor, Gwynedd, Wales</t>
  </si>
  <si>
    <t>NERC National Oceanography Centre; University of Southampton; Bangor University</t>
  </si>
  <si>
    <t>Reed, AJ (corresponding author), Univ Southampton, Natl Oceanog Ctr Southampton, Sch Ocean &amp; Earth Sci, European Way, Southampton SO14 3ZH, Hants, England.</t>
  </si>
  <si>
    <t>adam.reed@noc.soton.ac.uk</t>
  </si>
  <si>
    <t>Godbold, Jasmin/AAB-2522-2022; Solan, Martin/E-9338-2012; Grange, Laura/E-8495-2014; Reed, Adam/Q-7276-2017</t>
  </si>
  <si>
    <t>Godbold, Jasmin/0000-0001-5558-8188; Solan, Martin/0000-0001-9924-5574; Grange, Laura/0000-0001-9222-6848; Reed, Adam/0000-0003-2200-5067</t>
  </si>
  <si>
    <t>'The Changing Arctic Ocean Seafloor (ChAOS)-how changing sea ice conditions impact biological communities, biogeochemical processes and ecosystems' project - Natural Environment Research Council (NERC) in the UK [NE/N015894/1, NE/P006426/1]; NERC [NE/N015894/1, NE/P006426/1] Funding Source: UKRI</t>
  </si>
  <si>
    <t>'The Changing Arctic Ocean Seafloor (ChAOS)-how changing sea ice conditions impact biological communities, biogeochemical processes and ecosystems' project - Natural Environment Research Council (NERC) in the UK; NERC(UK Research &amp; Innovation (UKRI)Natural Environment Research Council (NERC))</t>
  </si>
  <si>
    <t>Supported by 'The Changing Arctic Ocean Seafloor (ChAOS)-how changing sea ice conditions impact biological communities, biogeochemical processes and ecosystems' project (NE/N015894/1 and NE/P006426/1, 2017-2021) funded by the Natural Environment Research Council (NERC) in the UK.</t>
  </si>
  <si>
    <t>1466-822X</t>
  </si>
  <si>
    <t>1466-8238</t>
  </si>
  <si>
    <t>GLOBAL ECOL BIOGEOGR</t>
  </si>
  <si>
    <t>Glob. Ecol. Biogeogr.</t>
  </si>
  <si>
    <t>10.1111/geb.13245</t>
  </si>
  <si>
    <t>Ecology; Geography, Physical</t>
  </si>
  <si>
    <t>QH1JM</t>
  </si>
  <si>
    <t>WOS:000603404200001</t>
  </si>
  <si>
    <t>Broadman, E; Kaufman, DS; Henderson, ACG; Malmierca-Vallet, I; Leng, MJ; Lacey, JH</t>
  </si>
  <si>
    <t>Broadman, Ellie; Kaufman, Darrell S.; Henderson, Andrew C. G.; Malmierca-Vallet, Irene; Leng, Melanie J.; Lacey, Jack H.</t>
  </si>
  <si>
    <t>Coupled impacts of sea ice variability and North Pacific atmospheric circulation on Holocene hydroclimate in Arctic Alaska</t>
  </si>
  <si>
    <t>Arctic sea ice; Alaska hydroclimate; Aleutian Low; oxygen isotopes; Holocene</t>
  </si>
  <si>
    <t>OXYGEN-ISOTOPE COMPOSITION; CENTRAL BROOKS RANGE; ALEUTIAN LOW; LAKE; PALEOCLIMATE; DIATOM; PRECIPITATION; TRANSPORTS; DYNAMICS; VERSION</t>
  </si>
  <si>
    <t>Arctic Alaska lies at a climatological crossroads between the Arctic and North Pacific Oceans. The modern hydroclimate of the region is responding to rapidly diminishing sea ice, driven in part by changes in heat flux from the North Pacific. Paleoclimate reconstructions have improved our knowledge of Alaska's hydroclimate, but no studies have examined Holocene sea ice, moisture, and ocean-atmosphere circulation in Arctic Alaska, limiting our understanding of the relationship between these phenomena in the past. Here we present a sedimentary diatom assemblage and diatom isotope dataset from Schrader Pond, located similar to 80 km from the Arctic Ocean, which we interpret alongside synthesized regional records of Holocene hydroclimate and sea ice reduction scenarios modeled by the Hadley Centre Coupled Model Version 3 (HadCM3). The paleodata synthesis and model simulations suggest the Early and Middle Holocene in Arctic Alaska were characterized by less sea ice, a greater contribution of isotopically heavy Arctic-derived moisture, and wetter climate. In the Late Holocene, sea ice expanded and regional climate became drier. This climatic transition is coincident with a documented shift in North Pacific circulation involving the Aleutian Low at similar to 4 ka, suggesting a Holocene teleconnection between the North Pacific and Arctic. The HadCM3 simulations reveal that reduced sea ice leads to a strengthened Aleutian Low shifted west, potentially increasing transport of warm North Pacific water to the Arctic through the Bering Strait. Our findings demonstrate the interconnectedness of the Arctic and North Pacific on multimillennial timescales, and are consistent with future projections of less sea ice and more precipitation in Arctic Alaska.</t>
  </si>
  <si>
    <t>[Broadman, Ellie; Kaufman, Darrell S.] No Arizona Univ, Sch Earth &amp; Sustainabil, Flagstaff, AZ 86011 USA; [Henderson, Andrew C. G.] Newcastle Univ, Sch Geog Polit &amp; Sociol, Newcastle Upon Tyne NE1 7RU, Tyne &amp; Wear, England; [Malmierca-Vallet, Irene] British Antarctic Survey, Cambridge CB3 0ET, England; [Malmierca-Vallet, Irene] Univ Bristol, Sch Geog Sci, Bristol BS8 1TL, Avon, England; [Leng, Melanie J.; Lacey, Jack H.] British Geol Survey, Isotope Geosci Facil, Natl Environm Isotope Facil, Keyworth NG12 5GG, Notts, England; [Leng, Melanie J.] Univ Nottingham, Ctr Environm Geochem, Sch Biosci, Loughborough LE12 5RD, Leics, England</t>
  </si>
  <si>
    <t>Northern Arizona University; Newcastle University - UK; UK Research &amp; Innovation (UKRI); Natural Environment Research Council (NERC); NERC British Antarctic Survey; University of Bristol; UK Research &amp; Innovation (UKRI); Natural Environment Research Council (NERC); NERC British Geological Survey; University of Nottingham</t>
  </si>
  <si>
    <t>Broadman, E (corresponding author), No Arizona Univ, Sch Earth &amp; Sustainabil, Flagstaff, AZ 86011 USA.</t>
  </si>
  <si>
    <t>ebb42@nau.edu</t>
  </si>
  <si>
    <t>Lacey, Jack H./AAL-3601-2020; Henderson, Andrew C. G./A-1434-2009; Kaufman, Darrell/A-2471-2008</t>
  </si>
  <si>
    <t>Lacey, Jack H./0000-0002-6329-2149; Malmierca Vallet, Irene/0000-0002-2871-9741; Henderson, Andrew C. G./0000-0002-5944-3135; Kaufman, Darrell/0000-0002-7572-1414; Leng, Melanie/0000-0003-1115-5166; Broadman, Ellie/0000-0002-6794-3922</t>
  </si>
  <si>
    <t>National Science Foundation [1418000]; United Kingdom Natural Environment Research Council (Isotope Geosciences Facility Grant) [IP-19100619]; NERC [bgs06003, bas0100034] Funding Source: UKRI</t>
  </si>
  <si>
    <t>National Science Foundation(National Science Foundation (NSF)); United Kingdom Natural Environment Research Council (Isotope Geosciences Facility Grant); NERC(UK Research &amp; Innovation (UKRI)Natural Environment Research Council (NERC))</t>
  </si>
  <si>
    <t>We thank the US Fish and Wildlife Service, Arctic National Wildlife Refuge for use of the G. William Holmes research station and for permitting our research; Polar Field Services, Inc./CH2MHill for support and outfitting while in the field; Dirk Nickisch and Danielle Tirrell of Coyote Air for safely flying our field teams to and from the Lake Peters area; LacCore and the Continental Scientific Drilling Coordination Office for assistance with processing and archiving of sedimentary sequences; David Fortin for collecting the SP sediment core; Christopher Benson for sampling water in 2018; Rebecca Ellerbroek for analyzing the water samples at the Colorado Plateau Isotope Laboratory under the supervision of Jamie Brown, and for completing the HYSPLIT back-trajectory analyses; R. Scott Anderson for identifying 14C plant macrofossil samples; Katherine Whitacre and Chris Ebert for assisting with the preparation of the 14C samples; UC Irvine Keck Carbon Cycle Laboratory for analyzing the 14C samples; Daniel Cameron for completing the loss on ignition analysis; Matthew Ford and Sean Stahnke for assisting with the sedimentary biogenic silica analysis; Nicholas McKay for assistance with GeoChronR; and numerous field assistants who contributed to data collection in the Lake Peters area (https://arcticlakesproject.nau.edu/).This manuscript was improved following constructive suggestions from two anonymous reviewers. This project was funded by the National Science Foundation (Grant 1418000), and by the United Kingdom Natural Environment Research Council (Isotope Geosciences Facility Grant IP-19100619).</t>
  </si>
  <si>
    <t>DEC 29</t>
  </si>
  <si>
    <t>10.1073/pnas.2016544117</t>
  </si>
  <si>
    <t>PN5XM</t>
  </si>
  <si>
    <t>WOS:000604551600034</t>
  </si>
  <si>
    <t>Lindsay, AR; Sanchirico, JN; Gilliland, TE; Ambo-Rappe, R; Taylor, JE; Krueck, NC; Mumby, PJ</t>
  </si>
  <si>
    <t>Lindsay, Amanda R.; Sanchirico, James N.; Gilliland, Ted E.; Ambo-Rappe, Rohani; Taylor, J. Edward; Krueck, Nils C.; Mumby, Peter J.</t>
  </si>
  <si>
    <t>Evaluating sustainable development policies in rural coastal economies</t>
  </si>
  <si>
    <t>coupled human and natural system; bioeconomic model; general equilibrium</t>
  </si>
  <si>
    <t>SMALL-SCALE FISHERIES; SOCIOECONOMIC-FACTORS; POPULATION-DENSITY; ECOSYSTEM SERVICES; FOOD SECURITY; GREEN GROWTH; CONSERVATION; POVERTY; TRAGEDY; MARKETS</t>
  </si>
  <si>
    <t>Sustainable development (SD) policies targeting marine economic sectors, designed to alleviate poverty and conserve marine ecosystems, have proliferated in recent years. Many developing countries are providing poor fishing households with new fishing boats (fishing capital) that can be used further offshore as a means to improve incomes and relieve fishing pressure on nearshore fish stocks. These kinds of policies are a marine variant of traditional SD policies focused on agriculture. Here, we evaluate ex ante economic and environmental impacts of provisions of fishing and agricultural capital, with and without enforcement of fishing regulations that prohibit the use of larger vessels in nearshore habitats. Combining methods from development economics, natural resource economics, and marine ecology, we use a unique dataset and modeling framework to account for linkages between households, business sectors, markets, and local fish stocks. We show that the policies investing capital in local marine fisheries or agricultural sectors achieve income gains for targeted households, but knock-on effects lead to increased harvest of nearshore fish, making them unlikely to achieve conservation objectives in rural coastal economies. However, pairing an agriculture stimulus with increasing enforcement of existing fisheries' regulations may lead to a win-win situation. While marine-based policies could be an important tool to achieve two of the United Nations Sustainable Development Goals (alleviate poverty and protect vulnerable marine resources), their success is by no means assured and requires consideration of land and marine socioeconomic linkages inherent in rural economies.</t>
  </si>
  <si>
    <t>[Lindsay, Amanda R.] Luther Coll, Econ Accounting &amp; Management, Decorah, IA 52101 USA; [Sanchirico, James N.] Univ Calif Davis, Environm Sci &amp; Policy, Davis, CA 95616 USA; [Sanchirico, James N.] Resources Future Inc, Washington, DC 20036 USA; [Gilliland, Ted E.] Mt Holyoke Coll, Econ, South Hadely, MA 01075 USA; [Ambo-Rappe, Rohani] Hasanuddin Univ, Marine Sci &amp; Fisheries, Makassar 90245, Indonesia; [Taylor, J. Edward] Univ Calif Davis, Agr &amp; Resource Econ, Davis, CA 95616 USA; [Krueck, Nils C.] Univ Tasmania, Inst Marine &amp; Antarctic Studies, Hobart, Tas 7001, Australia; [Mumby, Peter J.] Univ Queensland, Sch Biol Sci, Marine Spatial Ecol Lab, St Lucia, Qld 4072, Australia</t>
  </si>
  <si>
    <t>University of California System; University of California Davis; Resources for the Future; Mount Holyoke College; Universitas Hasanuddin; University of California System; University of California Davis; University of Tasmania; University of Queensland</t>
  </si>
  <si>
    <t>Lindsay, AR (corresponding author), Luther Coll, Econ Accounting &amp; Management, Decorah, IA 52101 USA.</t>
  </si>
  <si>
    <t>lindam01@luther.edu</t>
  </si>
  <si>
    <t>Rappe, Rohani Ambo/M-1071-2019; Mumby, Peter/F-9914-2010</t>
  </si>
  <si>
    <t>Rappe, Rohani Ambo/0000-0001-9276-7492; Taylor, J. Edward/0000-0002-5987-8112; Mumby, Peter/0000-0002-6297-9053</t>
  </si>
  <si>
    <t>World Bank Global Environmental Facility Capturing Coral Reef and Related Ecosystem Services (CCRES) project; David and Lucile Packard Foundation [2014-40350]; World Bank Global Environmental Facility CCRES project; National Institute of Food and Agriculture</t>
  </si>
  <si>
    <t>World Bank Global Environmental Facility Capturing Coral Reef and Related Ecosystem Services (CCRES) project; David and Lucile Packard Foundation(The David &amp; Lucile Packard Foundation); World Bank Global Environmental Facility CCRES project; National Institute of Food and Agriculture(United States Department of Agriculture (USDA)National Institute of Food and Agriculture)</t>
  </si>
  <si>
    <t>We are grateful for financial and research support of The World Bank Global Environmental Facility Capturing Coral Reef and Related Ecosystem Services (CCRES) project. We acknowledge the support of The David and Lucile Packard Foundation Grant 2014-40350, The World Bank Global Environmental Facility CCRES project, and the National Institute of Food and Agriculture. J.E.T. and J.N.S. are members of the Giannini Foundation of Agricultural Economics. We are additionally grateful for the technical support from, and collaboration with, our partners Dr. Jamaluddin Jompa and the Marine Science and Fisheries Department at Universitas Hasanuddin (UNHAS) as well as our Survey Coordinator Andi Rismayani and the 16 enumerators in our survey team. The specific findings and recommendations remain solely the authors' and do not necessarily reflect those of CCRES, collaborators at UNHAS, or members of the survey team. We appreciate the valuable feedback from article reviewers as well as the feedback from the University of California, Davis' Natural Resource Economics and Policy Lab and researchers at Utah State University on earlier versions of this work.</t>
  </si>
  <si>
    <t>10.1073/pnas.2017835117</t>
  </si>
  <si>
    <t>WOS:000604551600050</t>
  </si>
  <si>
    <t>Jin, S; Li, ZQ; Wang, ZM; Wang, FT; Xu, CH; Ai, ST</t>
  </si>
  <si>
    <t>Jin, Shuang; Li, Zhongqin; Wang, Zemin; Wang, Feiteng; Xu, Chunhai; Ai, Songtao</t>
  </si>
  <si>
    <t>Ice thickness distribution and volume estimation of Burqin Glacier No. 18 in the Chinese Altay Mountains</t>
  </si>
  <si>
    <t>JOURNAL OF ARID LAND</t>
  </si>
  <si>
    <t>glacier ice thickness; glacier ice volume; glacier area; ground-penetrating radar; Bayesian kriging method mountain glacier</t>
  </si>
  <si>
    <t>EASTERN TIANSHAN; TIEN-SHAN; INVENTORY; RADAR; PROJECTIONS; TOPOGRAPHY; RIVER; ALPS</t>
  </si>
  <si>
    <t>Information on the thickness distribution and volume of glacier ice is highly important for glaciological applications; however, detailed measurements of the ice thickness of many glaciers in the Chinese Altay Mountains remain lacking. Burqin Glacier No. 18 is a northeast-orientated cirque glacier located on the southern side of the Altay Mountains. This study used PulseEKKO (R) PRO 100A enhancement ground-penetrating radar (GPR) to survey the ice thickness and volume of Burqin Glacier No. 18 in summer 2018. Together with GPR surveying, spatial distributed profiles of the GPR measurements were concurrently surveyed using the real-time kinematic (RTK) global navigation satellite system (GNSS, Unistrong E650). Besides, we used QuickBird, WorldView-2, and Landsat TM to delineate accurate boundary of the glacier for undertaking estimation of glacier ice volume. GPR measurements revealed that the basal topography of profile B1-B2 was flat, the basal topography of profile C1-C2 presented a V-type form, and the basal topography of profile D1-D2 had a typical U-type topographic feature because the bedrock near the central elevation of the glacier was relatively flat. The longitudinal profile A1-A2 showed a ladder-like distribution. Glacier ice was thin at the terminus and its thickness increased gradually from the elevation of approximately 2620 m a.s.l. along the main axis of the glacier tongue with an average value of 80 (+/- 1) m. The average ice thickness of the glacier was determined as 27 (+/- 2) m and its total ice volume was estimated at 0.031 (+/- 0.002) km(3). Interpretation of remote sensing images indicated that during 1989-2016, the glacier area reduced from 1.30 to 1.17 km(2) (reduction of 0.37%/a) and the glacier terminus retreated at the rate of 8.48 m/a. The mean ice thickness of Burqin Glacier No. 18 was less than that of the majority of other observed glaciers in China, especially those in the Qilian Mountains and Central Chinese Tianshan Mountains; this is probably attributable to differences in glacier type and climatic setting.</t>
  </si>
  <si>
    <t>[Jin, Shuang; Wang, Zemin; Ai, Songtao] Wuhan Univ, Chinese Antarctic Ctr Surveying &amp; Mapping, Wuhan 430079, Peoples R China; [Jin, Shuang; Li, Zhongqin; Wang, Feiteng; Xu, Chunhai] Chinese Acad Sci, Northwest Inst Ecoenvironm &amp; Resources, Tianshan Glaciol Stn, State Key Lab Cryosphere Sci, Lanzhou 730000, Peoples R China</t>
  </si>
  <si>
    <t>Wuhan University; Chinese Academy of Sciences</t>
  </si>
  <si>
    <t>Wang, ZM (corresponding author), Wuhan Univ, Chinese Antarctic Ctr Surveying &amp; Mapping, Wuhan 430079, Peoples R China.;Li, ZQ (corresponding author), Chinese Acad Sci, Northwest Inst Ecoenvironm &amp; Resources, Tianshan Glaciol Stn, State Key Lab Cryosphere Sci, Lanzhou 730000, Peoples R China.</t>
  </si>
  <si>
    <t>lizq@lzb.ac.cn; zmwang@whu.edu.cn</t>
  </si>
  <si>
    <t>Strategic Priority Research Program of the Chinese Academy of Sciences [XDA20020102, XDA20060201]; Second Tibetan Plateau Scientific Expedition and Research (STEP) Program [2019QZKK0201]; National Natural Science Foundation of China [41761134093, 41771077]</t>
  </si>
  <si>
    <t>Strategic Priority Research Program of the Chinese Academy of Sciences(Chinese Academy of Sciences); Second Tibetan Plateau Scientific Expedition and Research (STEP) Program; National Natural Science Foundation of China(National Natural Science Foundation of China (NSFC))</t>
  </si>
  <si>
    <t>This research was supported by the Strategic Priority Research Program of the Chinese Academy of Sciences (XDA20020102, XDA20060201), the Second Tibetan Plateau Scientific Expedition and Research (STEP) Program (2019QZKK0201), the National Natural Science Foundation of China (International cooperation and exchange projects) (41761134093), and the National Natural Science Foundation of China (41771077). We are very grateful to the Tianshan Glaciological Station for field data collection.</t>
  </si>
  <si>
    <t>1674-6767</t>
  </si>
  <si>
    <t>2194-7783</t>
  </si>
  <si>
    <t>J ARID LAND</t>
  </si>
  <si>
    <t>J. Arid Land</t>
  </si>
  <si>
    <t>10.1007/s40333-020-0083-9</t>
  </si>
  <si>
    <t>QA8UJ</t>
  </si>
  <si>
    <t>WOS:000603535500004</t>
  </si>
  <si>
    <t>Smirnova, M; Miamin, U; Kohler, A; Valentovich, L; Akhremchuk, A; Sidarenka, A; Dolgikh, A; Shapaval, V</t>
  </si>
  <si>
    <t>Smirnova, Margarita; Miamin, Uladzislau; Kohler, Achim; Valentovich, Leonid; Akhremchuk, Artur; Sidarenka, Anastasiya; Dolgikh, Andrey; Shapaval, Volha</t>
  </si>
  <si>
    <t>Isolation and characterization of fast-growing green snow bacteria from coastal East Antarctica</t>
  </si>
  <si>
    <t>MICROBIOLOGYOPEN</t>
  </si>
  <si>
    <t>16S rRNA gene amplicon sequencing; 16S rRNA gene sequencing; Antarctic bacteria; Fourier transform infrared (FTIR) spectroscopy; green snow; principal component analysis</t>
  </si>
  <si>
    <t>FTIR SPECTROSCOPIC CHARACTERIZATION; TRANSFORM INFRARED-SPECTROSCOPY; SP-NOV; ALICYCLOBACILLUS STRAINS; COMMUNITY STRUCTURE; ESCHERICHIA-COLI; LAKE SEDIMENT; ARCTIC SNOW; SP. NOV.; DIVERSITY</t>
  </si>
  <si>
    <t>Snow microorganisms play a significant role in climate change and affecting the snow melting rate in the Arctic and Antarctic regions. While research on algae inhabiting green and red snow has been performed extensively, bacteria dwelling in this biotope have been studied to a much lesser extent. In this study, we performed 16S rRNA gene amplicon sequencing of two green snow samples collected from the coastal area of the eastern part of Antarctica and conducted genotypic and phenotypic profiling of 45 fast-growing bacteria isolated from these samples. 16S rRNA gene amplicon sequencing of two green snow samples showed that bacteria inhabiting these samples are mostly represented by families Burkholderiaceae (46.31%), Flavobacteriaceae (22.98%), and Pseudomonadaceae (17.66%). Identification of 45 fast-growing bacteria isolated from green snow was performed using 16S rRNA gene sequencing. We demonstrated that they belong to the phyla Actinobacteria and Proteobacteria, and are represented by the genera Arthrobacter, Cryobacterium, Leifsonia, Salinibacterium, Paeniglutamicibacter, Rhodococcus, Polaromonas, Pseudomonas, and Psychrobacter. Nearly all bacterial isolates exhibited various growth temperatures from 4 degrees C to 25 degrees C, and some isolates were characterized by a high level of enzymatic activity. Phenotyping using Fourier transform infrared (FTIR) spectroscopy revealed a possible accumulation of intracellular polymer polyhydroxyalkanoates (PHA) or lipids in some isolates. The bacteria showed different lipids/PHA and protein profiles. It was shown that lipid/PHA and protein spectral regions are the most discriminative for differentiating the isolates.</t>
  </si>
  <si>
    <t>[Smirnova, Margarita; Kohler, Achim; Shapaval, Volha] Norwegian Univ Life Sci, Fac Sci &amp; Technol, Postbox 5003, N-1432 As, Norway; [Miamin, Uladzislau; Valentovich, Leonid; Sidarenka, Anastasiya] Belarusian State Univ, Fac Biol, Minsk, BELARUS; [Valentovich, Leonid; Akhremchuk, Artur; Sidarenka, Anastasiya] Natl Acad Sci Belarus, Inst Microbiol, Minsk, BELARUS; [Dolgikh, Andrey] Russian Acad Sci, Inst Geog, Moscow, Russia</t>
  </si>
  <si>
    <t>Norwegian University of Life Sciences; Belarusian State University; National Academy of Sciences of Belarus (NASB); Institute of Microbiology of the National Academy of Sciences of Belarus; Russian Academy of Sciences; Institute of Geography, Russian Academy of Sciences</t>
  </si>
  <si>
    <t>Smirnova, M (corresponding author), Norwegian Univ Life Sci, Fac Sci &amp; Technol, Postbox 5003, N-1432 As, Norway.</t>
  </si>
  <si>
    <t>margarita.smirnova@nmbu.no</t>
  </si>
  <si>
    <t>Sidarenka, Anastasiya/AAV-3981-2021; Dolgikh, Andrey/D-2575-2015; Kohler, Achim AKO/F-3338-2013; Valentovich, Leonid/AGY-7530-2022</t>
  </si>
  <si>
    <t>Dolgikh, Andrey/0000-0002-9316-9440; Valentovich, Leonid/0000-0001-7329-743X; Sidarenka, Anastasiya/0000-0001-8447-9538; Kohler, Achim/0000-0001-5759-1989</t>
  </si>
  <si>
    <t>Eurasia program, SIU [CPEA-LT-2016/10126]</t>
  </si>
  <si>
    <t>Eurasia program, SIU</t>
  </si>
  <si>
    <t>Eurasia program, SIU, Grant/Award Number: CPEA-LT-2016/10126</t>
  </si>
  <si>
    <t>2045-8827</t>
  </si>
  <si>
    <t>MicrobiologyOpen</t>
  </si>
  <si>
    <t>e1152</t>
  </si>
  <si>
    <t>10.1002/mbo3.1152</t>
  </si>
  <si>
    <t>QR8PZ</t>
  </si>
  <si>
    <t>WOS:000603324400001</t>
  </si>
  <si>
    <t>Noro, K; Takenaka, N</t>
  </si>
  <si>
    <t>Noro, Kazushi; Takenaka, Norimichi</t>
  </si>
  <si>
    <t>Post-depositional loss of nitrate and chloride in Antarctic snow by photolysis and sublimation: a field investigation</t>
  </si>
  <si>
    <t>Antarctica; geochemical cycle; nitrogen cycle; nitrogen oxides; ozone</t>
  </si>
  <si>
    <t>DRONNING MAUD LAND; DOME C; REACTIVE NITROGEN; NOX EMISSIONS; GREENLAND; PHOTOCHEMISTRY; CHEMISTRY; PLATEAU</t>
  </si>
  <si>
    <t>Nitrate in snow is subject to post-depositional processing, which leads to a net loss and redistribution within the snowpack. The relative importance of post-depositional loss processes such as the volatilization of nitric acid (HNO3) and photolysis of nitrate has long been debated. Changes in nitrate and chloride concentrations in the snowpack were investigated at H128 (69 degrees 23.584'S, 41 degrees 33.712'E), an Antarctic coastal site approximately 100 km from Syowa Station in East Antarctica from December 2015 to February 2016. Results indicate that chloride migrated to deeper sites within the snowpack under the influence of water vapour movement. Moreover, 50% of the nitrate on surface snow was lost to photolysis, and approximately 20% of the nitrate was absent at a depth of 40 cm. To enhance our knowledge of the Antarctic geochemical cycle, this study is the first to suggest chloride ion movement in snowpacks or significant nitrate loss for any Antarctic coastal site.</t>
  </si>
  <si>
    <t>[Noro, Kazushi] Res Inst Environm Agr &amp; Fisheries, 442 Shakudo, Habikino, Osaka 5830862, Japan; [Takenaka, Norimichi] Osaka Prefecture Univ, Grad Sch Humanities &amp; Sustainable Syst Sci, Sakai, Osaka, Japan</t>
  </si>
  <si>
    <t>Osaka Metropolitan University</t>
  </si>
  <si>
    <t>Noro, K (corresponding author), Res Inst Environm Agr &amp; Fisheries, 442 Shakudo, Habikino, Osaka 5830862, Japan.</t>
  </si>
  <si>
    <t>norok@mbox.kannousuiken-osaka.or.jp</t>
  </si>
  <si>
    <t>Noro, Kazushi/ABF-7312-2020</t>
  </si>
  <si>
    <t>Noro, Kazushi/0000-0001-9937-232X; Takenaka, Norimichi/0000-0002-2499-5546</t>
  </si>
  <si>
    <t>System-inspired Leaders in Material Science (SiMS) Program of Osaka Prefecture University, Japan; Japan Society for the Promotion of Science (JSPS) KAKENHI Grant [JP24651015]</t>
  </si>
  <si>
    <t>System-inspired Leaders in Material Science (SiMS) Program of Osaka Prefecture University, Japan; Japan Society for the Promotion of Science (JSPS) KAKENHI Grant(Ministry of Education, Culture, Sports, Science and Technology, Japan (MEXT)Japan Society for the Promotion of ScienceGrants-in-Aid for Scientific Research (KAKENHI))</t>
  </si>
  <si>
    <t>The work was partially supported by the System-inspired Leaders in Material Science (SiMS) Program of Osaka Prefecture University, Japan and the Japan Society for the Promotion of Science (JSPS) KAKENHI Grant Number JP24651015.</t>
  </si>
  <si>
    <t>10.33265/polar.v39.5146</t>
  </si>
  <si>
    <t>PR2HN</t>
  </si>
  <si>
    <t>WOS:000607062500001</t>
  </si>
  <si>
    <t>Schwartz, MJ; Santee, ML; Pumphrey, HC; Manney, GL; Lambert, A; Livesey, NJ; Millán, L; Neu, JL; Read, WG; Werner, F</t>
  </si>
  <si>
    <t>Schwartz, Michael J.; Santee, Michelle L.; Pumphrey, Hugh C.; Manney, Gloria L.; Lambert, Alyn; Livesey, Nathaniel J.; Millan, Luis; Neu, Jessica L.; Read, William G.; Werner, Frank</t>
  </si>
  <si>
    <t>Australian New Year's PyroCb Impact on Stratospheric Composition</t>
  </si>
  <si>
    <t>Following the Australian New Year's pyrocumulonimbus complex between 29 December 2019 and 4 January 2020, the Aura Microwave Limb Sounder (MLS) observed a plume with unprecedented enhancements of H2O and biomass-burning products (CO, HCN, CH3Cl, CH3CN, and CH3OH) in the lower/middle stratosphere, accompanied by depressions in stratospheric species (O-3 and HNO3). The plume persisted for similar to 110 days, circling the globe twice while ascending to 5.62 hPa (similar to 35 km). Air masses drawn off the main plume moved toward the developing Antarctic polar vortex but do not appear to have penetrated it. Comparison of species in the plume requires consideration of their measurements' spatial resolutions and background abundances. The apparent decay of some long-lived plume constituents is largely attributable to their coarsening spatial resolution with height, which reduces observed peak values. Differing HCN/H2O signatures indicate that multiple early plumes originated from different stratospheric injection events. Plain Language Summary Severe wildfires can trigger vigorous smoke-infused thunderstorms called pyrocumulonimbuses (pyroCbs) that rapidly loft polluted air from the surface, in the most extreme cases depositing it in the lower stratosphere (greater than or similar to 14km altitude). Three times in the past 16 years, long-lived stratospheric plumes from major pyroCbs have been observed in a suite of biomass-burning products measured by the Microwave Limb Sounder on NASA's Aura satellite. Dark smoke in these plumes absorbs sunlight; the plumes rise because they are warmer than the surrounding air. The third, and by far the largest, of these plumes was produced by an extraordinary set of pyroCbs in Australia between 29 December 2019 and 4 January 2020, collectively known as the Australian New Year's event (ANY). The ANY plume core remained remarkably compact, circling the globe twice while rising from similar to 14km to similar to 35km altitude over a period of 4 months. Record-setting concentrations of five biomass-burning products were measured by MLS throughout the lower stratosphere. Plume fragments tended to move south but do not seem to have influenced ozone-hole chemistry. Differing gas mixtures suggest that several plumes in the first month originated in different pyroCbs. Careful comparison of plume gases requires consideration of the blurriness of the measurements.</t>
  </si>
  <si>
    <t>[Schwartz, Michael J.; Santee, Michelle L.; Lambert, Alyn; Livesey, Nathaniel J.; Millan, Luis; Neu, Jessica L.; Read, William G.; Werner, Frank] CALTECH, Jet Prop Lab, Pasadena, CA 91109 USA; [Pumphrey, Hugh C.] Univ Edinburgh, Sch GeoSci, Edinburgh, Midlothian, Scotland; [Manney, Gloria L.] Northwest Res Associates, Socorro, NM USA; [Manney, Gloria L.] New Mexico Inst Min &amp; Technol, Dept Phys, Socorro, NM 87801 USA</t>
  </si>
  <si>
    <t>National Aeronautics &amp; Space Administration (NASA); NASA Jet Propulsion Laboratory (JPL); California Institute of Technology; University of Edinburgh; NorthWest Research Associates; New Mexico Institute of Mining Technology</t>
  </si>
  <si>
    <t>Schwartz, MJ (corresponding author), CALTECH, Jet Prop Lab, Pasadena, CA 91109 USA.</t>
  </si>
  <si>
    <t>michael.j.schwartz@jpl.nasa.gov</t>
  </si>
  <si>
    <t>Frank, Werner/AGH-1772-2022; Schwartz, Michael J/F-5172-2016; Pumphrey, Hugh/S-2969-2019; Manney, Gloria/JED-7207-2023; read, william/AAL-1895-2021; Lambert, Alyn/I-8415-2014; Santee, MIchelle/R-5762-2019; Livesey, Nathaniel/AGQ-7257-2022; Werner, Frank/AFZ-0448-2022</t>
  </si>
  <si>
    <t>Pumphrey, Hugh/0000-0003-0747-1457; Lambert, Alyn/0000-0003-3182-1824; Werner, Frank/0000-0002-7141-0934; Manney, Gloria/0000-0003-4489-4811</t>
  </si>
  <si>
    <t>National Aeronautics and Space Administration</t>
  </si>
  <si>
    <t>National Aeronautics and Space Administration(National Aeronautics &amp; Space Administration (NASA))</t>
  </si>
  <si>
    <t>Government sponsorship is acknowledged. We thank the reviewers for their insightful comments that improved the manuscript. Work at the Jet Propulsion Laboratory, California Institute of Technology, was carried out under a contract with the National Aeronautics and Space Administration.</t>
  </si>
  <si>
    <t>e2020GL090831</t>
  </si>
  <si>
    <t>10.1029/2020GL090831</t>
  </si>
  <si>
    <t>PM2WK</t>
  </si>
  <si>
    <t>WOS:000603666000016</t>
  </si>
  <si>
    <t>Szabo, D; Lavers, JL; Shimeta, J; Green, MP; Mulder, RA; Clarke, BO</t>
  </si>
  <si>
    <t>Szabo, Drew; Lavers, Jennifer L.; Shimeta, Jeff; Green, Mark P.; Mulder, Raoul A.; Clarke, Bradley O.</t>
  </si>
  <si>
    <t>Correlations between Per- and Polyfluoroalkyl Substances and Body Morphometrics in Fledgling Shearwaters Impacted by Plastic Consumption from a Remote Pacific Island</t>
  </si>
  <si>
    <t>Per‐ and polyfluoroalkyl substance (PFAS); Persistent organic pollutants; Avian toxicity; Marine plastics; Contaminants of emerging concern</t>
  </si>
  <si>
    <t>PERFLUOROALKYL SUBSTANCES; PERFLUOROOCTANE SULFONATE; PERFLUORINATED COMPOUNDS; TERRESTRIAL ENVIRONMENTS; CARBOXYLATE COMPOUNDS; AQUATIC ENVIRONMENT; PUFFINUS-CARNEIPES; MARINE BIOTA; GREAT-LAKES; ACIDS</t>
  </si>
  <si>
    <t>We investigated the concentrations of 45 per- and polyfluoroalkyl substances (PFASs) in fledgling flesh-footed shearwater (Ardenna carneipes; n = 33) and wedge-tailed shearwater (A. pacifica; n = 9) livers via liquid chromatography-tandem mass spectrometry and their relationship to body morphometrics and ingested plastic mass recorded in 2019 on Lord Howe Island (NSW, Australia). Sixteen PFASs were detected, of which perfluorooctanesulfonate (PFOS) was the dominant compound, detected in 100% of birds (1.34-13.4 ng/g wet wt). Long-chain perfluorocarboxylic acids, including perfluorodecanoic acid (PFDA; &lt;0.04-0.79 ng/g wet wt) and perfluorotridecanoic acid (PFTrDA; &lt;0.05-1.6 ng/g wet wt) were detected in &gt;50% of birds. There was a positive correlation between PFDA and PFTrDA concentrations and wing chord length (R-s = 0.36, p = 0.0204; R-s = 0.44, p = 0.0037, respectively), and between PFDA concentrations and total body mass (R-s = 0.33, p = 0.032), suggesting that these compounds may impact shearwater fledgling morphometrics. Plastic was present in the intestinal tract of 79% of individuals (&lt;7.6 g), although there was no correlation between PFAS concentrations and plastic mass, indicating that ingested plastic is not the likely primary exposure source. The widespread occurrence of PFASs in fledgling marine birds from a relatively pristine location in the Southern Hemisphere suggests that further studies in adult shearwaters and other marine birds are warranted to investigate whether there are any long-term physiological effects on bird species. Environ Toxicol Chem 2020;00:1-12. (c) 2020 SETAC</t>
  </si>
  <si>
    <t>[Szabo, Drew; Clarke, Bradley O.] Univ Melbourne, Australian Lab Emerging Contaminants, Sch Chem, Melbourne, Vic, Australia; [Lavers, Jennifer L.] Univ Tasmania, Inst Marine &amp; Antarctic Studies, Hobart, Tas, Australia; [Shimeta, Jeff] RMIT Univ, Sch Sci, Melbourne, Vic, Australia; [Green, Mark P.; Mulder, Raoul A.] Univ Melbourne, Sch BioSci, Melbourne, Vic, Australia</t>
  </si>
  <si>
    <t>Melbourne Genomics Health Alliance; University of Melbourne; University of Tasmania; Royal Melbourne Institute of Technology (RMIT); Melbourne Genomics Health Alliance; University of Melbourne; Melbourne Genomics Health Alliance</t>
  </si>
  <si>
    <t>Clarke, BO (corresponding author), Univ Melbourne, Australian Lab Emerging Contaminants, Sch Chem, Melbourne, Vic, Australia.</t>
  </si>
  <si>
    <t>brad.clarke@unimelb.edu.au</t>
  </si>
  <si>
    <t>Clarke, Bradley/U-9333-2017; Lavers, Jennifer/IWM-5417-2023; Shimeta, Jeff/AAR-9642-2021; Lavers, Jennifer/O-4831-2017</t>
  </si>
  <si>
    <t>Clarke, Bradley/0000-0002-4559-9585; Lavers, Jennifer/0000-0001-7596-6588; Shimeta, Jeff/0000-0002-7003-7832; Szabo, Drew/0000-0002-0089-9218</t>
  </si>
  <si>
    <t>University of Melbourne; Melbourne Water; Water Research Australia; Detached Cultural Organization</t>
  </si>
  <si>
    <t>University of Melbourne(University of Melbourne); Melbourne Water; Water Research Australia; Detached Cultural Organization</t>
  </si>
  <si>
    <t>The authors acknowledge the Traditional Owners of the land on which this study was conducted, the Wurundjeri and Boon Wurrung peoples of Melbourne and the Muwinina people of Hobart, Australia. The project was funded, in part, by the University of Melbourne, Melbourne Water, and Water Research Australia. The Detached Cultural Organization and L. Bryce generously provided funding to J.L. Lavers for field sampling on Lord Howe Island. Field logistical support was kindly provided by Adrift Lab team members (A. Bond, P. Clive, M. Grant, I. Hutton, and P. Puskic) and the Lord Howe Island community. We thank K. Plaisted for reviewing the draft manuscript and designing the graphical abstract. We thank M. Pereira for the design of the shearwater illustration. We thank 2 anonymous reviewers for their comments on the first submitted version of the manuscript.</t>
  </si>
  <si>
    <t>10.1002/etc.4924</t>
  </si>
  <si>
    <t>QM1NT</t>
  </si>
  <si>
    <t>WOS:000602704400001</t>
  </si>
  <si>
    <t>Cavan, EL; Kawaguchi, S; Boyd, PW</t>
  </si>
  <si>
    <t>Cavan, Emma L.; Kawaguchi, So; Boyd, Philip W.</t>
  </si>
  <si>
    <t>Implications for the mesopelagic microbial gardening hypothesis as determined by experimental fragmentation of Antarctic krill fecal pellets</t>
  </si>
  <si>
    <t>carbon sink; fecal pellets; krill; mesopelagic zone; microbial gardening; zooplankton</t>
  </si>
  <si>
    <t>MARINE SNOW; SURFICIAL SEDIMENTS; SINKING VELOCITY; ORGANIC-MATTER; ZOOPLANKTON; COPEPOD; FOOD; BACTERIA; RATES; DECOMPOSITION</t>
  </si>
  <si>
    <t>Detritivores need to upgrade their food to increase its nutritional value. One method is to fragment detritus promoting the colonization of nutrient-rich microbes, which consumers then ingest along with the detritus; so-called microbial gardening. Observations and numerical models of the detritus-dominated ocean mesopelagic zone have suggested microbial gardening by zooplankton is a fundamental process in the ocean carbon cycle leading to increased respiration of carbon-rich detritus. However, no experimental evidence exists to demonstrate that microbial respiration rates are higher on recently fragmented sinking detrital particles. Using aquaria-reared Antarctic krill fecal pellets, we showed fragmentation increased microbial particulate organic carbon (POC) turnover by 1.9x, but only on brown fecal pellets, formed from the consumption of other pellets. Microbial POC turnover on un- and fragmented green fecal pellets, formed from consuming fresh phytoplankton, was equal. Thus, POC content, fragmentation, and potentially nutritional value together drive POC turnover rates. Mesopelagic microbial gardening could be a risky strategy, as the dominant detrital food source is settling particles; even though fragmentation decreases particle size and sinking rate, it is unlikely that an organism would remain with the particle long enough to nutritionally benefit from attached microbes. We propose communal gardening occurs whereby additional mesopelagic organisms nearby or below the site of fragmentation consume the particle and the colonized microbes. To determine how fragmentation impacts the remineralization of sinking carbon-rich detritus and to parameterize microbial gardening in mesopelagic carbon models, three key metrics from further controlled experiments and observations are needed; how particle composition (here, pellet color/krill diet) impacts the response of microbes to the fragmentation of particles; the nutritional benefit to zooplankton from ingesting microbes after fragmentation along with identification of which essential nutrients are being targeted; how both these factors vary between physical (shear) and biological particle fragmentation.</t>
  </si>
  <si>
    <t>[Cavan, Emma L.; Boyd, Philip W.] Univ Tasmania, Inst Marine &amp; Antarctic Studies, 20 Castray Esplanade, Battery Point, Tas 7004, Australia; [Cavan, Emma L.] Imperial Coll London, Dept Life Sci, Silwood Pk Campus, Ascot, Berks, England; [Kawaguchi, So] Australian Antarctic Div, Kingston, Tas, Australia; [Boyd, Philip W.] Univ Tasmania, Antarctic Climate &amp; Ecosyst CRC, Battery Point, Tas, Australia</t>
  </si>
  <si>
    <t>University of Tasmania; Imperial College London; Australian Antarctic Division; University of Tasmania</t>
  </si>
  <si>
    <t>Cavan, EL (corresponding author), Univ Tasmania, Inst Marine &amp; Antarctic Studies, 20 Castray Esplanade, Battery Point, Tas 7004, Australia.</t>
  </si>
  <si>
    <t>e.cavan@imperial.ac.uk</t>
  </si>
  <si>
    <t>Cavan, Emma/AFY-2671-2022; Boyd, Philip/J-7624-2014</t>
  </si>
  <si>
    <t>cavan, emma/0000-0003-1099-6705; Boyd, Philip/0000-0001-7850-1911</t>
  </si>
  <si>
    <t>Australian Research Council [FL160100131]; Australian Antarctic Science Program Projects [4037, 4512]; Australian Research Council [FL160100131] Funding Source: Australian Research Council</t>
  </si>
  <si>
    <t>Australian Research Council(Australian Research Council); Australian Antarctic Science Program Projects; Australian Research Council</t>
  </si>
  <si>
    <t>Australian Research Council, Grant/Award Number: FL160100131; Australian Antarctic Science Program Projects, Grant/Award Number: 4037 and 4512</t>
  </si>
  <si>
    <t>10.1002/ece3.7119</t>
  </si>
  <si>
    <t>WOS:000602669200001</t>
  </si>
  <si>
    <t>Slinger, J; Adams, MB; Wynne, JW</t>
  </si>
  <si>
    <t>Slinger, J.; Adams, M. B.; Wynne, J. W.</t>
  </si>
  <si>
    <t>Comparison of bacterial diversity and distribution on the gills of Atlantic salmon (Salmo salar L.): an evaluation of sampling techniques</t>
  </si>
  <si>
    <t>JOURNAL OF APPLIED MICROBIOLOGY</t>
  </si>
  <si>
    <t>amoebic gill disease; gill bacteria; microbiome; salmon</t>
  </si>
  <si>
    <t>FISH GILL; MORPHOLOGY; INFECTION; SEQUENCES; EXPOSURE; DISEASE</t>
  </si>
  <si>
    <t>Aims Assess bacterial diversity and richness in mucus samples from the gills of Atlantic salmon in comparison to preserved or fixed gill filament tissues. Ascertain whether bacterial diversity and richness are homogeneous upon different arches of the gill basket. Methods and Results Bacterial communities contained within gill mucus were profiled using 16S rRNA gene sequencing. No significant difference in taxa richness, alpha (P &gt; 0 center dot 05) or beta diversity indices (P &gt; 0 center dot 05) were found between the bacterial communities of RNAlater preserved gill tissues and swab-bound mucus. A trend of lower richness and diversity indices were observed in bacterial communities from posterior hemibranchs. Conclusions Non-lethal swab sampling of gill mucus provides a robust representation of bacterial communities externally upon the gills. Bacterial communities from the fourth arch appeared to be the least representative overall. Significance and Impact of the Study The external mucosal barriers of teleost fish (e.g. gill surface) play a vital role as a primary defence line against infection. While research effort on the role of microbial communities on health and immunity of aquaculture species continues, the collection and sampling processes to obtain these data require evaluation so methodologies are consistently applied across future studies that aim to evaluate the composition of branchial microbiomes.</t>
  </si>
  <si>
    <t>[Slinger, J.] CSIRO Agr &amp; Food, Aquaculture Program, Bribie Isl, Qld 4507, Australia; [Slinger, J.; Adams, M. B.] Univ Tasmania, Inst Marine &amp; Antarctic Studies, Launceston, Tas, Australia; [Wynne, J. W.] CSIRO Agr &amp; Food, Aquaculture Program, Hobart, Tas, Australia</t>
  </si>
  <si>
    <t>Commonwealth Scientific &amp; Industrial Research Organisation (CSIRO); University of Tasmania; Commonwealth Scientific &amp; Industrial Research Organisation (CSIRO)</t>
  </si>
  <si>
    <t>Slinger, J (corresponding author), CSIRO Agr &amp; Food, Aquaculture Program, Bribie Isl, Qld 4507, Australia.</t>
  </si>
  <si>
    <t>joel.slinger@csiro.au</t>
  </si>
  <si>
    <t>Slinger, Joel/AAD-6684-2022; Wynne, James W/H-7957-2013</t>
  </si>
  <si>
    <t>Wynne, James W/0000-0001-6846-757X; Slinger, Joel/0000-0003-2781-2300</t>
  </si>
  <si>
    <t>Tassal Group Ltd; Institute for Marine and Antarctic Studies (University of Tasmania)</t>
  </si>
  <si>
    <t>We gratefully thank Tassal Group Ltd for providing funding for this study and the Institute for Marine and Antarctic Studies (University of Tasmania), for the provision of a PhD scholarship. The authors wish to thank Tansyn Noble for review of this manuscript, and the CSIRO salmon health facility technical staff (Chris Stratford and Lambertus Koster) for their contribution to husbandry of salmon stocks used in this study.</t>
  </si>
  <si>
    <t>1364-5072</t>
  </si>
  <si>
    <t>1365-2672</t>
  </si>
  <si>
    <t>J APPL MICROBIOL</t>
  </si>
  <si>
    <t>J. Appl. Microbiol.</t>
  </si>
  <si>
    <t>10.1111/jam.14969</t>
  </si>
  <si>
    <t>SW1GL</t>
  </si>
  <si>
    <t>WOS:000602652200001</t>
  </si>
  <si>
    <t>Manno, C; Fielding, S; Stowasser, G; Murphy, EJ; Thorpe, SE; Tarling, GA</t>
  </si>
  <si>
    <t>Manno, C.; Fielding, S.; Stowasser, G.; Murphy, E. J.; Thorpe, S. E.; Tarling, G. A.</t>
  </si>
  <si>
    <t>Continuous moulting by Antarctic krill drives major pulses of carbon export in the north Scotia Sea, Southern Ocean</t>
  </si>
  <si>
    <t>NATURAL GROWTH-RATES; EUPHAUSIA-SUPERBA; PARTICULATE MATTER; FECAL PELLETS; VERTICAL FLUX; SINKING RATES; BODY LENGTH; VARIABILITY; GEORGIA; ICE</t>
  </si>
  <si>
    <t>Antarctic krill play an important role in biogeochemical cycles and can potentially generate high-particulate organic carbon (POC) fluxes to the deep ocean. They also have an unusual trait of moulting continuously throughout their life-cycle. We determine the krill seasonal contribution to POC flux in terms of faecal pellets (FP), exuviae and carcasses from sediment trap samples collected in the Southern Ocean. We found that krill moulting generated an exuviae flux of similar order to that of FP, together accounting for 87% of an annual POC flux (22.8gm(-2) y(-1)). Using an inverse modelling approach, we determined the krill population size necessary to generate this flux peaked at 261gm(-2). This study shows the important role of krill exuviae as a vector for POC flux. Since krill moulting cycle depends on temperature, our results highlight the sensitivity of POC flux to rapid regional environmental change.</t>
  </si>
  <si>
    <t>[Manno, C.; Fielding, S.; Stowasser, G.; Murphy, E. J.; Thorpe, S. E.; Tarling, G. A.] British Antarctic Survey, Nat Environm Res Council, Cambridge CB3 0ET, England</t>
  </si>
  <si>
    <t>Manno, C (corresponding author), British Antarctic Survey, Nat Environm Res Council, Cambridge CB3 0ET, England.</t>
  </si>
  <si>
    <t>clanno@bas.ac.uk</t>
  </si>
  <si>
    <t>Fielding, Sophie/E-5137-2012; murphy, eugene/GZL-1620-2022</t>
  </si>
  <si>
    <t>Tarling, Geraint/0000-0002-3753-5899; Thorpe, Sally/0000-0002-5193-6955; Stowasser, Gabriele/0000-0002-0595-0772</t>
  </si>
  <si>
    <t>DEC 27</t>
  </si>
  <si>
    <t>10.1038/s41467-020-19956-7</t>
  </si>
  <si>
    <t>PB7DH</t>
  </si>
  <si>
    <t>WOS:000596476900028</t>
  </si>
  <si>
    <t>Wang, SY; Carter, CG; Fitzgibbon, QP; Smith, GG</t>
  </si>
  <si>
    <t>Wang, Shuangyao; Carter, Chris G.; Fitzgibbon, Quinn P.; Smith, Gregory G.</t>
  </si>
  <si>
    <t>Respiratory quotient and the stoichiometric approach to investigating metabolic energy substrate use in aquatic ectotherms</t>
  </si>
  <si>
    <t>REVIEWS IN AQUACULTURE</t>
  </si>
  <si>
    <t>metabolic energy substrate use; natural ecosystem; respiratory quotient; stoichiometric bioenergetic approach; sustainable aquaculture</t>
  </si>
  <si>
    <t>NITROGENOUS WASTE EXCRETION; JUVENILE RAINBOW-TROUT; TOTAL CARBON-DIOXIDE; TILAPIA OREOCHROMIS-NILOTICUS; OXYGEN-CONSUMPTION; ATLANTIC SALMON; GAS-EXCHANGE; INDIRECT CALORIMETRY; GROWTH-PERFORMANCE; BODY-COMPOSITION</t>
  </si>
  <si>
    <t>The respiratory quotient (RQ) has been used extensively as an index to evaluate metabolic energy expenditure in terrestrial animals including humans. In contrast, RQ use in understanding physiology and nutrition of aquatic ectotherms has been restricted due to technical challenges in measuring total CO2 in water. With technical advances in measuring total CO2 in water, RQ in aquatic ectotherms can be accurately determined and is potentially available as a valuable method. Here, we provide a comprehensive review of studies on RQ and metabolic energy substrate use in aquatic ectotherms. Metabolic energy substrate use is evaluated by a reliable stoichiometric bioenergetic approach, based on measuring RQ and nitrogen quotient (NQ) simultaneously. Stoichiometry provides a non-destructive and unequivocal way to quantify the instantaneous oxidation of each major energy substrate (protein, lipid or carbohydrate). This review aims to refine knowledge about bioenergetics of aquatic ectotherms under different conditions including nutritional aspects of sustainable aquaculture. Notably, stoichiometry provides a promising approach to optimize feeds and feeding regimes to realize sustainable aquaculture under differing conditions and with differing feed ingredients. It also provides an approach to consider climate change impacts and physiological adaptation mechanisms for survival and development in farmed environments and natural ecosystems. Stoichiometric bioenergetics knowledge in aquatic ectotherms has relevance to commercial impacts in the face of overfishing and food security, and ecological significance in the face of environmental change scenarios. We suggest expanding the use of stoichiometry in future bioenergetic research in emerging aquaculture species.</t>
  </si>
  <si>
    <t>[Wang, Shuangyao; Carter, Chris G.; Fitzgibbon, Quinn P.; Smith, Gregory G.] Univ Tasmania, Inst Marine &amp; Antarctic Studies IMAS, Private Bag 49, Hobart, Tas 7001, Australia</t>
  </si>
  <si>
    <t>Wang, SY (corresponding author), Univ Tasmania, Inst Marine &amp; Antarctic Studies IMAS, Private Bag 49, Hobart, Tas 7001, Australia.</t>
  </si>
  <si>
    <t>shuangyao.wang@utas.edu.au</t>
  </si>
  <si>
    <t>Wang, Shuangyao/JNT-4380-2023; Carter, Chris Guy/A-3438-2008; Smith, Gregory/C-9263-2013</t>
  </si>
  <si>
    <t>Wang, Shuangyao/0000-0003-1074-011X; Carter, Chris Guy/0000-0001-5210-1282; Fitzgibbon, Quinn/0000-0002-1104-3052; Smith, Gregory/0000-0002-8677-1230</t>
  </si>
  <si>
    <t>Australian Research Council Industrial Transformation Research Hub [IH120100032]; Australian Research Council [IH120100032] Funding Source: Australian Research Council</t>
  </si>
  <si>
    <t>Australian Research Council Industrial Transformation Research Hub(Australian Research Council); Australian Research Council(Australian Research Council)</t>
  </si>
  <si>
    <t>This review was supported by the Australian Research Council Industrial Transformation Research Hub (project number IH120100032).</t>
  </si>
  <si>
    <t>1753-5123</t>
  </si>
  <si>
    <t>1753-5131</t>
  </si>
  <si>
    <t>REV AQUACULT</t>
  </si>
  <si>
    <t>Rev. Aquac.</t>
  </si>
  <si>
    <t>10.1111/raq.12522</t>
  </si>
  <si>
    <t>SL0IQ</t>
  </si>
  <si>
    <t>WOS:000601920500001</t>
  </si>
  <si>
    <t>Lamont, T; van den Berg, M</t>
  </si>
  <si>
    <t>Mesoscale eddies influencing the sub-Antarctic Prince Edward Islands Archipelago: Origin, pathways, and characteristics</t>
  </si>
  <si>
    <t>Prince Edward Islands; Southwest Indian Ridge; Mesoscale eddies; Satellite altimetry; Spatial variability</t>
  </si>
  <si>
    <t>SOUTHERN-OCEAN; EDDY DETECTION; CLIMATE-CHANGE; MEDITERRANEAN SEA; GENTOO PENGUINS; RECENT TRENDS; ALTIMETRY; JETS; HEAT; ENVIRONMENT</t>
  </si>
  <si>
    <t>Mesoscale eddies are known to strongly influence oceanographic properties and biological responses. Since eddies can transport physical characteristics and biota, knowledge of their origin, pathways, and characteristics is important for understanding their potential impacts on ecosystems such as the Prince Edward Island (PEI) archipelago. Over a 26-year period (1993-2018), a total of 395 (724) cyclonic and 377 (515) anticyclonic eddies were identified and tracked using satellite altimetry in the PEI and Southwest Indian Ridge (SWIR) regions of the Southern Ocean, respectively. The majority of these eddies were formed locally, were relatively short-lived (&lt;60 days), and did not propagate far (&lt;150 km) from their origin. More than half of the eddies remained within each respective region throughout their lifespans. In both regions, most mean eddy diameters ranged between 60 and 100 km, with anticyclonic eddies reaching, on average, larger diameters than cyclonic eddies. Mean propagation speeds varied between 0.04 and 0.07 m s(-1), but eddies that remained in each region tended to propagate slightly slower than those that travelled into and out of each respective region. Most eddies in the PEI region exhibited net eastward propagation and northward displacement, with only a few showing overall westward motion and southward displacement. Surprisingly, over the 26-year period, only 14 cyclonic eddies and 1 anticyclonic eddy entered the PEI region, after originating in the SWIR region. This indicated that the SWIR eddy hotspot region has much less of a direct influence on the PEI region than previously thought. Most eddies from the SWIR passed along the southern boundary of the PEI region, far south of the islands themselves. Preferential formation locations and propagation pathways were not only associated with changes in the underlying bathymetry and the strength and direction of the background flow, but also appeared to be related to the positions of various branches of the sub-Antarctic Front and the Antarctic Polar Front.</t>
  </si>
  <si>
    <t>[Lamont, T.; van den Berg, M. A.] Dept Environm Affairs, Oceans &amp; Coasts Res Branch, POB 52126, ZA-8002 Cape Town, South Africa; [Lamont, T.] Univ Cape Town, Oceanog Dept, Private Bag X3, ZA-7701 Cape Town, South Africa; [Lamont, T.] Univ Cape Town, Marine Res Inst, Private Bag X3, ZA-7701 Cape Town, South Africa; [Lamont, T.] Bayworld Ctr Res &amp; Educ, 5 Riesling Rd, ZA-7806 Cape Town, South Africa</t>
  </si>
  <si>
    <t>Department of Environment, Forestry &amp; Fisheries; University of Cape Town; University of Cape Town</t>
  </si>
  <si>
    <t>Lamont, T (corresponding author), Dept Environm Affairs, Oceans &amp; Coasts Res Branch, POB 52126, ZA-8002 Cape Town, South Africa.</t>
  </si>
  <si>
    <t>tarron.lamont@gmail.com</t>
  </si>
  <si>
    <t>Oceans &amp; Coasts Research Branch of the South African Department of Environmental Affairs (DEA)</t>
  </si>
  <si>
    <t>Altimetry products used in this study were produced and distributed by the Copernicus Marine Environment Monitoring Service (CMEMS, http://marine.copernicus.eu). The Halo et al. (2014) eddy detection scheme is publicly available, as described in their article. The Schlax and Chelton (2016) mesoscale eddy trajectory atlas products were produced by SSALTO/DUACS and distributed by AVISO+ (http://www.aviso.alti metry.fr/) with support from CNES, in collaboration with Oregon State University with support from NASA. The Oceans &amp; Coasts Research Branch of the South African Department of Environmental Affairs (DEA) are also thanked for funding support, administrative and logistical assistance.</t>
  </si>
  <si>
    <t>DEC 26</t>
  </si>
  <si>
    <t>10.1016/j.csr.2020.104257</t>
  </si>
  <si>
    <t>OV9DL</t>
  </si>
  <si>
    <t>WOS:000592501300003</t>
  </si>
  <si>
    <t>Shen, Q; Wang, HS; Shum, CK; Jiang, LM; Hsu, H; Gao, F; Zhao, YL</t>
  </si>
  <si>
    <t>Shen, Qiang; Wang, Hansheng; Shum, C. K.; Jiang, Liming; Hsu, Houtse; Gao, Fan; Zhao, Yingli</t>
  </si>
  <si>
    <t>Antarctic-wide annual ice flow maps from Landsat 8 imagery between 2013 and 2019</t>
  </si>
  <si>
    <t>INTERNATIONAL JOURNAL OF DIGITAL EARTH</t>
  </si>
  <si>
    <t>Antarctica; ice velocity; Landsat 8</t>
  </si>
  <si>
    <t>Ice velocity constitutes a key parameter for quantifying ice-sheet discharge rates and is thus crucial for improving the coupled models of the Antarctic ice sheet towards accurately predict its contribution to future global sea-level rise. However, in Antarctica, high-resolution and continuous ice velocity estimates remain elusive, which is key to unravel Antarctica's present-day ice mass balance processes. Here, we present a suite of newly estimated Antarctic-wide, annually-sampled ice velocity products at 105-m grid-spacing observed by Landsat 8 optical images data. We first describe a procedure that can automatically calibrate and integrate ice displacement maps to generate Antarctic-wide seamless ice velocity products. The annual ice velocity mosaics are assembled using a total of 250,000 displacement maps inferred from more than 80,000 Landsat 8 images acquired between December 2013 and April 2019. The new annual Antarctic ice velocity data product exhibits an improved quantification of near-decadal Antarctic-wide ice flow, and an opportunity to investigate ice dynamics at a higher spatial resolution and annual sampling, as compared to existing data products. Validation studies confirmed improved accuracy and consistency of this new data product, when compared with independently estimated optical and radar ice velocity data products, as well as in situ data.</t>
  </si>
  <si>
    <t>[Shen, Qiang; Wang, Hansheng; Shum, C. K.; Jiang, Liming; Hsu, Houtse; Gao, Fan; Zhao, Yingli] Chinese Acad Sci, State Key Lab Geodesy &amp; Earths Dynam, Innovat Acad Precis Measurement Sci &amp; Technol, Wuhan 430077, Peoples R China; [Shum, C. K.] Ohio State Univ, Sch Earth Sci, Div Geodet Sci, Columbus, OH 43210 USA; [Shen, Qiang; Wang, Hansheng; Jiang, Liming; Hsu, Houtse; Gao, Fan; Zhao, Yingli] Univ Chinese Acad Sci, Coll Earth &amp; Planetary Sci, Beijing, Peoples R China</t>
  </si>
  <si>
    <t>Chinese Academy of Sciences; Innovation Academy for Precision Measurement Science &amp; Technology, CAS; University System of Ohio; Ohio State University; Chinese Academy of Sciences; University of Chinese Academy of Sciences, CAS</t>
  </si>
  <si>
    <t>Shen, Q (corresponding author), Chinese Acad Sci, State Key Lab Geodesy &amp; Earths Dynam, Innovat Acad Precis Measurement Sci &amp; Technol, Wuhan 430077, Peoples R China.;Shen, Q (corresponding author), Univ Chinese Acad Sci, Beijing 100049, Peoples R China.</t>
  </si>
  <si>
    <t>cl980606@whigg.ac.cn</t>
  </si>
  <si>
    <t>Jiang, Liming/O-1776-2013</t>
  </si>
  <si>
    <t>Jiang, Liming/0000-0002-1127-9823</t>
  </si>
  <si>
    <t>National Key R&amp;D Program of China [2017YFA0603103]; Key Research Program of Frontier Sciences, Chinese Academy of Sciences (CAS) [QYZDBSSWDQC027, QYZDJ-SSW-DQC042]; National Natural Science Foundation of China [41974009, 41590854, 41974040]; Strategic Priority Research Program, CAS [XDA19070302, XDA19070104]</t>
  </si>
  <si>
    <t>National Key R&amp;D Program of China; Key Research Program of Frontier Sciences, Chinese Academy of Sciences (CAS); National Natural Science Foundation of China(National Natural Science Foundation of China (NSFC)); Strategic Priority Research Program, CAS</t>
  </si>
  <si>
    <t>This work was supported by National Key R&amp;D Program of China: [grant number 2017YFA0603103]; the Key Research Program of Frontier Sciences, Chinese Academy of Sciences (CAS): [grant number QYZDBSSWDQC027 and QYZDJ-SSW-DQC042]; the National Natural Science Foundation of China: [grant number 41974009, 41590854 and 41974040]; and Strategic Priority Research Program, CAS: [grant number XDA19070302 and XDA19070104].</t>
  </si>
  <si>
    <t>1753-8947</t>
  </si>
  <si>
    <t>1753-8955</t>
  </si>
  <si>
    <t>INT J DIGIT EARTH</t>
  </si>
  <si>
    <t>Int. J. Digit. Earth</t>
  </si>
  <si>
    <t>MAY 4</t>
  </si>
  <si>
    <t>10.1080/17538947.2020.1862317</t>
  </si>
  <si>
    <t>Geography, Physical; Remote Sensing</t>
  </si>
  <si>
    <t>Physical Geography; Remote Sensing</t>
  </si>
  <si>
    <t>RV4YN</t>
  </si>
  <si>
    <t>WOS:000603803200001</t>
  </si>
  <si>
    <t>Nagajothi, V; Priya, MG; Sharma, P; Bahuguna, IM</t>
  </si>
  <si>
    <t>Nagajothi, V; Priya, M. Geetha; Sharma, Parmanand; Bahuguna, I. M.</t>
  </si>
  <si>
    <t>Mass balance of glaciers in Bhaga basin, Western Himalaya: a geospatial and temperature-weighted AAR based model approach</t>
  </si>
  <si>
    <t>CURRENT SCIENCE</t>
  </si>
  <si>
    <t>Accumulation area ratio; glaciers; mass balance; snow line; temperature index</t>
  </si>
  <si>
    <t>EQUILIBRIUM-LINE ALTITUDE; CHHOTA SHIGRI GLACIER; KARAKORAM-HIMALAYA; HIMACHAL-PRADESH; SATELLITE; CLIMATE; REGION; SCALE; INDIA; ELA</t>
  </si>
  <si>
    <t>Several recent studies carried out in the Himalayan region suggest enhanced receding rate of glaciers during the last two decades. Glacier health can be assessed by monitoring various glacier dynamics that includes mass balance, accumulation area ratio (AAR), equilibrium line altitude (ELA), etc. Here AAR, ELA and regressed mass balance for nine glaciers of the Bhaga basin, Western Himalaya during 2008-18 are presented using high resolution Sentinel 2 (10 m) and Landsat 7/8 (30 m) data with improved AAR and degree day/temperature index (DD/TI) model. Transient snow line (TSL) and AAR derived from the model were used in different regression equations to estimate the mass balance in both glacier and basin scale. In situ precipitation and temperature data obtained from the automatic weather station located at Keylong, Himachal Pradesh were used in this model based approach. Overall, the data reveal that most of the glaciers have experienced critical thinning and lost huge ice mass in the range -6.07 m.w.e. to -9.06 m.w.e.</t>
  </si>
  <si>
    <t>[Nagajothi, V] Jyothy Inst Technol, Ctr Incubat Innovat Res &amp; Consultancy, Tataguni 560082, Bengaluru, India; [Priya, M. Geetha] Vellore Inst Technol, Sch Elect Engn, Chennai 600127, Tamil Nadu, India; [Sharma, Parmanand] Govt India, Minist Earth Sci, ESSO Natl Ctr Polar &amp; Ocean Res, Vasco Da Gama 403804, Goa, India; [Bahuguna, I. M.] Indian Space Res Org, Space Applicat Ctr, Ahmadabad 380015, Gujarat, India</t>
  </si>
  <si>
    <t>Vellore Institute of Technology (VIT); VIT Chennai; Ministry of Earth Sciences (MoES) - India; National Centre for Polar and Ocean Research (NCPOR); Department of Space (DoS), Government of India; Indian Space Research Organisation (ISRO); Space Applications Centre (SAC)</t>
  </si>
  <si>
    <t>Priya, MG (corresponding author), Vellore Inst Technol, Sch Elect Engn, Chennai 600127, Tamil Nadu, India.</t>
  </si>
  <si>
    <t>geetha.sri82@gmail.com</t>
  </si>
  <si>
    <t>M, Geetha Priya/L-5090-2016; m, g/JVM-8246-2024</t>
  </si>
  <si>
    <t>, Geetha Priya/0000-0002-8196-0753</t>
  </si>
  <si>
    <t>ESSO-National Centre for Antarctic and Ocean Research (Ministry of Earth Sciences, Government of India), Goa under the HiCOM [NCAOR/2018/HiCOM/06]; IIRC-Jyothy Institute of Technology, Bengaluru; Sri Sringeri Sharada Peetham, Sringeri</t>
  </si>
  <si>
    <t>ESSO-National Centre for Antarctic and Ocean Research (Ministry of Earth Sciences, Government of India), Goa under the HiCOM; IIRC-Jyothy Institute of Technology, Bengaluru; Sri Sringeri Sharada Peetham, Sringeri</t>
  </si>
  <si>
    <t>We thank the ESSO-National Centre for Antarctic and Ocean Research (Ministry of Earth Sciences, Government of India), Goa for providing financial support under the HiCOM (Sanction Order No: NCAOR/2018/HiCOM/06, 28 March 2018) initiative to undertake this research. We also thank Dr Krishna Venkatesh (Director, CIIRC-Jyothy Institute of Technology, Bengaluru) and Sri Sringeri Sharada Peetham, Sringeri, for help and support.</t>
  </si>
  <si>
    <t>INDIAN ACAD SCIENCES</t>
  </si>
  <si>
    <t>BANGALORE</t>
  </si>
  <si>
    <t>C V RAMAN AVENUE, SADASHIVANAGAR, P B #8005, BANGALORE 560 080, INDIA</t>
  </si>
  <si>
    <t>0011-3891</t>
  </si>
  <si>
    <t>CURR SCI INDIA</t>
  </si>
  <si>
    <t>Curr. Sci.</t>
  </si>
  <si>
    <t>DEC 25</t>
  </si>
  <si>
    <t>10.18520/cs/v119/i12/1961-1973</t>
  </si>
  <si>
    <t>PI8KW</t>
  </si>
  <si>
    <t>WOS:000601334000017</t>
  </si>
  <si>
    <t>Hussain, FBM; Al-Khdhairawi, AAQ; Sing, HK; Low, ALM; Anouar, E; Thomas, NF; Alias, SA; Manshoor, N; Weber, JFF</t>
  </si>
  <si>
    <t>Hussain, Fatimah Bebe M.; Al-Khdhairawi, Amjad Ayad Qatran; Sing, Hong Kok; Low, Anis Low Muhammad; Anouar, El Hassane; Thomas, Noel F.; Alias, Siti Aisyah; Manshoor, Nurhuda; Weber, Jean-Frederic F.</t>
  </si>
  <si>
    <t>Structure Elucidation of the spiro-Polyketide Svalbardine B from the Arctic Fungal Endophyte Poaceicola sp. E1PB with Support from Extensive ESI-MSn Interpretation</t>
  </si>
  <si>
    <t>JOURNAL OF NATURAL PRODUCTS</t>
  </si>
  <si>
    <t>METABOLITES; BIOSYNTHESIS; DERIVATIVES</t>
  </si>
  <si>
    <t>Svalbardines A and B (1 and 2) and annularin K (3) were isolated from cultures of Poaceicola sp. E1PB, an endophyte isolated from the petals of Papaver dahlianum from Svalbard, Norway. Svalbardine A (1) is a pyrano[3,2-c]chromen-4-one, a new analogue of citromycetin. Svalbardine B (2) displays an unprecedented carbon skeleton based on a 5'-benzyl-spiro[chroman-3,7'-isochromene]-4,8'-dione core. Annularin K (3) is a hydroxylated derivative of annularin D. The structure of these new polyketides, along with those of known compounds 4-6, was established by spectrometric analysis, including extensive ESI-CID-MSn processing in the case of svalbardine B (2).</t>
  </si>
  <si>
    <t>[Hussain, Fatimah Bebe M.; Low, Anis Low Muhammad; Manshoor, Nurhuda; Weber, Jean-Frederic F.] Univ Teknol MARA, Atta Ur Rahman Inst Nat Prod Discovery, Selangor Branch, Kuala Selangor 42300, Selangor, Malaysia; [Sing, Hong Kok] Anal Resources M Sdn Bhd, Kawasan Perindustrian Te 40150, Selangor, Malaysia; [Anouar, El Hassane] Prince Sattam Bin Abdulaziz Univ, Coll Sci &amp; Humanities Al Kharj, Dept Chem, Al Kharj 11942, Saudi Arabia; [Thomas, Noel F.] Methodist Coll Kuala Lumpur, Kuala Lumpur 50470, Malaysia; [Alias, Siti Aisyah] Univ Malaya, Inst Ocean &amp; Earth Sci, Kuala Lumpur 50603, Malaysia; [Alias, Siti Aisyah] Univ Malaya, Natl Antarctic Res Ctr, Kuala Lumpur 50603, Malaysia; [Al-Khdhairawi, Amjad Ayad Qatran] Taylors Univ, Sch Pharm, Fac Hlth &amp; Med Sci, Lakeside Campus, Subang Jaya 47500, Selangor, Malaysia</t>
  </si>
  <si>
    <t>Prince Sattam Bin Abdulaziz University; Universiti Malaya; Universiti Malaya; Taylor's University</t>
  </si>
  <si>
    <t>Weber, JFF (corresponding author), Univ Teknol MARA, Atta Ur Rahman Inst Nat Prod Discovery, Selangor Branch, Kuala Selangor 42300, Selangor, Malaysia.;Al-Khdhairawi, AAQ (corresponding author), Taylors Univ, Sch Pharm, Fac Hlth &amp; Med Sci, Lakeside Campus, Subang Jaya 47500, Selangor, Malaysia.</t>
  </si>
  <si>
    <t>amjad.khdhairawi@gmail.com; jffweber@hotmail.com</t>
  </si>
  <si>
    <t>FASc, SITI AISYAH A. HJ ALIAS/B-9785-2010; MOHAMED HUSSAIN, FATIMAH BEBE/GLR-9124-2022; Manshoor, Nurhuda/HZK-6787-2023; Anouar, El Hassane/AAG-8489-2019; Anouar, El Hassane/H-5088-2017; Weber, Jean-Frédéric/O-8805-2016; Low, Anis/AAD-1380-2022</t>
  </si>
  <si>
    <t>FASc, SITI AISYAH A. HJ ALIAS/0000-0002-6759-5745; Anouar, El Hassane/0000-0001-9240-7163; Weber, Jean-Frédéric/0000-0001-9062-3591; Low, Anis/0000-0003-0602-6941; Al-Khdhairawi, Amjad Ayad Qatran/0000-0001-7201-2834; M. Hussain, Fatimah Bebe/0000-0003-4001-6843; manshoor, nurhuda/0000-0003-1626-2665</t>
  </si>
  <si>
    <t>UiTM [600-RMI/DANA 5/3/PSI (215/2013), 600-RMI/DANA 5/3/PSI (216/2013)]; FRGS grants from Malaysian Ministry of Education [600-IRMI/FRGS 5/3 (011/2017), 600-IRMI/FRGS 5/3 (250/2019)]</t>
  </si>
  <si>
    <t>UiTM; FRGS grants from Malaysian Ministry of Education</t>
  </si>
  <si>
    <t>The authors are most grateful to Professor Emeritus G. A. Cordell for commenting on the manuscript, raising points, and suggesting various improvements. UiTM is gratefully acknowledged for providing two grants [600-RMI/DANA 5/3/PSI (215/2013) and 600-RMI/DANA 5/3/PSI (216/2013)] that allowed two of us (F.B.M.H. and N.M.) to join an expedition to Svalbard in 2013. The laboratory work was supported mostly by FRGS grants [600-IRMI/FRGS 5/3 (011/2017) and 600-IRMI/FRGS 5/3 (250/2019)] from the Malaysian Ministry of Education.</t>
  </si>
  <si>
    <t>0163-3864</t>
  </si>
  <si>
    <t>1520-6025</t>
  </si>
  <si>
    <t>J NAT PROD</t>
  </si>
  <si>
    <t>J. Nat. Prod.</t>
  </si>
  <si>
    <t>DEC 24</t>
  </si>
  <si>
    <t>10.1021/acs.jnatprod.9b01105</t>
  </si>
  <si>
    <t>Plant Sciences; Chemistry, Medicinal; Pharmacology &amp; Pharmacy</t>
  </si>
  <si>
    <t>Plant Sciences; Pharmacology &amp; Pharmacy</t>
  </si>
  <si>
    <t>PL8ZP</t>
  </si>
  <si>
    <t>WOS:000603402900001</t>
  </si>
  <si>
    <t>Gil-Novoa, JE; Morales-Puentes, ME; Gómez, JDM</t>
  </si>
  <si>
    <t>Gil-Novoa, Jorge Enrique; Morales-Puentes, Maria E.; Mercado Gomez, Jorge D.</t>
  </si>
  <si>
    <t>Biogeographic origins and floristic affinities of the bryophytes of the Tota-Bijagual-Mamapacha complex in the Paramos of Boyaca, Colombia</t>
  </si>
  <si>
    <t>PHYTOTAXA</t>
  </si>
  <si>
    <t>biogeographic regionalization; endemism; liverworts; mosses</t>
  </si>
  <si>
    <t>CRYPTIC SPECIATION; SPECIES RICHNESS; ANDEAN UPLIFT; REGIONALIZATION; DIVERSITY; PHYLOGENY; DIVERSIFICATION; CLASSIFICATION; PATTERNS; IMPACT</t>
  </si>
  <si>
    <t>Paramos are Neotropical high-elevation isolated ecosystems in the Andes. These areas are inhabited by many distinct plant species, such as bryophytes, which provide environmental services including the storage and regulation of surface and groundwater; however, the diversity and biogeographic affinities of bryophytes are still unknown. We used phytogcographic analysis and biogeographic regionalization approaches to determine the biogeographic origins and floristic affinities of this flora in the Tota-Bijagual-Mamapacha (IBM) paramos complex. We found 219 species of bryophytes, 145 mosses, and 75 liverworts. These species are mainly of Neotropical origin, although we also found relationships with Ethiopian, Nearctic, Australian, Antarctic, Palearctic and Oriental regions. According to Mof Ione (2014), the TBM is located in the South American Transition Zone, the Paramo province, and the Paramos de la cordillera Oriental biogeographic district. The TBM had important floristic relationships with the South Brazilian subregion and the Magdalena province. We found no endemic species to the TBM complex, but identified several endemic species for the Andean paramos.</t>
  </si>
  <si>
    <t>[Gil-Novoa, Jorge Enrique] Escola Nacl Bot Trop, Doutorado Bot, Inst Pesquisas Jardim Botein Rio Janeiro, Rio De Janeiro, Brazil; [Gil-Novoa, Jorge Enrique; Morales-Puentes, Maria E.] Univ Pedagog &amp; Tecnolog Colombia, Grp Sistemat Biolog, Herbario UPTC, Maestria Ciencias Biol, Boyaca, Colombia; [Mercado Gomez, Jorge D.] Univ Sucre, Dept Biol &amp; Quim, Grp Evolut &amp; Sistemat Trop, Carrera 28 5-267 Barrio Puerta Roja, Sincelejo, Colombia</t>
  </si>
  <si>
    <t>Universidad Pedagogica y Tecnologica de Colombia (UPTC)</t>
  </si>
  <si>
    <t>Gómez, JDM (corresponding author), Univ Sucre, Dept Biol &amp; Quim, Grp Evolut &amp; Sistemat Trop, Carrera 28 5-267 Barrio Puerta Roja, Sincelejo, Colombia.</t>
  </si>
  <si>
    <t>jorge.gil@uptc.edu.co; maria.morales@uptc.edu.co; jorge.mercado@unisucre.edu.co</t>
  </si>
  <si>
    <t>Morales-Puentes, Maria Eugenia/AAM-5398-2021</t>
  </si>
  <si>
    <t>Morales Puentes, Maria Eugenia/0000-0002-5332-9956; Mercado Gomez, Jorge David/0000-0002-4619-0028; Gil Novoa, Jorge Enrique/0000-0003-4695-2683</t>
  </si>
  <si>
    <t>Universidad Pedagogica y Tecnologica de Colombia; Maestria en Ciencias Biologicas; Sistematica Biologica Research Group; UPTC Herbarium; UPTC-IAvH [14-13-014-195CE]; biotic characterization project for support in the paramos delimitation of the Guantiva-La Rusia; Mamapacha-Bijagual-Tota Complexes in the department of Boyaca; Mamapacha-Bijagual-Tota Complexes in the department of Santander</t>
  </si>
  <si>
    <t>Universidad Pedagogica y Tecnologica de Colombia; Maestria en Ciencias Biologicas; Sistematica Biologica Research Group; UPTC Herbarium; UPTC-IAvH; biotic characterization project for support in the paramos delimitation of the Guantiva-La Rusia; Mamapacha-Bijagual-Tota Complexes in the department of Boyaca; Mamapacha-Bijagual-Tota Complexes in the department of Santander</t>
  </si>
  <si>
    <t>We thank the Universidad Pedagogica y Tecnologica de Colombia, the Maestria en Ciencias Biologicas, the Sistematica Biologica Research Group and the UPTC Herbarium for logistical and financial support. Thanks also for the agreement No. 14-13-014-195CE between UPTC-IAvH with the biotic characterization project for support in the paramos delimitation of the Guantiva-La Rusia and Mamapacha-Bijagual-Tota Complexes in the departments of Boyaca and Santander and to the specialists E. Linares (Universidad Nacional de Colombia), R. Gradstein (Museum National d'Histoire Naturelle, Paris), M.E. Reinier (University of Gottingen), W.R. Buck (New York Botanical Garden), and S. Churchill (Missouri Botanical Garden) for their constant advice and help in the determination of some of the specimens. We thank the local communities of Siachoque, Viracacha, Toca, Pesca, Mongua and Aquitania, as well as each of those who in one way or another were part of this project. In addition, we thank Thomas Defier and Lynna Kiere for comments on the manuscript and the English revision.</t>
  </si>
  <si>
    <t>250F Marua Road Mt Wellington, AUCKLAND, ST LUKES 1023, NEW ZEALAND</t>
  </si>
  <si>
    <t>1179-3155</t>
  </si>
  <si>
    <t>1179-3163</t>
  </si>
  <si>
    <t>Phytotaxa</t>
  </si>
  <si>
    <t>10.11646/phytotaxa.477.2.3</t>
  </si>
  <si>
    <t>PM1QM</t>
  </si>
  <si>
    <t>WOS:000603582900003</t>
  </si>
  <si>
    <t>Baatsen, M; von der Heydt, AS; Huber, M; Kliphuis, MA; Bijl, PK; Sluijs, A; Dijkstra, HA</t>
  </si>
  <si>
    <t>Baatsen, Michiel; von der Heydt, Anna S.; Huber, Matthew; Kliphuis, Michael A.; Bijl, Peter K.; Sluijs, Appy; Dijkstra, Henk A.</t>
  </si>
  <si>
    <t>The middle to late Eocene greenhouse climate modelled using the CESM 1.0.5</t>
  </si>
  <si>
    <t>SOUTHWEST PACIFIC-OCEAN; ANTARCTIC GLACIATION; SYSTEM MODEL; PALEOGEOGRAPHIC CONTROLS; TEMPERATURE EVOLUTION; OLIGOCENE TRANSITION; ATMOSPHERIC CO2; ASIAN MONSOONS; HEAT-TRANSPORT; SENSITIVITY</t>
  </si>
  <si>
    <t>The early and late Eocene have both been the subject of many modelling studies, but few have focused on the middle Eocene. The latter still holds many challenges for climate modellers but is also key to understanding the events leading towards the conditions needed for Antarctic glaciation at the Eocene-Oligocene transition. Here, we present the results of CMIP5-like coupled climate simulations using the Community Earth System Model (CESM) version 1. Using a new detailed 38Ma geography reconstruction and higher model resolution compared to most previous modelling studies and sufficiently long equilibration times, these simulations will help to further understand the middle to late Eocene climate. At realistic levels of atmospheric greenhouse gases, the model is able to show overall good agreement with proxy records and capture the important aspects of a warm greenhouse climate during the Eocene. With a quadrupling of pre-industrial concentrations of both CO2 and CH4 (i.e. 1120 ppm and similar to 2700 ppb, respectively, or 4 x PIC; pre-industrial carbon), sea surface temperatures correspond well to the available late middle Eocene (42-38 Ma; similar to Bartonian) proxies. Being generally cooler, the simulated climate under 2 x PIC forcing is a good analogue for that of the late Eocene (38-34 Ma; similar to Priabonian). Terrestrial temperature proxies, although their geographical coverage is sparse, also indicate that the results presented here are in agreement with the available information. Our simulated middle to late Eocene climate has a reduced Equator-to-pole temperature gradient and a more symmetric meridional heat distribution compared to the pre-industrial reference. The collective effects of geography, vegetation, and ice account for a global average 5-7 degrees C difference between pre-industrial and 38 Ma Eocene boundary conditions, with important contributions from cloud and water vapour feedbacks. This helps to explain Eocene warmth in general, without the need for greenhouse gas levels much higher than indicated by proxy estimates (i.e. similar to 500-1200 ppm CO2) or low-latitude regions becoming unreasonably warm. Highlatitude warmth supports the idea of mostly ice-free polar regions, even at 2 x PIC, with Antarctica experiencing particularly warm summers. An overall wet climate is seen in the simulated Eocene climate, which has a strongly monsoonal character. Equilibrium climate sensitivity is reduced (0.62 degrees C W-1 m(2); 3.21 degrees C warming between 38 Ma 2 x PIC and 4 x PIC) compared to that of the present-day climate (0.80 degrees C W-1 m(2); 3.17 degrees C per CO2 doubling). While the actual warming is similar, we see mainly a higher radiative forcing from the second PIC doubling. A more detailed analysis of energy fluxes shows that the regional radiative balance is mainly responsible for sustaining a low meridional temperature gradient in the Eocene climate, as well as the polar amplification seen towards even warmer conditions. These model results may be useful to reconsider the drivers of Eocene warmth and the Eocene-Oligocene transition (EOT) but can also be a base for more detailed comparisons to future proxy estimates.</t>
  </si>
  <si>
    <t>[Baatsen, Michiel; von der Heydt, Anna S.; Kliphuis, Michael A.; Dijkstra, Henk A.] Univ Utrecht, Inst Marine &amp; Atmospher Res, Dept Phys, Princetonpl 5, NL-3584 CC Utrecht, Netherlands; [Huber, Matthew] Purdue Univ, Dept Earth Atmospher &amp; Planetary Sci, 610 Purdue Mall, W Lafayette, IN 47906 USA; [Bijl, Peter K.; Sluijs, Appy] Univ Utrecht, Lab Palaeobot &amp; Palynol, Dept Earth Sci Marine Palynol &amp; Paleoceanog, Princetonlaan 8a, NL-3584 CB Utrecht, Netherlands</t>
  </si>
  <si>
    <t>Utrecht University; Purdue University System; Purdue University; Utrecht University</t>
  </si>
  <si>
    <t>Baatsen, M (corresponding author), Univ Utrecht, Inst Marine &amp; Atmospher Res, Dept Phys, Princetonpl 5, NL-3584 CC Utrecht, Netherlands.</t>
  </si>
  <si>
    <t>m.l.j.baatsen@uu.nl</t>
  </si>
  <si>
    <t>Huber, Matthew/A-7677-2008; Dijkstra, Henk A./H-2559-2016; von der Heydt, Anna/B-9250-2008; Sluijs, Appy/B-3726-2009</t>
  </si>
  <si>
    <t>Huber, Matthew/0000-0002-2771-9977; von der Heydt, Anna/0000-0002-5557-3282;</t>
  </si>
  <si>
    <t>Dutch Ministry of Education, Culture and Science; NWO-EW (Netherlands Organisation for Scientific Research, Exact Sciences) [15508]; EPSRC [EP/M008363/1]; European Research Council [771497]; European Research Council (ERC) [771497] Funding Source: European Research Council (ERC)</t>
  </si>
  <si>
    <t>Dutch Ministry of Education, Culture and Science; NWO-EW (Netherlands Organisation for Scientific Research, Exact Sciences); EPSRC(UK Research &amp; Innovation (UKRI)Engineering &amp; Physical Sciences Research Council (EPSRC)); European Research Council(European Research Council (ERC)); European Research Council (ERC)(European Research Council (ERC)Spanish Government)</t>
  </si>
  <si>
    <t>This work was carried out under the programme of the Netherlands Earth System Science Centre (NESSC), financially supported by the Dutch Ministry of Education, Culture and Science. The use of the SURFsara computing facilities was sponsored by NWO-EW (Netherlands Organisation for Scientific Research, Exact Sciences) under project 15508. Anna S. von der Heydt acknowledges travel support to network partners from the EPSRC-funded Past Earth Network (grant no. EP/M008363/1), and Appy Sluijs thanks the European Research Council for a consolidator grant (grant no. 771497).</t>
  </si>
  <si>
    <t>DEC 23</t>
  </si>
  <si>
    <t>10.5194/cp-16-2573-2020</t>
  </si>
  <si>
    <t>PL8FU</t>
  </si>
  <si>
    <t>WOS:000603351300004</t>
  </si>
  <si>
    <t>Rovere, A; Pappalardo, M; Richiano, S; Aguirre, M; Sandstrom, MR; Hearty, PJ; Austermann, J; Castellanos, I; Raymo, ME</t>
  </si>
  <si>
    <t>Rovere, Alessio; Pappalardo, Marta; Richiano, Sebastian; Aguirre, Marina; Sandstrom, Michael R.; Hearty, Paul J.; Austermann, Jacqueline; Castellanos, Ignacio; Raymo, Maureen E.</t>
  </si>
  <si>
    <t>Higher than present global mean sea level recorded by an Early Pliocene intertidal unit in Patagonia (Argentina)</t>
  </si>
  <si>
    <t>ANTARCTIC ICE-SHEET; DYNAMIC TOPOGRAPHY; GLACIAL ISOSTASY; SELF-CONSISTENT; MARINE TERRACES; VM2 MODEL; QUATERNARY; TEMPERATURE; HISTORY; CLIMATE</t>
  </si>
  <si>
    <t>Reconstructions of global mean sea level from earlier warm periods in Earth's history can help constrain future projections of sea level rise. Here we report on the sedimentology and age of a geological unit in central Patagonia, Argentina, that we dated to the Early Pliocene (4.69-5.23Ma, 2 sigma) with strontium isotope stratigraphy. The unit was interpreted as representative of an intertidal environment, and its elevation was measured with differential GPS at ca. 36m above present-day sea level. Considering modern tidal ranges, it was possible to constrain paleo relative sea level within 2.7m (1 sigma). We use glacial isostatic adjustment models and estimates of vertical land movement to calculate that, when the Camarones intertidal sequence was deposited, global mean sea level was 28.4 +/- 11.7m (1 sigma) above present. This estimate matches those derived from analogous Early Pliocene sea level proxies in the Mediterranean Sea and South Africa. Evidence from these three locations indicates that Early Pliocene sea level may have exceeded 20m above its present level. Such high global mean sea level values imply an ice-free Greenland, a significant melting of West Antarctica, and a contribution of marine-based sectors of East Antarctica to global mean sea level. Global mean sea level was 28.4 +/- 11.7m higher than at present during the Early Pliocene, at atmospheric CO2 levels of no more than 450 ppm and temperatures of 2-3 degrees C above preindustrial levels, suggests a reconstruction from Patagonia.</t>
  </si>
  <si>
    <t>[Rovere, Alessio] Univ Bremen, MARUM Ctr Marine Environm Sci, Leobener Str 8, D-28359 Bremen, Germany; [Pappalardo, Marta] Univ Pisa, Dept Earth Sci, Via S Maria 53, I-56126 Pisa, Italy; [Richiano, Sebastian] Consejo Nacl Invest Cient &amp; Tecn, Inst Patagon Geol &amp; Paleontol, Bv Almirante Brown 2915, RA-9120 Puerto Madryn, Chubut, Argentina; [Aguirre, Marina] CCT La Plata, CONICET, Calle 8 1467,B1904CMC, La Plata, Buenos Aires, Argentina; [Aguirre, Marina] Univ Nacl La Plata, Calle 8 1467,B1904CMC, La Plata, Buenos Aires, Argentina; [Aguirre, Marina; Castellanos, Ignacio] Univ Nacl La Plata, Fac Ciencias Nat &amp; Museo, Calle 64 3, RA-1900 La Plata, Buenos Aires, Argentina; [Sandstrom, Michael R.; Austermann, Jacqueline; Raymo, Maureen E.] Columbia Univ, Lamont Doherty Earth Observ, 61 Rte 9W, Palisades, NY 10964 USA; [Hearty, Paul J.] Univ Texas Austin, Jackson Sch Geosci, Dept Geol Sci, 2275 Speedway Stop, Austin, TX USA</t>
  </si>
  <si>
    <t>University of Bremen; University of Pisa; Consejo Nacional de Investigaciones Cientificas y Tecnicas (CONICET); Consejo Nacional de Investigaciones Cientificas y Tecnicas (CONICET); National University of La Plata; National University of La Plata; National University of La Plata; Museo La Plata; Columbia University; University of Texas System; University of Texas Austin</t>
  </si>
  <si>
    <t>Rovere, A (corresponding author), Univ Bremen, MARUM Ctr Marine Environm Sci, Leobener Str 8, D-28359 Bremen, Germany.</t>
  </si>
  <si>
    <t>arovere@marum.de</t>
  </si>
  <si>
    <t>IPO, PAGES/JXY-7546-2024; Rovere, Alessio/C-4262-2011</t>
  </si>
  <si>
    <t>PAPPALARDO, MARTA/0000-0001-9443-5248; Sandstrom, Michael/0000-0002-3392-220X; Austermann, Jacqueline/0000-0003-3754-5082; Rovere, Alessio/0000-0001-5575-1168</t>
  </si>
  <si>
    <t>NSF [OCE-1202632]; Institutional Strategy of the University of Bremen, German Excellence Initiative [ABPZuK-03/2014]; G. Unger Vetlesen Foundation; Agencia Nacional de Promocion Cientifica y Tecnologica [PICT 2006-468, PICT 2013-1298]; CONICET [PIP 0080, 0372, 0729]; Universidad Nacional de La Plata [PI N11/587, N11/726]; Swiss Academy of Sciences; Chinese Academy of Sciences</t>
  </si>
  <si>
    <t>NSF(National Science Foundation (NSF)); Institutional Strategy of the University of Bremen, German Excellence Initiative; G. Unger Vetlesen Foundation; Agencia Nacional de Promocion Cientifica y Tecnologica(ANPCyTSpanish Government); CONICET(Consejo Nacional de Investigaciones Cientificas y Tecnicas (CONICET)); Universidad Nacional de La Plata(National University of La Plata); Swiss Academy of Sciences; Chinese Academy of Sciences(Chinese Academy of Sciences)</t>
  </si>
  <si>
    <t>This research was among the primary objectives of the PLIOMAX grant, NSF OCE-1202632 (PI MER and co-PI PJH). A.R. acknowledges the Institutional Strategy of the University of Bremen, German Excellence Initiative (ABPZuK-03/2014) for support. M.E.R. and J.A. acknowledge the additional support of the G. Unger Vetlesen Foundation. M.A. acknowledges the following projects: Agencia Nacional de Promocion Cientifica y Tecnologica (PICT 2006-468, PICT 2013-1298), CONICET (PIP 0080, 0372 and 0729), and Universidad Nacional de La Plata (PI N11/587 and N11/726). The authors acknowledge PALSEA for useful discussions during annual meetings. PALSEA is a working group of the International Union for Quaternary Sciences (INQUA) and Past Global Changes (PAGES), which in turn received support from the Swiss Academy of Sciences and the Chinese Academy of Sciences. We acknowledge Deirdre Ryan and Evan Gowan for useful discussions in the field, and Karla Rubio Sandoval Zurisadai for comments on the final draft of the MS. The background maps in Fig. 1 of this article were created using ArcGIS (R) software by Esri. ArcGIS (R) and ArcMap (TM) are the intellectual property of Esri and are used herein under license. Copyright (c) Esri. All rights reserved. For more information about Esri (R) software, please visit www.esri.com.</t>
  </si>
  <si>
    <t>10.1038/s43247-020-00067-6</t>
  </si>
  <si>
    <t>UM9NQ</t>
  </si>
  <si>
    <t>WOS:000693651500001</t>
  </si>
  <si>
    <t>Gorte, T; Lenaerts, JTM; Medley, B</t>
  </si>
  <si>
    <t>Gorte, Tessa; Lenaerts, Jan T. M.; Medley, Brooke</t>
  </si>
  <si>
    <t>Scoring Antarctic surface mass balance in climate models to refine future projections</t>
  </si>
  <si>
    <t>20TH-CENTURY INCREASE; SNOWFALL; PRECIPITATION; ACCUMULATION</t>
  </si>
  <si>
    <t>An increase in Antarctic Ice Sheet (AIS) surface mass balance (SMB) has the potential to mitigate future sea level rise that is driven by enhanced solid ice discharge from the ice sheet. For climate models, AIS SMB provides a difficult challenge, as it is highly susceptible to spatial, seasonal, and interannual variability. Here we use a reconstructed data set of AIS snow accumulation as true observational data, to evaluate the ability of the CMIP5 and CMIP6 suites of models in capturing the mean, trends, temporal variability, and spatial variability in SMB over the historical period (1850-2000). This gives insight into which models are most reliable for predicting SMB into the future. We found that the best scoring models included the National Aeronautics and Space Administration (NASA) GISS model and the Max Planck Institute (MPI) for Meteorology's model for CMIP5, as well as one of the Community Earth System Model v2 (CESM2) models and one MPI model for CMIP6. Using a scoring system based on SMB mean value, trend, and temporal variability across the AIS, as well as spatial SMB variability, we selected a subset of the top 10th percentile of models to refine 21st century (2000-2100) AIS-integrated SMB projections to 2274 +/- 282 Gt yr(-1), 2358 +/- 286 Gt yr(-1), and 2495 +/- 291 Gt yr(-1) for Representative Concentration Pathways (RCPs) 2.6, 4.5, and 8.5, respectively. We also reduced the spread in AIS-integrated mean SMB by 79 %, 79 %, and 74 % in RCPs 2.6, 4.5, and 8.5, respectively. Notably, we find that there is no improvement from CMIP5 to CMIP6 in overall score. In fact, CMIP6 performed slightly worse on average compared to CMIP5 at capturing the aforementioned SMB criteria. Our results also indicate that model performance scoring is affected by internal climate variability (particularly the spatial variability), which is illustrated by the fact that the range in overall score between ensemble members within the CESM1 Large Ensemble is comparable to the range in overall score between CESM1 model simulations within the CMIP5 model suite. We also find that a higher horizontal resolution does not yield to a conclusive improvement in score.</t>
  </si>
  <si>
    <t>[Gorte, Tessa; Lenaerts, Jan T. M.] Univ Colorado, Dept Atmospher &amp; Ocean Sci, Boulder, CO 80309 USA; [Medley, Brooke] NASA, Goddard Space Flight Ctr, Cryospher Sci Lab, Greenbelt, MD USA</t>
  </si>
  <si>
    <t>University of Colorado System; University of Colorado Boulder; National Aeronautics &amp; Space Administration (NASA); NASA Goddard Space Flight Center</t>
  </si>
  <si>
    <t>Gorte, T (corresponding author), Univ Colorado, Dept Atmospher &amp; Ocean Sci, Boulder, CO 80309 USA.</t>
  </si>
  <si>
    <t>tessa.gorte@colorado.edu</t>
  </si>
  <si>
    <t>Lenaerts, Jan/D-9423-2012</t>
  </si>
  <si>
    <t>Lenaerts, Jan/0000-0003-4309-4011</t>
  </si>
  <si>
    <t>NASA Sea Level Change Team [2017-2020, 80NSSC17K0565]</t>
  </si>
  <si>
    <t>NASA Sea Level Change Team</t>
  </si>
  <si>
    <t>This research has been supported by the NASA Sea Level Change Team (2017-2020) (grant no. 80NSSC17K0565).</t>
  </si>
  <si>
    <t>10.5194/tc-14-4719-2020</t>
  </si>
  <si>
    <t>PL8GR</t>
  </si>
  <si>
    <t>WOS:000603353600001</t>
  </si>
  <si>
    <t>Olsen, A; Lange, N; Key, RM; Tanhua, T; Bittig, HC; Kozyr, A; Alvarez, M; Azetsu-Scott, K; Becker, S; Brown, PJ; Carter, BR; da Cunha, LC; Feely, RA; van Heuven, S; Hoppema, M; Ishii, M; Jeansson, E; Jutterström, S; Landa, CS; Lauvset, SK; Michaelis, P; Murata, A; Pérez, FF; Pfeil, B; Schirnick, C; Steinfeldt, R; Suzuki, T; Tilbrook, B; Velo, A; Wanninkhof, R; Woosley, RJ</t>
  </si>
  <si>
    <t>Olsen, Are; Lange, Nico; Key, Robert M.; Tanhua, Toste; Bittig, Henry C.; Kozyr, Alex; Alvarez, Marta; Azetsu-Scott, Kumiko; Becker, Susan; Brown, Peter J.; Carter, Brendan R.; da Cunha, Leticia Cotrim; Feely, Richard A.; van Heuven, Steven; Hoppema, Mario; Ishii, Masao; Jeansson, Emil; Jutterstrom, Sara; Landa, Camilla S.; Lauvset, Siv K.; Michaelis, Patrick; Murata, Akihiko; Perez, Fiz F.; Pfeil, Benjamin; Schirnick, Carsten; Steinfeldt, Reiner; Suzuki, Toru; Tilbrook, Bronte; Velo, Anton; Wanninkhof, Rik; Woosley, Ryan J.</t>
  </si>
  <si>
    <t>An updated version of the global interior ocean biogeochemical data product, GLODAPv2.2020</t>
  </si>
  <si>
    <t>POTENTIAL TEMPERATURE; DEEP CONVECTION; CARBON; WATER; SEA; SOLUBILITY; SEAWATER; OXYGEN; CO2; ALKALINITY</t>
  </si>
  <si>
    <t>The Global Ocean Data Analysis Project (GLODAP) is a synthesis effort providing regular compilations of surface-to-bottom ocean biogeochemical data, with an emphasis on seawater inorganic carbon chemistry and related variables determined through chemical analysis of seawater samples. GLODAPv2.2020 is an update of the previous version, GLODAPv2.2019. The major changes are data from 106 new cruises added, extension of time coverage to 2019, and the inclusion of available (also for historical cruises) discrete fugacity of CO2 (fCO(2)) values in the merged product files. GLODAPv2.2020 now includes measurements from more than 1.2 million water samples from the global oceans collected on 946 cruises. The data for the 12 GLODAP core variables (salinity, oxygen, nitrate, silicate, phosphate, dissolved inorganic carbon, total alkalinity, pH, CFC-11, CFC-12, CFC-113, and CCl4) have undergone extensive quality control with a focus on systematic evaluation of bias. The data are available in two formats: (i) as submitted by the data originator but updated to WOCE exchange format and (ii) as a merged data product with adjustments applied to minimize bias. These adjustments were derived by comparing the data from the 106 new cruises with the data from the 840 quality-controlled cruises of the GLODAPv2.2019 data product using crossover analysis. Comparisons to empirical algorithm estimates provided additional context for adjustment decisions; this is new to this version. The adjustments are intended to remove potential biases from errors related to measurement, calibration, and data-handling practices without removing known or likely time trends or variations in the variables evaluated. The compiled and adjusted data product is believed to be consistent to better than 0.005 in salinity, 1 % in oxygen, 2 % in nitrate, 2 % in silicate, 2 % in phosphate, 4 mu mol kg(-1) in dissolved inorganic carbon, 4 mu mol kg(-1) in total alkalinity, 0.01-0.02 in pH (depending on region), and 5 % in the halogenated transient tracers. The other variables included in the compilation, such as isotopic tracers and discrete fCO(2), were not subjected to bias comparison or adjustments. The original data and their documentation and DOI codes are available at the Ocean Carbon Data System of NOAA NCEI (https://www.nodc.noaa.gov/ocads/oceans/GLODAPv2_2020/, last access: 20 June 2020). This site also provides access to the merged data product, which is provided as a single global file and as four regional ones - the Arctic, Atlantic, Indian, and Pacific oceans - under https://doi.org/10.25921/2c8h-sa89 (Olsen et al., 2020). These bias-adjusted product files also include significant ancillary and approximated data. These were obtained by interpolation of, or calculation from, measured data. This living data update documents the GLODAPv2.2020 methods and provides a broad overview of the secondary quality control procedures and results.</t>
  </si>
  <si>
    <t>[Olsen, Are; Landa, Camilla S.; Pfeil, Benjamin] Univ Bergen, Geophys Inst, Bergen, Norway; [Olsen, Are; Landa, Camilla S.; Pfeil, Benjamin] Bjerknes Ctr Climate Res, Bergen, Norway; [Lange, Nico; Tanhua, Toste; Michaelis, Patrick; Schirnick, Carsten] GEOMAR Helmholtz Ctr Ocean Res Kiel, Kiel, Germany; [Key, Robert M.] Princeton Univ, Atmospher &amp; Ocean Sci, Princeton, NJ 08540 USA; [Bittig, Henry C.] Leibniz Inst Baltic Sea Res Warnemunde, Rostock, Germany; [Kozyr, Alex] NOAA, Natl Ctr Environm Informat, Silver Spring, MD USA; [Alvarez, Marta] Inst Espanol Oceanog, La Coruna, Spain; [Azetsu-Scott, Kumiko] Bedford Inst Oceanog, Dept Fisheries &amp; Oceans, Dartmouth, NS, Canada; [Becker, Susan] Univ Calif San Diego, Scripps Inst Oceanog, San Diego, CA 92093 USA; [Brown, Peter J.] Natl Oceanog Ctr, Southampton, Hants, England; [Carter, Brendan R.] Univ Washington, Cooperat Inst Climate Ocean &amp; Ecosyst Studies, Seattle, WA 98195 USA; [Carter, Brendan R.; Feely, Richard A.] NOAA, Pacific Marine Environm Lab, 7600 Sand Point Way Ne, Seattle, WA 98115 USA; [da Cunha, Leticia Cotrim] Univ Estado Rio de Janeiro, Fac Oceanog PPG OCN LABOQUI, Rio De Janeiro, RJ, Brazil; [van Heuven, Steven] Univ Groningen, Fac Sci &amp; Engn, Ctr Isotope Res, Groningen, Netherlands; [Hoppema, Mario] Helmholtz Ctr Polar &amp; Marine Res, Alfred Wegener Inst, Bremerhaven, Germany; [Ishii, Masao] Japan Meteorol Agcy, Oceanog &amp; Geochem Res Dept, Meteorol Res Inst, Tsukuba, Ibaraki, Japan; [Jeansson, Emil; Lauvset, Siv K.] NORCE Norwegian Res Ctr, Bjerknes Ctr Climate Res, Bergen, Norway; [Jutterstrom, Sara] IVL Swedish Environm Res Inst, Gothenburg, Sweden; [Murata, Akihiko] Japan Agcy Marine Earth Sci &amp; Technol, Res Inst Global Change, Yokosuka, Kanagawa, Japan; [Perez, Fiz F.; Velo, Anton] IIM CSIC, Inst Invest Marinas, Vigo, Spain; [Steinfeldt, Reiner] Univ Bremen, Inst Environm Phys, Bremen, Germany; [Suzuki, Toru] Japan Hydrog Assoc, Marine Informat Res Ctr, Tokyo, Japan; [Tilbrook, Bronte] Univ Tasmania, CSIRO Oceans &amp; Atmosphere, Hobart, Tas, Australia; [Tilbrook, Bronte] Univ Tasmania, Antarctic Climate &amp; Ecosyst Cooperat Res Ctr, Hobart, Tas, Australia; [Wanninkhof, Rik] NOAA, Atlantic Oceanog &amp; Meteorol Lab, Miami, FL 33149 USA; [Woosley, Ryan J.] MIT, Ctr Global Change Sci, 77 Massachusetts Ave, Cambridge, MA 02139 USA</t>
  </si>
  <si>
    <t>University of Bergen; Bjerknes Centre for Climate Research; Helmholtz Association; GEOMAR Helmholtz Center for Ocean Research Kiel; Princeton University; Leibniz Institut fur Ostseeforschung Warnemunde; National Oceanic Atmospheric Admin (NOAA) - USA; Spanish Institute of Oceanography; Bedford Institute of Oceanography; Fisheries &amp; Oceans Canada; University of California System; University of California San Diego; Scripps Institution of Oceanography; NERC National Oceanography Centre; University of Washington; University of Washington Seattle; National Oceanic Atmospheric Admin (NOAA) - USA; Universidade do Estado do Rio de Janeiro; University of Groningen; Helmholtz Association; Alfred Wegener Institute, Helmholtz Centre for Polar &amp; Marine Research; Meteorological Research Institute - Japan; Japan Meteorological Agency; Bjerknes Centre for Climate Research; Norwegian Research Centre (NORCE); IVL Swedish Environmental Research Institute; Japan Agency for Marine-Earth Science &amp; Technology (JAMSTEC); Consejo Superior de Investigaciones Cientificas (CSIC); CSIC - Instituto de Investigaciones Marinas (IIM); University of Bremen; Commonwealth Scientific &amp; Industrial Research Organisation (CSIRO); University of Tasmania; Antarctic Climate &amp; Ecosystems Cooperative Research Centre (ACE CRC); University of Tasmania; National Oceanic Atmospheric Admin (NOAA) - USA; Atlantic Oceanographic &amp; Meteorological Laboratory (AOML); Massachusetts Institute of Technology (MIT)</t>
  </si>
  <si>
    <t>Olsen, A (corresponding author), Univ Bergen, Geophys Inst, Bergen, Norway.;Olsen, A (corresponding author), Bjerknes Ctr Climate Res, Bergen, Norway.</t>
  </si>
  <si>
    <t>are.olsen@uib.no</t>
  </si>
  <si>
    <t>Álvarez, Marta/D-4367-2009; Lauvset, Siv K/AAA-3819-2022; Tilbrook, Bronte/A-1522-2012; Tanhua, Toste/HLX-5402-2023; Velo, Anton/B-4172-2019; Carter, Brendan/ABG-9706-2021; Brown, Peter/AAN-4372-2020; Cotrim da Cunha, Leticia/F-5732-2010; Fernandez Perez, Fiz/B-9001-2011; Olsen, Are/A-1511-2011</t>
  </si>
  <si>
    <t>Álvarez, Marta/0000-0002-5075-9344; Velo, Anton/0000-0002-7598-5700; Brown, Peter/0000-0002-1152-1114; Cotrim da Cunha, Leticia/0000-0001-8035-1430; Fernandez Perez, Fiz/0000-0003-4836-8974; Woosley, Ryan J./0000-0002-2008-7751; Olsen, Are/0000-0003-1696-9142; Tanhua, Toste/0000-0002-0313-2557; Bittig, Henry/0000-0002-8621-3095</t>
  </si>
  <si>
    <t>EU Horizon 2020 through the EuroSea action [862626]; Prociencia/UERJ [2019-2021]; IEO RADIALES project; IEO RADPROF project; UK Climate Linked Atlantic Sector Science (CLASS) NERC National Capability Long-term Single Centre Science Programme [NE/R015953/1]; BOCATS2 Project [PID2019-104279GBC21]; Spanish Government; Fondo Europeo de Desarrollo Regional (FEDER); NOAA Global Observations and Monitoring Division [100007298]; Office of Oceanic and Atmospheric Research of NOAA; BONUS INTEGRAL project [03F0773A]; Initiative and Networking Fund of the Helmholtz Association through the project Digital Earth [ZT-0025]; NERC [NE/R015953/1, noc010009] Funding Source: UKRI</t>
  </si>
  <si>
    <t>EU Horizon 2020 through the EuroSea action; Prociencia/UERJ; IEO RADIALES project; IEO RADPROF project; UK Climate Linked Atlantic Sector Science (CLASS) NERC National Capability Long-term Single Centre Science Programme; BOCATS2 Project; Spanish Government(Spanish Government); Fondo Europeo de Desarrollo Regional (FEDER)(European Union (EU)Spanish Government); NOAA Global Observations and Monitoring Division(National Oceanic Atmospheric Admin (NOAA) - USA); Office of Oceanic and Atmospheric Research of NOAA(National Oceanic Atmospheric Admin (NOAA) - USA); BONUS INTEGRAL project; Initiative and Networking Fund of the Helmholtz Association through the project Digital Earth; NERC(UK Research &amp; Innovation (UKRI)Natural Environment Research Council (NERC))</t>
  </si>
  <si>
    <t>Nico Lange was funded by EU Horizon 2020 through the EuroSea action (grant no. 862626). Leticia Cotrim da Cunha was supported by Prociencia/UERJ (grant no. 2019-2021). Marta Alvarez was supported by the IEO RADIALES and RADPROF projects. Peter J. Brown was partially funded by the UK Climate Linked Atlantic Sector Science (CLASS) NERC National Capability Long-term Single Centre Science Programme (grant no. NE/R015953/1). Anton Velo and Fiz F. Perez were supported by the BOCATS2 Project (grant no. PID2019-104279GBC21) co-funded by the Spanish Government and the Fondo Europeo de Desarrollo Regional (FEDER). RikWanninkhof and Brendan R. Carter were supported by the NOAA Global Observations and Monitoring Division (fund reference 100007298) and the Office of Oceanic and Atmospheric Research of NOAA. Henry C. Bittig has been supported by the BONUS INTEGRAL project (grant no. 03F0773A). This research was also funded by the Initiative and Networking Fund of the Helmholtz Association through the project Digital Earth (grant no. ZT-0025).</t>
  </si>
  <si>
    <t>10.5194/essd-12-3653-2020</t>
  </si>
  <si>
    <t>PL8GA</t>
  </si>
  <si>
    <t>Green Published, Green Accepted, Green Submitted, gold</t>
  </si>
  <si>
    <t>WOS:000603351900003</t>
  </si>
  <si>
    <t>Fraser, KM; Lefcheck, JS; Ling, SD; Mellin, C; Stuart-Smith, RD; Edgar, GJ</t>
  </si>
  <si>
    <t>Fraser, K. M.; Lefcheck, J. S.; Ling, S. D.; Mellin, C.; Stuart-Smith, R. D.; Edgar, G. J.</t>
  </si>
  <si>
    <t>Production of mobile invertebrate communities on shallow reefs from temperate to tropical seas</t>
  </si>
  <si>
    <t>PROCEEDINGS OF THE ROYAL SOCIETY B-BIOLOGICAL SCIENCES</t>
  </si>
  <si>
    <t>macrofauna; epifauna; benthic ecosystems; trophic ecology; community ecology</t>
  </si>
  <si>
    <t>GREAT-BARRIER-REEF; HABITAT STRUCTURE; GLOBAL PATTERNS; CORAL-REEF; TOP-DOWN; MARINE HERBIVORES; CHEMICAL DEFENSE; METABOLIC THEORY; TROPHIC CASCADE; SEAGRASS BEDS</t>
  </si>
  <si>
    <t>Primary productivity of marine ecosystems is largely driven by broad gradients in environmental and ecological properties. By contrast, secondary productivity tends to be more variable, influenced by bottom-up (resource-driven) and top-down (predatory) processes, other environmental drivers, and mediation by the physical structure of habitats. Here, we use a continental-scale dataset on small mobile invertebrates (epifauna), common on surfaces in all marine ecosystems, to test influences of potential drivers of temperature-standardized secondary production across a large biogeographic range. We found epifaunal production to be remarkably consistent along a temperate to tropical Australian latitudinal gradient of 28.6 degrees, spanning kelp forests to coral reefs (approx. 3500 km). Using a model selection procedure, epifaunal production was primarily related to biogenic habitat group, which explained up to 45% of total variability. Production was otherwise invariant to predictors capturing primary productivity, the local biomass of fishes (proxy for predation pressure), and environmental, geographical, and human impacts. Highly predictable levels of epifaunal productivity associated with distinct habitat groups across continental scales should allow accurate modelling of the contributions of these ubiquitous invertebrates to coastal food webs, thus improving understanding of likely changes to food web structure with ocean warming and other anthropogenic impacts on marine ecosystems.</t>
  </si>
  <si>
    <t>[Fraser, K. M.; Ling, S. D.; Mellin, C.; Stuart-Smith, R. D.; Edgar, G. J.] Univ Tasmania, Inst Marine &amp; Antarctic Studies, Taroona, Tas 7053, Australia; [Lefcheck, J. S.] Smithsonian Environm Res Ctr, Tennenbaum Marine Observ Network, MarineGEO, 647 Contees Wharf Rd, Edgewater, MD 21037 USA; [Mellin, C.] Univ Adelaide, Environm Inst, Adelaide, SA 5005, Australia; [Mellin, C.] Univ Adelaide, Sch Biol Sci, Adelaide, SA 5005, Australia</t>
  </si>
  <si>
    <t>University of Tasmania; Smithsonian Institution; Smithsonian Environmental Research Center; University of Adelaide; University of Adelaide</t>
  </si>
  <si>
    <t>Fraser, KM (corresponding author), Univ Tasmania, Inst Marine &amp; Antarctic Studies, Taroona, Tas 7053, Australia.</t>
  </si>
  <si>
    <t>kate.fraser@utas.edu.au</t>
  </si>
  <si>
    <t>Stuart-Smith, Rick/I-5214-2019; Edgar, Graham/AAY-3797-2020; Lefcheck, Jonathan/H-8768-2019; Ling, Scott/J-7161-2014</t>
  </si>
  <si>
    <t>Stuart-Smith, Rick/0000-0002-8874-0083; Edgar, Graham/0000-0003-0833-9001; Lefcheck, Jonathan/0000-0002-8787-1786; Fraser, Kate/0000-0002-3057-5257; Ling, Scott/0000-0002-5544-8174</t>
  </si>
  <si>
    <t>Australian Research Council [LP100200122, DP170104668]; Australian Postgraduate Award; Australian Government's National Environmental Science Programme; Australian Museum's Lizard Island Research Station; Ian Potter Foundation; Parks Australia; Sydney Institute for Marine Science; Marine Biodiversity Hub</t>
  </si>
  <si>
    <t>Australian Research Council(Australian Research Council); Australian Postgraduate Award(Australian Government); Australian Government's National Environmental Science Programme(Australian Government); Australian Museum's Lizard Island Research Station; Ian Potter Foundation; Parks Australia; Sydney Institute for Marine Science; Marine Biodiversity Hub</t>
  </si>
  <si>
    <t>This study was supported by Australian Research Council grants to G.J.E. (LP100200122) and S.D.L. (DP170104668), and an Australian Postgraduate Award to K.M.F. Fieldwork was additionally supported by the Marine Biodiversity Hub-a collaborative partnership supported through the Australian Government's National Environmental Science Programme, as well as Parks Australia, the Sydney Institute for Marine Science, the Australian Museum's Lizard Island Research Station and the Ian Potter Foundation. Human population density data were modelled by Stuart Kininmonth.</t>
  </si>
  <si>
    <t>ROYAL SOC</t>
  </si>
  <si>
    <t>6-9 CARLTON HOUSE TERRACE, LONDON SW1Y 5AG, ENGLAND</t>
  </si>
  <si>
    <t>0962-8452</t>
  </si>
  <si>
    <t>1471-2954</t>
  </si>
  <si>
    <t>P ROY SOC B-BIOL SCI</t>
  </si>
  <si>
    <t>Proc. R. Soc. B-Biol. Sci.</t>
  </si>
  <si>
    <t>10.1098/rspb.2020.1798</t>
  </si>
  <si>
    <t>Biology; Ecology; Evolutionary Biology</t>
  </si>
  <si>
    <t>Life Sciences &amp; Biomedicine - Other Topics; Environmental Sciences &amp; Ecology; Evolutionary Biology</t>
  </si>
  <si>
    <t>PK8OE</t>
  </si>
  <si>
    <t>Green Submitted, Green Published, Bronze</t>
  </si>
  <si>
    <t>WOS:000602696300003</t>
  </si>
  <si>
    <t>Mills, WF; Bustamante, P; McGill, RAR; Anderson, ORJ; Bearhop, S; Cherel, Y; Votier, SC; Phillips, RA</t>
  </si>
  <si>
    <t>Mills, William F.; Bustamante, Paco; McGill, Rona A. R.; Anderson, Orea R. J.; Bearhop, Stuart; Cherel, Yves; Votier, Stephen C.; Phillips, Richard A.</t>
  </si>
  <si>
    <t>Mercury exposure in an endangered seabird: long-term changes and relationships with trophic ecology and breeding success</t>
  </si>
  <si>
    <t>pollution; seabirds; Thalassarche chrysostoma; heavy metals; Southern Ocean</t>
  </si>
  <si>
    <t>PERSISTENT ORGANIC POLLUTANTS; ALBATROSSES-DIOMEDEA-MELANOPHRIS; STABLE-ISOTOPE SIGNATURES; GREY-HEADED ALBATROSSES; CATHARACTA-SKUA; ARCTIC SEABIRD; FORAGING AREAS; SOUTHERN; CONTAMINATION; METHYLMERCURY</t>
  </si>
  <si>
    <t>Mercury (Hg) is an environmental contaminant which, at high concentrations, can negatively influence avian physiology and demography. Albatrosses (Diomedeidae) have higher Hg burdens than all other avian families. Here, we measure total Hg (THg) concentrations of body feathers from adult grey-headed albatrosses (Thalassarche chrysostoma) at South Georgia. Specifically, we (i) analyse temporal trends at South Georgia (1989-2013) and make comparisons with other breeding populations; (ii) identify factors driving variation in THg concentrations and (iii) examine relationships with breeding success. Mean +/- s.d. feather THg concentrations were 13.0 +/- 8.0 mu g g(-1) dw, which represents a threefold increase over the past 25 years at South Georgia and is the highest recorded in the Thalassarche genus. Foraging habitat, inferred from stable isotope ratios of carbon (delta C-13), significantly influenced THg concentrations-feathers moulted in Antarctic waters had far lower THg concentrations than those moulted in subantarctic or subtropical waters. THg concentrations also increased with trophic level (delta N-15), reflecting the biomagnification process. There was limited support for the influence of sex, age and previous breeding outcome on feather THg concentrations. However, in males, Hg exposure was correlated with breeding outcome-failed birds had significantly higher feather THg concentrations than successful birds. These results provide key insights into the drivers and consequences of Hg exposure in this globally important albatross population.</t>
  </si>
  <si>
    <t>[Mills, William F.; Phillips, Richard A.] NERC, British Antarctic Survey, Cambridge CB3 0ET, England; [Mills, William F.; Bearhop, Stuart] Univ Exeter, Ctr Ecol &amp; Conservat, Cornwall TR10 9EZ, England; [Bustamante, Paco] La Rochelle Univ, Littoral Environm &amp; Soc LIENSs, CNRS, UMR 7266, 2 Rue Olympe Gouges, F-17000 La Rochelle, France; [Bustamante, Paco] Inst Univ France IUF, 1 Rue Descartes, F-75005 Paris, France; [McGill, Rona A. R.] Scottish Univ Environm Res Ctr, NERC Life Sci Mass Spectrometry Facil, E Kilbride G75 0QF, Lanark, Scotland; [Anderson, Orea R. J.] Joint Nat Conservat Comm, Inverdee House,Baxter St, Aberdeen AB11 9QA, Scotland; [Cherel, Yves] La Rochelle Univ, Ctr Etud Biol Chize CEBC, UMR 7372, CNRS, F-79360 Villiers En Bois, France; [Votier, Stephen C.] Heriot Watt Univ, Lyell Ctr, Edinburgh, Midlothian, Scotland</t>
  </si>
  <si>
    <t>UK Research &amp; Innovation (UKRI); Natural Environment Research Council (NERC); NERC British Antarctic Survey; University of Exeter; Centre National de la Recherche Scientifique (CNRS); CNRS - Institute of Ecology &amp; Environment (INEE); Institut Universitaire de France; Scottish Universities Research &amp; Reactor Center; UK Research &amp; Innovation (UKRI); Natural Environment Research Council (NERC); Centre National de la Recherche Scientifique (CNRS); CNRS - Institute of Ecology &amp; Environment (INEE); Heriot Watt University</t>
  </si>
  <si>
    <t>Mills, WF (corresponding author), NERC, British Antarctic Survey, Cambridge CB3 0ET, England.;Mills, WF (corresponding author), Univ Exeter, Ctr Ecol &amp; Conservat, Cornwall TR10 9EZ, England.</t>
  </si>
  <si>
    <t>wilmil23@bas.ac.uk</t>
  </si>
  <si>
    <t>McGill, Rona/JAC-6969-2023; Votier, Stephen/IUO-0154-2023; Bustamante, Paco/G-5833-2011; Mills, William F/AAV-5737-2020; McGill, Rona/F-1793-2010; Bearhop, Stuart/G-3105-2012</t>
  </si>
  <si>
    <t>Votier, Stephen/0000-0002-0976-0167; Bustamante, Paco/0000-0003-3877-9390; Mills, William F/0000-0001-7170-5794; McGill, Rona/0000-0003-0400-7288; Bearhop, Stuart/0000-0002-5864-0129; Cherel, Yves/0000-0001-9469-9489; Anderson, Orea/0000-0002-9672-7313</t>
  </si>
  <si>
    <t>NERC GW4+ Doctoral Training Partnership studentship from the Natural Environment Research Council (NERC) [NE/L002434/1]; NERC Life Sciences Mass Spectrometry Facility [EK311-12/18]; Institut Universitaire de France (IUF); NERC [bas0100035] Funding Source: UKRI</t>
  </si>
  <si>
    <t>NERC GW4+ Doctoral Training Partnership studentship from the Natural Environment Research Council (NERC)(UK Research &amp; Innovation (UKRI)Natural Environment Research Council (NERC)); NERC Life Sciences Mass Spectrometry Facility; Institut Universitaire de France (IUF); NERC(UK Research &amp; Innovation (UKRI)Natural Environment Research Council (NERC))</t>
  </si>
  <si>
    <t>W.F.M. is supported by a NERC GW4+ Doctoral Training Partnership studentship from the Natural Environment Research Council (NERC; grant no. NE/L002434/1). Stable isotope analyses were funded by the NERC Life Sciences Mass Spectrometry Facility (grant no. EK311-12/18). The Institut Universitaire de France (IUF) is acknowledged for its support to P.B. as a Senior Member.</t>
  </si>
  <si>
    <t>10.1098/rspb.2020.2683</t>
  </si>
  <si>
    <t>Green Accepted, Green Submitted, Green Published, hybrid</t>
  </si>
  <si>
    <t>WOS:000602696300009</t>
  </si>
  <si>
    <t>Fogarty, HE; Cyitanovic, C; Hobday, AJ; Pecl, GT</t>
  </si>
  <si>
    <t>Fogarty, Hannah E.; Cyitanovic, Christopher; Hobday, Alistair J.; Pecl, Gretta T.</t>
  </si>
  <si>
    <t>An Assessment of How Australian Fisheries Management Plans Account for Climate Change Impacts</t>
  </si>
  <si>
    <t>adaptation; climate change; fisheries research; fisheries management; research priorities</t>
  </si>
  <si>
    <t>KNOWLEDGE EXCHANGE; CHANGE ADAPTATION; MARINE; UNCERTAINTY; SCIENTISTS; ECONOMICS</t>
  </si>
  <si>
    <t>For Australian fisheries to remain productive and sustainable (environmentally and commercially), there is a need to incorporate climate change considerations into management and planning, and to implement planned climate adaptation options. Here, we determine the extent to which Australian state fisheries management documents consider issues relating to climate change, as well as how frequently climate change is considered a research funding priority within fisheries research in Australia. We conduct a content analysis of fisheries management documents investigating categories and themes relating to Australian state fisheries, climate, and environmental change. We also reviewed recent Research Priorities from the major fisheries research funding body for reference to climate change related themes, and the number of subsequently funded projects which considered climate change or related topics. Results show that commercial state fisheries management documents consider climate only to a limited degree in comparison to other topics, with less than one-quarter of all fisheries management documents having content relating to climate. However, we find that the south-east and south-west regions of the Australian coastline have the highest incorporation of climate and environmental protection considerations in their fisheries management documents, and that fisheries are more likely to have more climate-related mentions within their related management documents, if they (i) primarily target species with higher economic commercial catch values, (ii) commercial catch weights, or (iii) a greater number of commercial fish stocks existing. Only a small number of recently funded fisheries research projects considered climate change, representing only a small proportion of fisheries research investment. Given the extensive climate-driven impacts recently documented among key Australian fisheries species and associated ecosystems, we conclude that there is a clear need for fisheries management in Australia to consider longer-term climate adaptation strategies for Australian commercial state fisheries to remain sustainable into the future. We suggest that without additional climate-related fisheries research and funding, many Australian agencies and fisheries may not be prepared for the impacts and subsequent adaptation efforts required for sustainable fisheries under climate change.</t>
  </si>
  <si>
    <t>[Fogarty, Hannah E.; Pecl, Gretta T.] Univ Tasmania, Inst Marine &amp; Antarctic Studies, Hobart, Tas, Australia; [Fogarty, Hannah E.; Cyitanovic, Christopher; Hobday, Alistair J.; Pecl, Gretta T.] Univ Tasmania, Ctr Marine Socioecol, Hobart, Tas, Australia; [Cyitanovic, Christopher] Australian Natl Univ, Australian Natl Ctr Publ Awareness Sci, Canberra, ACT, Australia; [Hobday, Alistair J.] Commonwealth Sci &amp; Ind Res Org Oceans &amp; Atmospher, Hobart, Tas, Australia</t>
  </si>
  <si>
    <t>University of Tasmania; University of Tasmania; Australian National University; Commonwealth Scientific &amp; Industrial Research Organisation (CSIRO)</t>
  </si>
  <si>
    <t>Fogarty, HE (corresponding author), Univ Tasmania, Inst Marine &amp; Antarctic Studies, Hobart, Tas, Australia.;Fogarty, HE (corresponding author), Univ Tasmania, Ctr Marine Socioecol, Hobart, Tas, Australia.</t>
  </si>
  <si>
    <t>hannah.fogarty@utas.edu.au</t>
  </si>
  <si>
    <t>Hobday, Alistair/A-1460-2012; Pecl, Gretta/D-7267-2011</t>
  </si>
  <si>
    <t>Pecl, Gretta/0000-0003-0192-4339; Cvitanovic, Christopher/0000-0002-2565-3396</t>
  </si>
  <si>
    <t>ARC Future Fellowship [FT 140100596]</t>
  </si>
  <si>
    <t>ARC Future Fellowship(Australian Research Council)</t>
  </si>
  <si>
    <t>GP was supported by an ARC Future Fellowship FT 140100596.</t>
  </si>
  <si>
    <t>10.3389/fmars.2020.591642</t>
  </si>
  <si>
    <t>PK4WF</t>
  </si>
  <si>
    <t>gold, Green Accepted, Green Published</t>
  </si>
  <si>
    <t>WOS:000602446500001</t>
  </si>
  <si>
    <t>Tessnow-von Wysocki, I; Vadrot, ABM</t>
  </si>
  <si>
    <t>Tessnow-von Wysocki, Ina; Vadrot, Alice B. M.</t>
  </si>
  <si>
    <t>The Voice of Science on Marine Biodiversity Negotiations: A Systematic Literature Review</t>
  </si>
  <si>
    <t>international negotiations; marine biodiversity; ocean protection; BBNJ; ABNJ; high seas; science-policy interfaces; transformative change</t>
  </si>
  <si>
    <t>ENVIRONMENTAL-IMPACT ASSESSMENT; ANTARCTIC TREATY SYSTEM; NATIONAL JURISDICTION; HIGH SEAS; GENETIC-RESOURCES; PROTECTED AREAS; SUSTAINABLE USE; IMPLEMENTING AGREEMENT; TECHNOLOGY-TRANSFER; CLIMATE-CHANGE</t>
  </si>
  <si>
    <t>Over one hundred governments are currently negotiating a new legally binding instrument for the conservation and sustainable use of marine biological diversity in areas beyond national jurisdiction (BBNJ). The new agreement is to address four broad themes: marine genetic resources (MGRs); area-based management tools (ABMTs), including marine protected areas (MPAs); environmental impact assessments (EIAs); and capacity building and the transfer of marine technology (CB&amp;TT). Although a large corpus of scientific BBNJ literature exists, a comprehensive overview and critical analysis of the academic debate is currently missing. This systematic review seeks to fill this gap by examining the main priority topics and recommendations in a sample of 140 multidisciplinary, geographically diverse publications. As an up-to-date summary and analysis, it is intended for researchers from diverse academic disciplines in the natural and social sciences, policy-makers, and practitioners. It untangles the complex BBNJ negotiations, highlights the policy relevance of existing work, and facilitates links between science, policy, and practice. It presents recommendations made in the literature sample for each of the four package elements of the future treaty and identifies four overarching themes: ocean connectivity, institutional design, the role of science, and digital technology. This paper identifies two important gaps that need to be addressed if we are to conserve marine biodiversity in international waters: the science-policy interfaces and the need for transformative change.</t>
  </si>
  <si>
    <t>[Tessnow-von Wysocki, Ina; Vadrot, Alice B. M.] Univ Vienna, Dept Polit Sci, Vienna, Austria</t>
  </si>
  <si>
    <t>University of Vienna</t>
  </si>
  <si>
    <t>Vadrot, ABM (corresponding author), Univ Vienna, Dept Polit Sci, Vienna, Austria.</t>
  </si>
  <si>
    <t>alice.vadrot@univie.ac.at</t>
  </si>
  <si>
    <t>Tessnow- von Wysocki, Ina/GON-7950-2022; Vadrot, Alice BM/O-7789-2017</t>
  </si>
  <si>
    <t>Vadrot, Alice BM/0000-0002-6043-9846; Tessnow-von Wysocki, Ina/0000-0003-1038-9059</t>
  </si>
  <si>
    <t>H2020 European Research Council [804599]; European Research Council (ERC) [804599] Funding Source: European Research Council (ERC)</t>
  </si>
  <si>
    <t>H2020 European Research Council(Horizon 2020European Research Council (ERC)); European Research Council (ERC)(European Research Council (ERC)Spanish Government)</t>
  </si>
  <si>
    <t>This work was supported by the H2020 European Research Council. The Starting Grant Project MARIPOLDATA [804599] is led by AV. For further information please see www.maripoldata.eu.</t>
  </si>
  <si>
    <t>10.3389/fmars.2020.614282</t>
  </si>
  <si>
    <t>PK4YU</t>
  </si>
  <si>
    <t>WOS:000602453200001</t>
  </si>
  <si>
    <t>Pande, A; Mondol, S; Sathyakumar, S; Mathur, VB; Ray, Y; Sivakumar, K</t>
  </si>
  <si>
    <t>Pande, Anant; Mondol, Samrat; Sathyakumar, Sambandam; Mathur, Vinod B.; Ray, Yogesh; Sivakumar, Kuppusamy</t>
  </si>
  <si>
    <t>Past records and current distribution of seabirds at Larsemann Hills and Schirmacher Oasis, east Antarctica</t>
  </si>
  <si>
    <t>Indian Scientific Expeditions to Antarctica; Seabird distribution; Nesting sites; Moulting sites; Occupied territory</t>
  </si>
  <si>
    <t>MOLECULAR-GENETICS; PENGUINS; BAY; PREDATORS; EVOLUTION; ECOLOGY; REVEAL</t>
  </si>
  <si>
    <t>Seabird populations in Antarctica serve as indicators to assess the impacts of global environmental change. Ecological data on seabirds in Antarctica are scarce due to limited knowledge on their distribution and abundance in most parts of the continent. In this study, we investigated the status of seabird species around the Indian research stations Bharati at Larsemann Hills, Prydz bay and Maitri at Schirmacher Oasis, central Dronning Maud Land located in east Antarctica. We conducted primary surveys during austral summers under the Indian Antarctic Program and compiled published as well as unpublished information on seabird distribution from these areas. We employed intensive area search methods to locate presence of seabird nesting and moulting sites. Ten species were recorded from Larsemann Hills with confirmed breeding of snow petrel, south polar skua and Wilson's storm-petrel. Only south polar skua and Adelie penguin were reported breeding at Schirmacher Oasis with unconfirmed breeding of Wilson's storm-petrel. This study presents the first detailed synthesis of status of seabirds from Larsemann Hills and Schirmacher Oasis regions in Antarctica and serves as a strong baseline for future ecological work on seabirds in the sector of operation of Indian Antarctic Program.</t>
  </si>
  <si>
    <t>[Pande, Anant; Mondol, Samrat; Sathyakumar, Sambandam; Mathur, Vinod B.; Sivakumar, Kuppusamy] Govt India, Minist Environm Forest &amp; Climate Change, Wildlife Inst India, Dehra Dun 248001, Uttarakhand, India; [Ray, Yogesh] Govt India, Minist Earth Sci, Natl Ctr Polar &amp; Ocean Res, Vasco Da Gama 403804, Goa, India</t>
  </si>
  <si>
    <t>Wildlife Institute of India; Ministry of Earth Sciences (MoES) - India; National Centre for Polar and Ocean Research (NCPOR)</t>
  </si>
  <si>
    <t>Pande, A (corresponding author), Govt India, Minist Environm Forest &amp; Climate Change, Wildlife Inst India, Dehra Dun 248001, Uttarakhand, India.</t>
  </si>
  <si>
    <t>anant@wii.gov.in</t>
  </si>
  <si>
    <t>Ray, Yogesh/A-9564-2012; Mondol, Samrat/JXN-4527-2024</t>
  </si>
  <si>
    <t>Ray, Yogesh/0000-0001-7236-9323; Pande, Anant/0000-0002-2835-1481; Mondol, Samrat/0000-0003-3034-9396; Kuppusamy, Sivakumar/0000-0002-6938-7480</t>
  </si>
  <si>
    <t>Wildlife Institute of India, Ministry of Environment, Forest, Climate Change, Government of India [WII/33rdISEA/2013-14]; National Centre for Polar and Ocean Research, Ministry of Earth Sciences, Government of India [NCAOR/14(159)/13/BES-3]</t>
  </si>
  <si>
    <t>Wildlife Institute of India, Ministry of Environment, Forest, Climate Change, Government of India; National Centre for Polar and Ocean Research, Ministry of Earth Sciences, Government of India</t>
  </si>
  <si>
    <t>This work was supported by Wildlife Institute of India, Ministry of Environment, Forest, Climate Change, Government of India (No. WII/33rdISEA/2013-14) and National Centre for Polar and Ocean Research, Ministry of Earth Sciences, Government of India (No. NCAOR/14(159)/13/BES-3).</t>
  </si>
  <si>
    <t>e40</t>
  </si>
  <si>
    <t>10.1017/S0032247420000364</t>
  </si>
  <si>
    <t>PI6VG</t>
  </si>
  <si>
    <t>WOS:000601225700001</t>
  </si>
  <si>
    <t>Hinke, JT; Watters, GM; Reiss, CS; Santora, JA; Santos, MM</t>
  </si>
  <si>
    <t>Hinke, Jefferson T.; Watters, George M.; Reiss, Christian S.; Santora, Jarrod A.; Santos, M. Mercedes</t>
  </si>
  <si>
    <t>Acute bottlenecks to the survival of juvenile Pygoscelis penguins occur immediately after fledging</t>
  </si>
  <si>
    <t>BIOLOGY LETTERS</t>
  </si>
  <si>
    <t>telemetry; Antarctica; recruitment; seabird; Pygoscelis</t>
  </si>
  <si>
    <t>HOTSPOTS; BIRDS</t>
  </si>
  <si>
    <t>Estimating when and where survival bottlenecks occur in free-ranging marine predators is critical for effective demographic monitoring and spatial planning. This is particularly relevant to juvenile stages of long-lived species for which direct observations of death are typically not possible. We used satellite telemetry data from fledgling Adelie, chinstrap and gentoo penguins near the Antarctic Peninsula to estimate the spatio-temporal scale of a bottleneck after fledging. Fledglings were tracked up to 106 days over distances of up to 2140 km. Cumulative losses of tags increased to 73% within 16 days of deployment, followed by an order-of-magnitude reduction in loss rates thereafter. The timing and location of tag losses were consistent with at-sea observations of penguin carcasses and bioenergetics simulations of mass loss to thresholds associated with low recruitment probability. A bootstrapping procedure is used to assess tag loss owing to death versus other factors. Results suggest insensitivity in the timing of the bottleneck and quantify plausible ranges of mortality rates within the bottleneck. The weight of evidence indicates that a survival bottleneck for fledgling penguins is acute, attributable to predation and starvation, and may account for at least 33% of juvenile mortality.</t>
  </si>
  <si>
    <t>[Hinke, Jefferson T.; Watters, George M.; Reiss, Christian S.] NOAA, Antarctic Ecosyst Res Div, Southwest Fisheries Sci Ctr, Natl Marine Fisheries Serv, La Jolla, CA 92037 USA; [Santora, Jarrod A.] NOAA, Fisheries Ecol Div, Southwest Fisheries Sci Ctr, Natl Marine Fisheries Serv, Santa Cruz, CA 95060 USA; [Santos, M. Mercedes] Inst Antartico Argentino, Dept Biol Predadores Tope, B1650CSP, San Martin, Argentina; [Santos, M. Mercedes] Univ Nacl La Plata, Lab Anexos, Fac Ciencias Nat &amp; Museo, B1904AMA, La Plata, Argentina</t>
  </si>
  <si>
    <t>National Oceanic Atmospheric Admin (NOAA) - USA; National Oceanic Atmospheric Admin (NOAA) - USA; Instituto Antartico Argentino; National University of La Plata; Museo La Plata</t>
  </si>
  <si>
    <t>Hinke, JT (corresponding author), NOAA, Antarctic Ecosyst Res Div, Southwest Fisheries Sci Ctr, Natl Marine Fisheries Serv, La Jolla, CA 92037 USA.</t>
  </si>
  <si>
    <t>jefferson.hinke@noaa.gov</t>
  </si>
  <si>
    <t>Watters, George/HPE-2184-2023; , Jefferson/AAG-1702-2021</t>
  </si>
  <si>
    <t>Watters, George/0000-0002-6989-1273; , Jefferson/0000-0002-3600-1414</t>
  </si>
  <si>
    <t>CEMP Special Funds from the Commission for the Conservation of Antarctic Marine Living Resources</t>
  </si>
  <si>
    <t>This study was supported with CEMP Special Funds from the Commission for the Conservation of Antarctic Marine Living Resources.</t>
  </si>
  <si>
    <t>1744-9561</t>
  </si>
  <si>
    <t>1744-957X</t>
  </si>
  <si>
    <t>BIOL LETTERS</t>
  </si>
  <si>
    <t>Biol. Lett.</t>
  </si>
  <si>
    <t>10.1098/rsbl.2020.0645</t>
  </si>
  <si>
    <t>PH3XI</t>
  </si>
  <si>
    <t>WOS:000600349500001</t>
  </si>
  <si>
    <t>Sarnthein, M; Küssner, K; Grootes, PM; Ausin, B; Eglinton, T; Muglia, J; Muscheler, R; Schlolaut, G</t>
  </si>
  <si>
    <t>Sarnthein, Michael; Kuessner, Kevin; Grootes, Pieter M.; Ausin, Blanca; Eglinton, Timothy; Muglia, Juan; Muscheler, Raimund; Schlolaut, Gordon</t>
  </si>
  <si>
    <t>Plateaus and jumps in the atmospheric radiocarbon record - potential origin and value as global age markers for glacial-to-deglacial paleoceanography, a synthesis</t>
  </si>
  <si>
    <t>DEEP-WATER FORMATION; C-14 RESERVOIR AGES; GREENLAND ICE-CORE; NORTH-ATLANTIC; SOUTHERN-OCEAN; HULU CAVE; OVERTURNING CIRCULATION; NUTRIENT UTILIZATION; LATE PLEISTOCENE; LAST GLACIATION</t>
  </si>
  <si>
    <t>Changes in the geometry of ocean meridional overturning circulation (MOC) are crucial in controlling past changes of climate and the carbon inventory of the atmosphere. However, the accurate timing and global correlation of short-term glacial-to-deglacial changes of MOC in different ocean basins still present a major challenge. The fine structure of jumps and plateaus in atmospheric and planktic radiocarbon (C-14) concentration reflects changes in atmospheric C-14 production, ocean-atmosphere C-14 exchange, and ocean mixing. Plateau boundaries in the atmospheric C-14 record of Lake Suigetsu, now tied to Hulu Cave U=Th model ages instead of optical varve counts, provide a stratigraphic rung ladder of up to 30 age tie points from 29 to 10 cal ka for accurate dating of planktic oceanic C-14 records. The age differences between contemporary planktic and atmospheric C-14 plateaus record the global distribution of C-14 reservoir ages for surface waters of the Last Glacial Maximum (LGM) and deglacial Heinrich Stadial 1 (HS-1), as documented in 19 and 20 planktic C-14 records, respectively. Elevated and variable reservoir ages mark both upwelling regions and highlatitude sites covered by sea ice and/or meltwater. C-14 venti-lation ages of LGM deep waters reveal opposed geometries of Atlantic and Pacific MOC. Like today, Atlantic deep-water formation went along with an estuarine inflow of old abyssal waters from the Southern Ocean up to the northern North Pacific and an outflow of upper deep waters. During early HS-1, C-14 ventilation ages suggest a reversed MOC and similar to 1500-year flushing of the deep North Pacific up to the South China Sea, when estuarine circulation geometry marked the North Atlantic, gradually starting near 19 ka. High C-14 ventilation ages of LGM deep waters reflect a major drawdown of carbon from the atmosphere. The subsequent major deglacial age drop reflects changes in MOC accompanied by massive carbon releases to the atmosphere as recorded in Antarctic ice cores. These new features of MOC and the carbon cycle provide detailed evidence in space and time to test and refine ocean models that, in part because of insufficient spatial model resolution and reference data, still poorly reproduce our data sets.</t>
  </si>
  <si>
    <t>[Sarnthein, Michael] Univ Kiel, Inst Geosci, Olshausenstr 40, D-24098 Kiel, Germany; [Kuessner, Kevin] Alfred Wegener Inst, Helmholtz Zentrum Polar &amp; Meeresforsch, Dept Marine Geol, D-27570 Bremerhaven, Germany; [Grootes, Pieter M.] Univ Kiel, Inst Ecosyst Res, Olshausenstr 40, D-24098 Kiel, Germany; [Ausin, Blanca] Univ Salamanca, Geol Dept, Plaza Caldos, Salamanca 37008, Spain; [Muglia, Juan] Consejo Nacl Invest Cient &amp; Tecn, Ctr Estudio Sistemas Marinos, 2915 Blvd Brown,U9120ACD, Puerto Madryn, Argentina; [Muscheler, Raimund] Lund Univ, Quaternary Sci, Dept Geol, Solvegatan 12, S-22362 Lund, Sweden; [Schlolaut, Gordon] GFZ German Ctr Geosci, Climate Dynam &amp; Landscape Evolut, D-14473 Potsdam, Germany; [Ausin, Blanca; Eglinton, Timothy] Swiss Fed Inst Technol, Geol Inst, Sonneggstr 5, CH-8092 Zurich, Switzerland</t>
  </si>
  <si>
    <t>University of Kiel; Helmholtz Association; Alfred Wegener Institute, Helmholtz Centre for Polar &amp; Marine Research; University of Kiel; University of Salamanca; Consejo Nacional de Investigaciones Cientificas y Tecnicas (CONICET); Lund University; Helmholtz Association; Helmholtz-Center Potsdam GFZ German Research Center for Geosciences; Swiss Federal Institutes of Technology Domain; ETH Zurich</t>
  </si>
  <si>
    <t>Sarnthein, M (corresponding author), Univ Kiel, Inst Geosci, Olshausenstr 40, D-24098 Kiel, Germany.</t>
  </si>
  <si>
    <t>michael.sarnthein@ifg.uni-kiel.de</t>
  </si>
  <si>
    <t>Grootes, Pieter M/F-4952-2011</t>
  </si>
  <si>
    <t>Muscheler, Raimund/0000-0003-2772-3631; Grootes, Pieter/0000-0003-4265-3168; Ausin, Blanca/0000-0001-9492-2812</t>
  </si>
  <si>
    <t>Alfred Wegener Institute Helmholtz Centre for Polar and Marine Research</t>
  </si>
  <si>
    <t>This research has been supported by the Alfred Wegener Institute Helmholtz Centre for Polar and Marine Research.</t>
  </si>
  <si>
    <t>10.5194/cp-16-2547-2020</t>
  </si>
  <si>
    <t>Green Submitted, Green Published, gold</t>
  </si>
  <si>
    <t>WOS:000603351300003</t>
  </si>
  <si>
    <t>Pollard, D; DeConto, RM</t>
  </si>
  <si>
    <t>Pollard, David; DeConto, Robert M.</t>
  </si>
  <si>
    <t>Improvements in one-dimensional grounding-line parameterizations in an ice-sheet model with lateral variations (PSUICE3D v2.1)</t>
  </si>
  <si>
    <t>INTERCOMPARISON PROJECT; FUTURE; SIMULATIONS; STABILITY; GLACIERS; SENSITIVITY; ANTARCTICA; RETREAT; STRESS</t>
  </si>
  <si>
    <t>The use of a boundary-layer parameterization of buttressing and ice flux across grounding lines in a two-dimensional ice-sheet model is improved by allowing general orientations of the grounding line. This and another modification to the model's grounding-line parameterization are assessed in three settings: rectangular fjord-like domains - the third Marine Ice Sheet Model Intercomparison Project (MISMIP+) and Marine Ice Sheet Model Intercomparison Project for plan view models (MISMIP3d) - and future simulations of West Antarctic ice retreat under Representative Concentration Pathway (RCP)8.5-based climates. The new modifications are found to have significant effects on the fjord-like results, which are now within the envelopes of other models in the MISMIP+ and MISMIP3d intercomparisons. In contrast, the modifications have little effect on West Antarctic retreat, presumably because dynamics in the wider major Antarctic basins are adequately represented by the model's previous simpler one-dimensional formulation. As future grounding lines retreat across very deep bedrock topography in the West Antarctic simulations, buttressing is weak and deviatoric stress measures exceed the ice yield stress, implying that structural failure at these grounding lines would occur. We suggest that these grounding-line quantities should be examined in similar projections by other ice models to better assess the potential for future structural failure.</t>
  </si>
  <si>
    <t>[Pollard, David] Penn State Univ, Earth &amp; Environm Syst Inst, University Pk, PA 16802 USA; [DeConto, Robert M.] Univ Massachusetts, Dept Geosci, Amherst, MA 01003 USA</t>
  </si>
  <si>
    <t>Pennsylvania Commonwealth System of Higher Education (PCSHE); Pennsylvania State University; Pennsylvania State University - University Park; University of Massachusetts System; University of Massachusetts Amherst</t>
  </si>
  <si>
    <t>Pollard, D (corresponding author), Penn State Univ, Earth &amp; Environm Syst Inst, University Pk, PA 16802 USA.</t>
  </si>
  <si>
    <t>pollard@essc.psu.edu</t>
  </si>
  <si>
    <t>US National Science Foundation [ICER-1663693]; US National Aeronautics and Space Administration [NNH16ZDA001N-SLCST]</t>
  </si>
  <si>
    <t>US National Science Foundation(National Science Foundation (NSF)); US National Aeronautics and Space Administration(National Aeronautics &amp; Space Administration (NASA))</t>
  </si>
  <si>
    <t>This research has been supported by the US National Science Foundation (grant no. ICER-1663693) and the US National Aeronautics and Space Administration (grant no. NNH16ZDA001N-SLCST).</t>
  </si>
  <si>
    <t>DEC 22</t>
  </si>
  <si>
    <t>10.5194/gmd-13-6481-2020</t>
  </si>
  <si>
    <t>PK9OM</t>
  </si>
  <si>
    <t>WOS:000602764800002</t>
  </si>
  <si>
    <t>Sandford, MW; Thompson, DR; Green, RO; Kahn, BH; Vitulli, R; Chien, S; Yelamanchili, A; Olson-Duvall, W</t>
  </si>
  <si>
    <t>Sandford, Macey W.; Thompson, David R.; Green, Robert O.; Kahn, Brian H.; Vitulli, Raffaele; Chien, Steve; Yelamanchili, Amruta; Olson-Duvall, Winston</t>
  </si>
  <si>
    <t>Global cloud property models for real-time triage on board visible-shortwave infrared spectrometers</t>
  </si>
  <si>
    <t>THERMODYNAMIC-PHASE; ALGORITHM; COVER; ONBOARD</t>
  </si>
  <si>
    <t>New methods for optimizing data storage and transmission are required as orbital imaging spectrometers collect ever-larger data volumes due to increases in optical efficiency and resolution. In Earth surface investigations, storage and downlink volumes are the most important bottleneck in the mission's total data yield. Excising cloud-contaminated data on board, during acquisition, can increase the value of downlinked data and significantly improve the overall science performance of the mission. Threshold-based screening algorithms can operate at the acquisition rate of the instrument but require accurate and comprehensive predictions of cloud and surface brightness. To date, the community lacks a comprehensive analysis of global data to provide appropriate thresholds for screening clouds or to predict performance. Moreover, prior cloud-screening studies have used universal screening criteria that do not account for the unique surface and cloud properties at different locations. To address this gap, we analyzed the Hyperion imaging spectrometer's historical archive of global Earth reflectance data. We selected a diverse subset spanning space (with tropical, midlatitude, Arctic, and Antarctic latitudes), time (2005-2017), and wavelength (400-2500 nm) to assure that the distributions of cloud data are representative of all cases. We fit models of cloud reflectance properties gathered from the subset to predict locally and globally applicable thresholds. The distributions relate cloud reflectance properties to various surface types (land, water, and snow) and latitudinal zones. We find that taking location into account can significantly improve the efficiency of onboard cloud-screening methods. Models based on this dataset will be used to screen clouds on board orbital imaging spectrometers, effectively doubling the volume of usable science data per downlink Models based on this dataset will be used to screen clouds on board NASA's forthcoming mission, the Earth Mineral Dust Source Investigation (EMIT).</t>
  </si>
  <si>
    <t>[Sandford, Macey W.] Univ Hawaii Manoa, Dept Earth Sci, Inst Geophys &amp; Planetol, Honolulu, HI 96822 USA; [Thompson, David R.; Green, Robert O.; Kahn, Brian H.; Chien, Steve; Yelamanchili, Amruta; Olson-Duvall, Winston] CALTECH, Jet Prop Lab, Pasadena, CA USA; [Vitulli, Raffaele] European Space Agcy, European Space Res &amp; Technol Ctr, Noordwijk, Netherlands</t>
  </si>
  <si>
    <t>University of Hawaii System; University of Hawaii Manoa; California Institute of Technology; National Aeronautics &amp; Space Administration (NASA); NASA Jet Propulsion Laboratory (JPL); European Space Agency</t>
  </si>
  <si>
    <t>Sandford, MW (corresponding author), Univ Hawaii Manoa, Dept Earth Sci, Inst Geophys &amp; Planetol, Honolulu, HI 96822 USA.</t>
  </si>
  <si>
    <t>macey.sandford@gmail.com</t>
  </si>
  <si>
    <t>Thompson, David/HJY-8387-2023</t>
  </si>
  <si>
    <t>Thompson, David/0000-0002-0746-1526; Olson-Duvall, Winston/0000-0002-4210-0283; Thompson, David R./0000-0003-1100-7550</t>
  </si>
  <si>
    <t>NASA JPL summer internship program</t>
  </si>
  <si>
    <t>This research has been supported by the NASA JPL summer internship program and the Imaging Spectroscopy group at JPL.</t>
  </si>
  <si>
    <t>10.5194/amt-13-7047-2020</t>
  </si>
  <si>
    <t>PK6NR</t>
  </si>
  <si>
    <t>WOS:000602559600001</t>
  </si>
  <si>
    <t>Gutt, J; Isla, E; Xavier, JC; Adams, BJ; Ahn, IY; Cheng, CHC; Colesie, C; Cummings, VJ; di Prisco, G; Griffiths, H; Hawes, I; Hogg, I; McIntyre, T; Meiners, KM; Pearce, DA; Peck, L; Piepenburg, D; Reisinger, RR; Saba, GK; Schloss, IR; Signori, CN; Smith, CR; Vacchi, M; Verde, C; Wall, DH</t>
  </si>
  <si>
    <t>Gutt, Julian; Isla, Enrique; Xavier, Jose C.; Adams, Byron J.; Ahn, In-Young; Cheng, C-H Christina; Colesie, Claudia; Cummings, Vonda J.; di Prisco, Guido; Griffiths, Huw; Hawes, Ian; Hogg, Ian; McIntyre, Trevor; Meiners, Klaus M.; Pearce, David A.; Peck, Lloyd; Piepenburg, Dieter; Reisinger, Ryan R.; Saba, Grace K.; Schloss, Irene R.; Signori, Camila N.; Smith, Craig R.; Vacchi, Marino; Verde, Cinzia; Wall, Diana H.</t>
  </si>
  <si>
    <t>Antarctic ecosystems in transition - life between stresses and opportunities</t>
  </si>
  <si>
    <t>BIOLOGICAL REVIEWS</t>
  </si>
  <si>
    <t>adaptation; benthic dynamism; biogeochemical cycles; climate change; invasion; new habitats; ocean acidification; primary production; range shifts; sea ice</t>
  </si>
  <si>
    <t>PHYTOPLANKTON COMMUNITY COMPOSITION; KRILL EUPHAUSIA-SUPERBA; SOUTH SHETLAND ISLANDS; CLIMATE-CHANGE; ROSS SEA; OCEAN ACIDIFICATION; IRON FERTILIZATION; THERMAL TOLERANCE; METABOLIC-RATE; KING PENGUIN</t>
  </si>
  <si>
    <t>Important findings from the second decade of the 21st century on the impact of environmental change on biological processes in the Antarctic were synthesised by 26 international experts. Ten key messages emerged that have stakeholder-relevance and/or a high impact for the scientific community. They address (i) altered biogeochemical cycles, (ii) ocean acidification, (iii) climate change hotspots, (iv) unexpected dynamism in seabed-dwelling populations, (v) spatial range shifts, (vi) adaptation and thermal resilience, (vii) sea ice related biological fluctuations, (viii) pollution, (ix) endangered terrestrial endemism and (x) the discovery of unknown habitats. Most Antarctic biotas are exposed to multiple stresses and considered vulnerable to environmental change due to narrow tolerance ranges, rapid change, projected circumpolar impacts, low potential for timely genetic adaptation, and migration barriers. Important ecosystem functions, such as primary production and energy transfer between trophic levels, have already changed, and biodiversity patterns have shifted. A confidence assessment of the degree of 'scientific understanding' revealed an intermediate level for most of the more detailed sub-messages, indicating that process-oriented research has been successful in the past decade. Additional efforts are necessary, however, to achieve the level of robustness in scientific knowledge that is required to inform protection measures of the unique Antarctic terrestrial and marine ecosystems, and their contributions to global biodiversity and ecosystem services.</t>
  </si>
  <si>
    <t>[Gutt, Julian; Piepenburg, Dieter] Helmholtz Ctr Polar &amp; Marine Res, Alfred Wegener Inst, Columbusstr, D-27568 Bremerhaven, Germany; [Isla, Enrique] CSIC, Inst Marine Sci, Passeig Maritim Barceloneta 37-49, Barcelona 08003, Spain; [Xavier, Jose C.] Univ Coimbra, Fac Sci &amp; Technol, MARE Marine &amp; Environm Sci Ctr, Coimbra, Portugal; [Xavier, Jose C.; Griffiths, Huw; Pearce, David A.; Peck, Lloyd] British Antarctic Survey, Nat Environm Res Council, Madingley Rd, Cambridge CB3 0ET, England; [Adams, Byron J.] Brigham Young Univ, Dept Biol, Provo, UT 84602 USA; [Adams, Byron J.] Brigham Young Univ, Monte L Bean Museum, Provo, UT 84602 USA; [Ahn, In-Young] Korea Polar Res Inst, 26 Songdomirae Ro, Incheon 21990, South Korea; [Cheng, C-H Christina] Univ Illinois, Dept Evolut Ecol &amp; Behav, Urbana, IL 61801 USA; [Colesie, Claudia] Univ Edinburgh, Sch Geosci, Alexander Crum Brown Rd, Edinburgh EH9 3FF, Midlothian, Scotland; [Cummings, Vonda J.] Natl Inst Water &amp; Atmosphere Res Ltd NIWA, 301 Evans Bay Parade, Wellington, New Zealand; [di Prisco, Guido; Verde, Cinzia] Natl Res Council CNR, Inst Biosci &amp; BioResources IBBR, Via Pietro Castellino 111, I-80131 Naples, Italy; [Hawes, Ian] Univ Waikato, Coastal Marine Field Stn, 58 Cross Rd, Tauranga 3100, New Zealand; [Hogg, Ian] Univ Waikato, Sch Sci, Private Bag 3105, Hamilton 3240, New Zealand; [Hogg, Ian] Polar Knowledge Canada, Canadian High Antarctic Res Stn, POB 2150, Cambridge Bay, NU X0B 0C0, Canada; [McIntyre, Trevor] Univ South Africa, Dept Life &amp; Consumer Sci, Private Bag X6, ZA-1710 Florida, South Africa; [Meiners, Klaus M.] Univ Tasmania, Dept Agr Water &amp; Environm, Australian Antarctic Div, 20 Castray Esplanade, Battery Point, Tas 7004, Australia; [Meiners, Klaus M.] Univ Tasmania, Australian Antarctic Program Partnership, 20 Castray Esplanade, Battery Point, Tas 7004, Australia; [Pearce, David A.] Northumbria Univ Newcastle, Fac Hlth &amp; Life Sci, Dept Appl Sci, Northumberland Rd, Newcastle Upon Tyne NE1 8ST, Tyne &amp; Wear, England; [Reisinger, Ryan R.] La Rochelle Univ, Ctr Etud Biol Chize, UMR 7372, CNRS, F-79360 Villiers En Bois, France; [Saba, Grace K.] Rutgers State Univ, Ctr Ocean Observing Leadership, Dept Marine &amp; Coastal Sci, 71 Dudley Rd, New Brunswick, NJ 08901 USA; [Schloss, Irene R.] Inst Antartico Argentino, Buenos Aires, DF, Argentina; [Schloss, Irene R.] Ctr Austral Invest Cient, Bernardo Houssay 200,CP V9410CAB, Ushuaia, Tierra Fuego, Argentina; [Schloss, Irene R.] Univ Nacl Tierra Fuego, CP V9410CAB, Ushuaia, Tierra Fuego, Argentina; [Signori, Camila N.] Univ Sao Paulo, Oceanog Inst, Praca Oceanog 191, BR-05508900 Sao Paulo, Brazil; [Smith, Craig R.] Univ Hawaii Manoa, Dept Oceanog, 1000 Pope Rd, Honolulu, HI 96822 USA; [Vacchi, Marino] Natl Res Council Italy CNR, Inst Study Anthrop Impacts &amp; Sustainabil Marine E, Via Marini 6, I-16149 Genoa, Italy; [Wall, Diana H.] Colorado State Univ, Dept Biol, Ft Collins, CO 80523 USA; [Wall, Diana H.] Colorado State Univ, Sch Global Environm Sustainabil, Ft Collins, CO 80523 USA</t>
  </si>
  <si>
    <t>Helmholtz Association; Alfred Wegener Institute, Helmholtz Centre for Polar &amp; Marine Research; Consejo Superior de Investigaciones Cientificas (CSIC); CSIC - Centro Mediterraneo de Investigaciones Marinas y Ambientales (CMIMA); CSIC - Instituto de Ciencias del Mar (ICM); Universidade de Coimbra; UK Research &amp; Innovation (UKRI); Natural Environment Research Council (NERC); NERC British Antarctic Survey; Brigham Young University; Brigham Young University; Korea Polar Research Institute (KOPRI); University of Illinois System; University of Illinois Urbana-Champaign; University of Edinburgh; Consiglio Nazionale delle Ricerche (CNR); Istituto di Bioscienze e Biorisorse (IBBR-CNR); University of Waikato; University of Waikato; University of South Africa; University of Tasmania; Australian Antarctic Division; University of Tasmania; Northumbria University; Centre National de la Recherche Scientifique (CNRS); CNRS - Institute of Ecology &amp; Environment (INEE); Rutgers University System; Rutgers University New Brunswick; Instituto Antartico Argentino; Universidade de Sao Paulo; University of Hawaii System; University of Hawaii Manoa; Consiglio Nazionale delle Ricerche (CNR); Colorado State University; Colorado State University</t>
  </si>
  <si>
    <t>Gutt, J (corresponding author), Helmholtz Ctr Polar &amp; Marine Res, Alfred Wegener Inst, Columbusstr, D-27568 Bremerhaven, Germany.</t>
  </si>
  <si>
    <t>julian.gutt@awi.de</t>
  </si>
  <si>
    <t>Wall, Diana H/F-5491-2011; Griffiths, Huw J/D-4234-2009; Xavier, José/KFB-6739-2024; Adams, Byron J/C-3808-2009; McIntyre, Trevor/E-6846-2010; Hogg, Ian D./HNS-7393-2023; Colesie, Claudia/H-4258-2015; Reisinger, Ryan/D-6151-2014</t>
  </si>
  <si>
    <t>Griffiths, Huw J/0000-0003-1764-223X; McIntyre, Trevor/0000-0001-8395-7550; Hogg, Ian D./0000-0002-6685-0089; /0000-0002-9621-6660; Piepenburg, Dieter/0000-0003-3977-2860; Colesie, Claudia/0000-0003-1136-0290; Isla, Enrique/0000-0003-4959-6936; Gutt, Julian/0000-0003-3773-9370; VERDE, Cinzia/0000-0001-6185-282X; Pearce, David/0000-0001-5292-4596; Cummings, Vonda/0000-0003-1076-3995; Reisinger, Ryan/0000-0002-8933-6875</t>
  </si>
  <si>
    <t>SCAR AnT-ERA Research Programme; NERC [bas010011, bas0100036, NE/J007501/1] Funding Source: UKRI</t>
  </si>
  <si>
    <t>SCAR AnT-ERA Research Programme; NERC(UK Research &amp; Innovation (UKRI)Natural Environment Research Council (NERC))</t>
  </si>
  <si>
    <t>The discussion and writing of this synthesis was supported by the SCAR AnT-ERA Research Programme. We dedicate this paper to Guido di Prisco, an outstanding, highly ambitious and open-minded Antarctic biologist who contributed substantially to many research initiatives, most recently to this synthesis, before his death in September 2019. We appreciate the comments of the reviewers Paul Dayton and Rolf Gradinger, which led to considerable improvements. Open access funding enabled and organized by Projekt DEAL.</t>
  </si>
  <si>
    <t>1464-7931</t>
  </si>
  <si>
    <t>1469-185X</t>
  </si>
  <si>
    <t>BIOL REV</t>
  </si>
  <si>
    <t>Biol. Rev.</t>
  </si>
  <si>
    <t>10.1111/brv.12679</t>
  </si>
  <si>
    <t>RW2PC</t>
  </si>
  <si>
    <t>Green Accepted, hybrid, Green Published</t>
  </si>
  <si>
    <t>WOS:000600889900001</t>
  </si>
  <si>
    <t>Kelly, R; Fleming, A; Pecl, GT; von Gönner, J; Bonn, A</t>
  </si>
  <si>
    <t>Kelly, Rachel; Fleming, Aysha; Pecl, Gretta T.; von Gonner, Julia; Bonn, Aletta</t>
  </si>
  <si>
    <t>Citizen science and marine conservation: a global review</t>
  </si>
  <si>
    <t>PHILOSOPHICAL TRANSACTIONS OF THE ROYAL SOCIETY B-BIOLOGICAL SCIENCES</t>
  </si>
  <si>
    <t>citizen science; marine conservation; marine ecosystems; stakeholder engagement</t>
  </si>
  <si>
    <t>PUBLIC-PARTICIPATION; IMPLEMENTATION; SCIENTISTS; KNOWLEDGE</t>
  </si>
  <si>
    <t>Climate change, overfishing, marine pollution and other anthropogenic drivers threaten our global oceans. More effective efforts are urgently required to improve the capacity of marine conservation action worldwide, as highlighted by the United Nations Decade of Ocean Science for Sustainable Development 2021-2030. Marine citizen science presents a promising avenue to enhance engagement in marine conservation around the globe. Building on an expanding field of citizen science research and practice, we present a global overview of the current extent and potential of marine citizen science and its contribution to marine conservation. Employing an online global survey, we explore the geographical distribution, type and format of 74 marine citizen science projects. By assessing how the projects adhere to the Ten Principles of Citizen Science (as defined by the European Citizen Science Association), we investigate project development, identify challenges and outline future opportunities to contribute to marine science and conservation. Synthesizing the survey results and drawing on evidence from case studies of diverse projects, we assess whether and how citizen science can lead to new scientific knowledge and enhanced environmental stewardship. Overall, we explore how marine citizen science can inform current understanding of marine biodiversity and support the development and implementation of marine conservation initiatives worldwide. This article is part of the theme issue 'Integrative research perspectives on marine conservation'.</t>
  </si>
  <si>
    <t>[Kelly, Rachel; Fleming, Aysha; Pecl, Gretta T.] Univ Tasmania, Ctr Marine Socioecol, Hobart, Tas 7005, Australia; [Kelly, Rachel; Pecl, Gretta T.] Inst Marine &amp; Antarctic Studies, Hobart, Tas 7001, Australia; [Fleming, Aysha] Castray Esplanade, CSIRO Land &amp; Water, Hobart, Tas 7001, Australia; [von Gonner, Julia; Bonn, Aletta] UFZ Helmholtz Ctr Environm Res, Dept Ecosyst Serv, Permoserstr 15, D-04318 Leipzig, Germany; [von Gonner, Julia; Bonn, Aletta] German Ctr Integrat Biodivers Res iDiv, Deutsch Pl 5e, D-04103 Leipzig, Germany; [von Gonner, Julia; Bonn, Aletta] Friedrich Schiller Univ Jena, Inst Biodivers, Dornburger Str 159, D-07743 Jena, Germany</t>
  </si>
  <si>
    <t>University of Tasmania; University of Tasmania; Commonwealth Scientific &amp; Industrial Research Organisation (CSIRO); Helmholtz Association; Helmholtz Center for Environmental Research (UFZ); Friedrich Schiller University of Jena</t>
  </si>
  <si>
    <t>Kelly, R (corresponding author), Univ Tasmania, Ctr Marine Socioecol, Hobart, Tas 7005, Australia.;Kelly, R (corresponding author), Inst Marine &amp; Antarctic Studies, Hobart, Tas 7001, Australia.</t>
  </si>
  <si>
    <t>r.kelly@utas.edu.au</t>
  </si>
  <si>
    <t>von Gönner, Julia/IUP-3537-2023; Pecl, Gretta/D-7267-2011; Bonn, Aletta/A-2164-2013; Fleming, Aysha/E-8753-2011</t>
  </si>
  <si>
    <t>Pecl, Gretta/0000-0003-0192-4339; Bonn, Aletta/0000-0002-8345-4600; Fleming, Aysha/0000-0001-9895-1928; Kelly, Rachel/0000-0002-8364-1836</t>
  </si>
  <si>
    <t>ARC Future Fellowship; Deutsche Bundesstiftung Umwelt</t>
  </si>
  <si>
    <t>ARC Future Fellowship(Australian Research Council); Deutsche Bundesstiftung Umwelt</t>
  </si>
  <si>
    <t>G.T.P. was supported by an ARC Future Fellowship. J.v.G. was supported by the Deutsche Bundesstiftung Umwelt.</t>
  </si>
  <si>
    <t>0962-8436</t>
  </si>
  <si>
    <t>1471-2970</t>
  </si>
  <si>
    <t>PHILOS T R SOC B</t>
  </si>
  <si>
    <t>Philos. Trans. R. Soc. B-Biol. Sci.</t>
  </si>
  <si>
    <t>DEC 21</t>
  </si>
  <si>
    <t>10.1098/rstb.2019.0461</t>
  </si>
  <si>
    <t>OR7NC</t>
  </si>
  <si>
    <t>WOS:000589653800017</t>
  </si>
  <si>
    <t>Choi, E; Karanovic, I; Lee, W; Angel, MV</t>
  </si>
  <si>
    <t>Choi, Eunha; Karanovic, Ivana; Lee, Wonchoel; Angel, Martin, V</t>
  </si>
  <si>
    <t>Description of two new Proceroecia species (Ostracoda: Halocyprididae) from neritic waters off South Korea with an insight into the morphological and molecular diversity of the genus</t>
  </si>
  <si>
    <t>Biodiversity; East Asia; mtCOI; Myodocopa; Taxonomy</t>
  </si>
  <si>
    <t>MYODOCOPA; ALIGNMENT</t>
  </si>
  <si>
    <t>Two new planktonic ostracods of the genus Proceroecia Kock, 1992, P. hwanghaensis sp. nov. and P. joseondonghaensis sp. nov., collected from neritic waters off the south coast of South Korea are described. Morphologically, they are similar to P. microprocera (Angel, 1971), the type species of the genus, but show several clear morphological differences, most prominent being the shape of the male endopodite on the second antenna and the presence of a sensilla on the coxale of the fifth limb. The two new species have subtle differences, such as the length of the frontal organ, number of spines on the comb-like e-seta on the first antenna in males, number of spinules on the b-seta on the second antenna in females, etc. Sequences derived from partial mitochondrial cytochrome oxidase c subunit 1 (mtCOI) for these novel species have been compared with sequences available for other Proceroecia species on GenBank, including P. microprocera. These comparisons suggest that both new species are distinct taxa. They also indicate that one set of sequences on GeneBank previously attributed to P. microprocera and derived from material collected from Chinese waters, belong to P. hwanghaensis, and that another set of sequences of an unidentified Proceroecia species from the South China Sea can be attributable to P. joseondonghaensis. Hence, these new species occur widely in the neritic waters of East Asia. The present study increases the number of the known Proceroecia species to nine, and the numbers of halocyprid ostracod species recorded from Korean waters to six.</t>
  </si>
  <si>
    <t>[Choi, Eunha; Karanovic, Ivana; Lee, Wonchoel] Hanyang Univ, Dept Life Sci, 222 Wangsimni Ro, Seoul, South Korea; [Karanovic, Ivana] Hanyang Univ, Res Inst Convergence Basic Sci, 222 Wangsimni Ro, Seoul, South Korea; [Karanovic, Ivana] Univ Tasmania, Inst Marine &amp; Antarctic Studies, Hobart, Tas 7001, Australia; [Angel, Martin, V] Nat Hist Museum, Cromwell Rd, London SW17, England</t>
  </si>
  <si>
    <t>Hanyang University; Hanyang University; University of Tasmania; Natural History Museum London</t>
  </si>
  <si>
    <t>Karanovic, I (corresponding author), Hanyang Univ, Dept Life Sci, 222 Wangsimni Ro, Seoul, South Korea.;Karanovic, I (corresponding author), Hanyang Univ, Res Inst Convergence Basic Sci, 222 Wangsimni Ro, Seoul, South Korea.;Karanovic, I (corresponding author), Univ Tasmania, Inst Marine &amp; Antarctic Studies, Hobart, Tas 7001, Australia.</t>
  </si>
  <si>
    <t>ivana@hanyang.ac.kr</t>
  </si>
  <si>
    <t>Lee, Wonchoel/L-9822-2018</t>
  </si>
  <si>
    <t>Lee, Wonchoel/0000-0002-9873-1033</t>
  </si>
  <si>
    <t>National Research Foundation of Korea [2016R1D-1A1B01009806]; National Institute of Biological Resources [NIBRIV0000862858]; BK21 plus program (Eco-Bio Fusion Research Team) through the National Research Foundation (Ministry of Education of Korea) [22A20130012352]</t>
  </si>
  <si>
    <t>National Research Foundation of Korea(National Research Foundation of Korea); National Institute of Biological Resources; BK21 plus program (Eco-Bio Fusion Research Team) through the National Research Foundation (Ministry of Education of Korea)(Ministry of Education (MOE), Republic of KoreaNational Research Foundation of Korea)</t>
  </si>
  <si>
    <t>We are very grateful to Prof. Kasia Blachowiak-Samolyk of the Institute of Oceanology, Sopot (Poland) for her generous help during the first author's visit to Sopot. The study is supported by the National Research Foundation of Korea (grant no: 2016R1D-1A1B01009806), National Institute of Biological Resources (NIBRIV0000862858), the BK21 plus program (Eco-Bio Fusion Research Team, 22A20130012352) through the National Research Foundation (Ministry of Education of Korea).</t>
  </si>
  <si>
    <t>10.11646/zootaxa.4896.2.2</t>
  </si>
  <si>
    <t>PM0GX</t>
  </si>
  <si>
    <t>WOS:000603490000002</t>
  </si>
  <si>
    <t>Lakkala, K; Kujanpää, J; Brogniez, C; Henriot, N; Arola, A; Aun, M; Auriol, F; Bais, AF; Bernhard, G; De Bock, V; Catalfamo, M; Deroo, C; Diémoz, H; Egli, L; Forestier, JB; Fountoulakis, I; Garane, K; Garcia, RD; Gröbner, J; Hassinen, S; Heikkilä, A; Henderson, S; Hülsen, G; Johnsen, B; Kalakoski, N; Karanikolas, A; Karppinen, T; Lamy, K; León-Luis, SF; Lindfors, AV; Metzger, JM; Minvielle, F; Muskatel, HB; Portafaix, T; Redondas, A; Sanchez, R; Siani, AM; Svendby, T; Tamminen, J</t>
  </si>
  <si>
    <t>Lakkala, Kaisa; Kujanpaa, Jukka; Brogniez, Colette; Henriot, Nicolas; Arola, Antti; Aun, Margit; Auriol, Frederique; Bais, Alkiviadis F.; Bernhard, Germar; De Bock, Veerle; Catalfamo, Maxime; Deroo, Christine; Diemoz, Henri; Egli, Luca; Forestier, Jean-Baptiste; Fountoulakis, Ilias; Garane, Katerina; Delia Garcia, Rosa; Grobner, Julian; Hassinen, Seppo; Heikkila, Anu; Henderson, Stuart; Hulsen, Gregor; Johnsen, Bjorn; Kalakoski, Niilo; Karanikolas, Angelos; Karppinen, Tomi; Lamy, Kevin; Leon-Luis, Sergio F.; Lindfors, Anders, V; Metzger, Jean-Marc; Minvielle, Fanny; Muskatel, Harel B.; Portafaix, Thierry; Redondas, Alberto; Sanchez, Ricardo; Siani, Anna Maria; Svendby, Tove; Tamminen, Johanna</t>
  </si>
  <si>
    <t>Validation of the TROPOspheric Monitoring Instrument (TROPOMI) surface UV radiation product</t>
  </si>
  <si>
    <t>GROUND-BASED MEASUREMENTS; SOLAR ULTRAVIOLET IRRADIANCE; TOTAL OZONE; QUALITY-ASSURANCE; SATELLITE ESTIMATION; SPECTRAL IRRADIANCE; THESSALONIKI; TRACEABILITY; SODANKYLA; COLUMN</t>
  </si>
  <si>
    <t>The TROPOspheric Monitoring Instrument (TROPOMI) onboard the Sentinel-5 Precursor (S5P) satellite was launched on 13 October 2017 to provide the atmospheric composition for atmosphere and climate research. The S5P is a Sun-synchronous polar-orbiting satellite providing global daily coverage. The TROPOMI swath is 2600 km wide, and the ground resolution for most data products is 7.2 x 3.5 km(2) (5.6 x 3.5 km(2) since 6 August 2019) at nadir. The Finnish Meteorological Institute (FMI) is responsible for the development of the TROPOMI UV algorithm and the processing of the TROPOMI surface ultraviolet (UV) radiation product which includes 36 UV parameters in total. Ground-based data from 25 sites located in arctic, subarctic, temperate, equatorial and Antarctic areas were used for validation of the TROPOMI overpass irradiance at 305, 310, 324 and 380 nm, overpass erythemally weighted dose rate/UV index, and erythemally weighted daily dose for the period from 1 January 2018 to 31 August 2019. The validation results showed that for most sites 60 %-80 % of TROPOMI data was within +/- 20 % of ground-based data for snow-free surface conditions. The median relative differences to ground-based measurements of TROPOMI snow-free surface daily doses were within +/- 10 % and +/- 5 % at two-thirds and at half of the sites, respectively. At several sites more than 90 % of cloud-free TROPOMI data was within +/- 20 % of ground-based measurements. Generally median relative differences between TROPOMI data and ground-based measurements were a little biased towards negative values (i.e. satellite data &lt; ground-based measurement), but at high latitudes where non-homogeneous topography and albedo or snow conditions occurred, the negative bias was exceptionally high: from -30 % to -65 %. Positive biases of 10 %-15 % were also found for mountainous sites due to challenging topography. The TROPOMI surface UV radiation product includes quality flags to detect increased uncertainties in the data due to heterogeneous surface albedo and rough terrain, which can be used to filter the data retrieved under challenging conditions.</t>
  </si>
  <si>
    <t>[Lakkala, Kaisa; Kujanpaa, Jukka; Hassinen, Seppo; Kalakoski, Niilo; Karppinen, Tomi; Tamminen, Johanna] Finnish Meteorol Inst, Space &amp; Earth Observat Ctr, Helsinki, Finland; [Lakkala, Kaisa; Arola, Antti; Aun, Margit; Heikkila, Anu] Finnish Meteorol Inst, Climate Res Programme, Helsinki, Finland; [Brogniez, Colette; Henriot, Nicolas; Auriol, Frederique; Catalfamo, Maxime; Deroo, Christine; Minvielle, Fanny] Univ Lille, Lab Opt Atmospher, CNRS, UMR 8518, Lille, France; [Aun, Margit] Univ Tartu, Tartu Observ, Toravere, Estonia; [Bais, Alkiviadis F.; Garane, Katerina; Karanikolas, Angelos] Aristotle Univ Thessaloniki, Sch Phys, Lab Atmospher Phys, Thessaloniki, Greece; [Bernhard, Germar] Biospher Inc, San Diego, CA USA; [De Bock, Veerle] Royal Meteorol Inst Belgium, Brussels, Belgium; [Diemoz, Henri; Fountoulakis, Ilias] Aosta Valley Reg Environm Protect Agcy ARPA, St Christophe, Italy; [Diemoz, Henri] ISAC CNR, Inst Atmospher Sci &amp; Climate, Rome, Italy; [Egli, Luca; Grobner, Julian; Hulsen, Gregor] Phys Meteorol Observ Davos, World Radiat Ctr, Davos, Switzerland; [Forestier, Jean-Baptiste; Lamy, Kevin; Portafaix, Thierry] Univ La Reunion, Lab Atmosphere &amp; Cyclones UMR 8105 CNRS, LACy, Meteo France, St Denis, Reunion, France; [Delia Garcia, Rosa] Valladolid Univ, Atmospher Opt Grp, Valladolid, Spain; [Delia Garcia, Rosa; Leon-Luis, Sergio F.; Redondas, Alberto] State Meteorol Agcy AEMET, Izana Atmospher Res Ctr IARC, Santa Cruz De Tenerife, Spain; [Henderson, Stuart] Australian Radiat Protect &amp; Nucl Safety Agcy, Radiat Hlth Serv Branch, Yallambie, Vic, Australia; [Johnsen, Bjorn] Norwegian Radiat &amp; Nucl Safety Author, Osteras, Norway; [Lindfors, Anders, V] Finnish Meteorol Inst, Meteorol &amp; Marine Res Programme, Helsinki, Finland; [Metzger, Jean-Marc] Univ La Reunion, Observ Sci Univers La Reunion, UMS3365 CNRS, Meteo France, St Denis, Reunion, France; [Muskatel, Harel B.] Israel Meteorol Serv, Bet Dagan, Israel; [Sanchez, Ricardo] Natl Meteorol Serv, Buenos Aires, DF, Argentina; [Siani, Anna Maria] Sapienza Univ Roma, Phys Dept, Rome, Italy; [Svendby, Tove] NILU Norwegian Inst Air Res, Kjeller, Norway</t>
  </si>
  <si>
    <t>Finnish Meteorological Institute; Finnish Meteorological Institute; Universite de Lille; Centre National de la Recherche Scientifique (CNRS); CNRS - National Institute for Earth Sciences &amp; Astronomy (INSU); University of Tartu; Tartu Observatory; Aristotle University of Thessaloniki; Royal Meteorological Institute of Belgium; Regional Environmental Protection Agency - Italy; Consiglio Nazionale delle Ricerche (CNR); Istituto di Scienze dell'Atmosfera e del Clima (ISAC-CNR); University of La Reunion; Meteo France; Universidad de Valladolid; Agencia Estatal de Meteorologia (AEMET); Finnish Meteorological Institute; University of La Reunion; Meteo France; Sapienza University Rome; NILU</t>
  </si>
  <si>
    <t>Lakkala, K (corresponding author), Finnish Meteorol Inst, Space &amp; Earth Observat Ctr, Helsinki, Finland.;Lakkala, K (corresponding author), Finnish Meteorol Inst, Climate Res Programme, Helsinki, Finland.</t>
  </si>
  <si>
    <t>kaisa.lakkala@fmi.fi</t>
  </si>
  <si>
    <t>Fountoulakis, Ilias/AAH-2261-2021; Diémoz, Henri/ABT-7876-2022; Lamy, Kevin/JAS-1540-2023; Redondas, Alberto/L-9299-2015; Fountoulakis, Ilias/HGD-3339-2022; Aun, Margit/G-7695-2019; Kalakoski, Niilo/D-8441-2014; Lakkala, Kaisa/AAN-4342-2020; Heikkilä, Anu M/F-1261-2017; Arola, Antti/S-8917-2019; Lindfors, Anders Vilhelm/C-6727-2012; Lamy, Kevin/JCD-7663-2023; Bais, Alkiviadis F/D-2230-2009; Diémoz, Henri/L-6950-2019; Tamminen, Johanna/D-7959-2014; Garcia Cabrera, Rosa Delia/I-3075-2015</t>
  </si>
  <si>
    <t>Lamy, Kevin/0000-0002-9115-1319; Redondas, Alberto/0000-0002-4826-6823; Aun, Margit/0000-0002-7768-8929; Kalakoski, Niilo/0000-0003-3733-4277; Lakkala, Kaisa/0000-0003-2840-1132; Arola, Antti/0000-0002-9220-0194; Lindfors, Anders Vilhelm/0000-0001-9305-0864; Bais, Alkiviadis F/0000-0003-3899-2001; Diémoz, Henri/0000-0001-7189-4134; Tamminen, Johanna/0000-0003-3095-0069; Kujanpaa, Jukka/0000-0002-7878-7515; Henderson, Stuart/0000-0002-9147-5727; Karanikolas, Angelos/0000-0001-6268-2930; Garcia Cabrera, Rosa Delia/0000-0002-9451-1631; Grobner, Julian/0000-0002-1549-2525</t>
  </si>
  <si>
    <t>European Union through the PO INTERREG V; Reunion Island Council; French Government; Universite de La Reunion; CNRS; CNES (French programme TOSCA); Region Hauts-de-France; Ministere de l'Enseignement Superieur et de la Recherche (CPER Climibio); European Fund for Regional Economic Development; Norwegian Environment Agency; CHAMPS project of the Academy of Finland under the CLIHE programme [329225]; Academy of Finland (AKA) [329225] Funding Source: Academy of Finland (AKA)</t>
  </si>
  <si>
    <t>European Union through the PO INTERREG V(Interreg Europe); Reunion Island Council; French Government; Universite de La Reunion; CNRS(Centre National de la Recherche Scientifique (CNRS)); CNES (French programme TOSCA); Region Hauts-de-France(Region Hauts-de-France); Ministere de l'Enseignement Superieur et de la Recherche (CPER Climibio); European Fund for Regional Economic Development; Norwegian Environment Agency; CHAMPS project of the Academy of Finland under the CLIHE programme; Academy of Finland (AKA)(Research Council of Finland)</t>
  </si>
  <si>
    <t>The UV-Indien programme has been supported by the European Union through the PO INTERREG V, by the Reunion Island Council and by the French Government. The OPAR station (Observatoire de Physique de l'Atmospherede La Reunion) and the OSUR activities are funded by the Universite de La Reunion and CNRS. Measurements of French spectroradiometers are supported by CNES (within the French programme TOSCA); the Region Hauts-de-France and the Ministere de l'Enseignement Superieur et de la Recherche (CPER Climibio); and the European Fund for Regional Economic Development. GUV measurements at Blindern, Ny-Alesund and Andoya are funded by the Norwegian Environment Agency. Kaisa Lakkala is supported by the CHAMPS project (grant no. 329225) of the Academy of Finland under the CLIHE programme.</t>
  </si>
  <si>
    <t>10.5194/amt-13-6999-2020</t>
  </si>
  <si>
    <t>PK6FG</t>
  </si>
  <si>
    <t>WOS:000602537700004</t>
  </si>
  <si>
    <t>Malmierca-Vallet, I; Sime, LC; Valdes, PJ; Tindall, JC</t>
  </si>
  <si>
    <t>Malmierca-Vallet, Irene; Sime, Louise C.; Valdes, Paul J.; Tindall, Julia C.</t>
  </si>
  <si>
    <t>Sea ice feedbacks influence the isotopic signature of Greenland ice sheet elevation changes: last interglacial HadCM3 simulations</t>
  </si>
  <si>
    <t>SURFACE MASS-BALANCE; ANTARCTIC ICE; AIR CONTENT; GLACIAL MAXIMUM; COUPLED MODEL; LEVEL RISE; CLIMATE; PRECIPITATION; IMPACT; CONSTRAINTS</t>
  </si>
  <si>
    <t>Changes in the Greenland ice sheet (GIS) affect global sea level. Greenland stable water isotope (delta O-18) records from ice cores offer information on past changes in the surface of the GIS. Here, we use the isotope-enabled Hadley Centre Coupled Model version 3 (HadCM3) climate model to simulate a set of last interglacial (LIG) idealised GIS surface elevation change scenarios focusing on GIS ice core sites. We investigate how delta O-18 depends on the magnitude and sign of GIS elevation change and evaluate how the response is altered by sea ice changes. We find that modifying GIS elevation induces changes in Northern Hemisphere atmospheric circulation, sea ice and precipitation patterns. These climate feedbacks lead to ice-core-averaged isotopic lapse rates of 0.49 parts per thousand(100 m)(-1) for the lowered GIS states and 0.29 parts per thousand (100 m)(-1) for the enlarged GIS states. This is lower than the spatially derived Greenland lapse rates of 0.62-0.72 parts per thousand(100 m)(-1). These results thus suggest nonlinearities in the isotope-elevation relationship and have consequences for the interpretation of past elevation and climate changes across Greenland. In particular, our results suggest that winter sea ice changes may significantly influence isotope-elevation gradients: winter sea ice effect can decrease (increase) modelled core-averaged isotopic lapse rate values by about -19 % (and +28 %) for the lowered (enlarged) GIS states, respectively. The largest influence of sea ice on delta O-18 changes is found in coastal regions like the Camp Century site.</t>
  </si>
  <si>
    <t>[Malmierca-Vallet, Irene; Sime, Louise C.] British Antarctic Survey, Madingley Rd, Cambridge CB3 0ET, England; [Malmierca-Vallet, Irene; Valdes, Paul J.] Univ Bristol, Sch Geog Sci, Univ Rd, Bristol BS8 1SS, Avon, England; [Tindall, Julia C.] Univ Leeds, Sch Earth &amp; Environm, Leeds LS2 9JT, W Yorkshire, England</t>
  </si>
  <si>
    <t>UK Research &amp; Innovation (UKRI); Natural Environment Research Council (NERC); NERC British Antarctic Survey; University of Bristol; University of Leeds</t>
  </si>
  <si>
    <t>Malmierca-Vallet, I (corresponding author), British Antarctic Survey, Madingley Rd, Cambridge CB3 0ET, England.;Malmierca-Vallet, I (corresponding author), Univ Bristol, Sch Geog Sci, Univ Rd, Bristol BS8 1SS, Avon, England.</t>
  </si>
  <si>
    <t>irealm37@bas.ac.uk</t>
  </si>
  <si>
    <t>Sime, Louise/AAX-7730-2021</t>
  </si>
  <si>
    <t>Sime, Louise/0000-0002-9093-7926; Valdes, Paul/0000-0002-1902-3283; Malmierca Vallet, Irene/0000-0002-2871-9741</t>
  </si>
  <si>
    <t>European Union's Horizon 2020 research and innovation programme [820970]; TiPES [21]; NERC [NE/P013279/1, bas0100034] Funding Source: UKRI</t>
  </si>
  <si>
    <t>European Union's Horizon 2020 research and innovation programme; TiPES; NERC(UK Research &amp; Innovation (UKRI)Natural Environment Research Council (NERC))</t>
  </si>
  <si>
    <t>This research has been supported by the European Union's Horizon 2020 research and innovation programme (grant agreement no. 820970). This is TiPES contribution (grant no. 21).</t>
  </si>
  <si>
    <t>10.5194/cp-16-2485-2020</t>
  </si>
  <si>
    <t>PK6FM</t>
  </si>
  <si>
    <t>WOS:000602538300001</t>
  </si>
  <si>
    <t>Roman, L; Butcher, RG; Stewart, D; Hunter, S; Jolly, M; Kowalski, P; Hardesty, BD; Lenting, B</t>
  </si>
  <si>
    <t>Roman, Lauren; Butcher, Richelle Grace; Stewart, David; Hunter, Stuart; Jolly, Megan; Kowalski, Phil; Hardesty, Britta Denise; Lenting, Baukje</t>
  </si>
  <si>
    <t>Plastic ingestion is an underestimated cause of death for southern hemisphere albatrosses</t>
  </si>
  <si>
    <t>CONSERVATION LETTERS</t>
  </si>
  <si>
    <t>albatross; balloon; bottle; by‐ catch; conservation; marine debris; plastic pollution; policy; seabird; threatened species</t>
  </si>
  <si>
    <t>MARINE DEBRIS; SEABIRDS; OBSTRUCTION; POLLUTION; IMPACTION</t>
  </si>
  <si>
    <t>Albatrosses are among the world's most imperiled vertebrates, with 73% of species threatened with extinction. Ingestion of plastic is a well-recognized threat among three North Pacific species, but lesser known in the southern hemisphere, where it is considered a minor threat. As plastic entering the ocean is increasing while albatross populations decline, the threat of ocean plastic to albatross populations may be underestimated. We present case studies of 107 beach-cast albatrosses of twelve species, received by wildlife hospitals in Australia and New Zealand, and estimate plastic ingestion and mortality rates for albatrosses in the southern hemisphere. Ingested plastic was present in 5.6% of individuals, and the cause of death in half of these cases. We estimate ingestion of plastic may cause 3.4-17.5% of nearshore mortalities and is worth consideration as a substantial threat to albatross populations. We provide clinical findings and checklist methodologies for identifying potential cases of foreign-body gastrointestinal obstruction. We suggest practical policy responses, empowering decision makers to reduce albatross mortality from anthropogenic sources.</t>
  </si>
  <si>
    <t>[Roman, Lauren; Hardesty, Britta Denise] CSIRO Oceans &amp; Atmosphere, Hobart, Tas, Australia; [Roman, Lauren] Univ Tasmania, Inst Marine &amp; Antarctic Studies, Hobart, Tas, Australia; [Butcher, Richelle Grace; Hunter, Stuart; Jolly, Megan] Massey Univ, Wildbase Hosp, Palmerston North, New Zealand; [Stewart, David] Queensland Govt, Dept Environm &amp; Sci, Brisbane, Qld, Australia; [Kowalski, Phil; Lenting, Baukje] Wellington Zoo, Nest Te Kohanga, Wellington, New Zealand</t>
  </si>
  <si>
    <t>Commonwealth Scientific &amp; Industrial Research Organisation (CSIRO); University of Tasmania; Massey University</t>
  </si>
  <si>
    <t>Roman, L (corresponding author), CSIRO Oceans &amp; Atmosphere, Hobart, Tas, Australia.</t>
  </si>
  <si>
    <t>lauren.roman@csiro.au</t>
  </si>
  <si>
    <t>Hardesty, Britta Denise/A-3189-2011; Roman, Lauren/K-3804-2015</t>
  </si>
  <si>
    <t>Roman, Lauren/0000-0003-3591-4905; Butcher, Richelle/0000-0003-3330-6201</t>
  </si>
  <si>
    <t>1755-263X</t>
  </si>
  <si>
    <t>CONSERV LETT</t>
  </si>
  <si>
    <t>Conserv. Lett.</t>
  </si>
  <si>
    <t>MAY</t>
  </si>
  <si>
    <t>e12785</t>
  </si>
  <si>
    <t>10.1111/conl.12785</t>
  </si>
  <si>
    <t>SX4XE</t>
  </si>
  <si>
    <t>WOS:000600522700001</t>
  </si>
  <si>
    <t>Yang, X; Blechschmidt, AM; Bognar, K; McClure-Begley, A; Morris, S; Petropavlovskikh, I; Richter, A; Skov, H; Strong, K; Tarasick, DW; Uttal, T; Vestenius, M; Zhao, XY</t>
  </si>
  <si>
    <t>Yang, Xin; Blechschmidt, Anne-M; Bognar, Kristof; McClure-Begley, Audra; Morris, Sara; Petropavlovskikh, Irina; Richter, Andreas; Skov, Henrik; Strong, Kimberly; Tarasick, David W.; Uttal, Taneil; Vestenius, Mika; Zhao, Xiaoyi</t>
  </si>
  <si>
    <t>Pan-Arctic surface ozone: modelling vs. measurements</t>
  </si>
  <si>
    <t>SEA-SALT AEROSOL; ATMOSPHERIC BOUNDARY-LAYER; TROPICAL DEEP CONVECTION; TROPOSPHERIC BRO COLUMNS; BROMINE EXPLOSION EVENT; DRY DEPOSITION; PART 1; VERTICAL-DISTRIBUTION; CHEMICAL-COMPOSITION; DEPLETION EPISODES</t>
  </si>
  <si>
    <t>Within the framework of the International Arctic Systems for Observing the Atmosphere (IASOA), we report a modelling-based study on surface ozone across the Arctic. We use surface ozone from six sites - Summit (Greenland), Pallas (Finland), Barrow (USA), Alert (Canada), Tiksi (Russia), and Villum Research Station (VRS) at Station Nord (North Greenland, Danish realm) - and ozone-sonde data from three Canadian sites: Resolute, Eureka, and Alert. Two global chemistry models - a global chemistry transport model (parallelised-Tropospheric Offline Model of Chemistry and Transport, p-TOMCAT) and a global chemistry climate model (United Kingdom Chemistry and Aerosol, UKCA) - are used for model data comparisons. Remotely sensed data of BrO from the GOME-2 satellite instrument and ground-based multi-axis differential optical absorption spectroscopy (MAX-DOAS) at Eureka, Canada, are used for model validation. The observed climatology data show that spring surface ozone at coastal sites is heavily depleted, making ozone seasonality at Arctic coastal sites distinctly different from that at inland sites. Model simulations show that surface ozone can be greatly reduced by bromine chemistry. In April, bromine chemistry can cause a net ozone loss (monthly mean) of 10-20 ppbv, with almost half attributable to open-oceansourced bromine and the rest to sea-ice-sourced bromine. However, the open-ocean-sourced bromine, via sea spray bromide depletion, cannot by itself produce ozone depletion events (ODEs; defined as ozone volume mixing ratios, VMRs, &lt; 10 ppbv). In contrast, sea-ice-sourced bromine, via sea salt aerosol (SSA) production from blowing snow, can produce ODEs even without bromine from sea spray, highlighting the importance of sea ice surface in polar boundary layer chemistry. Modelled total inorganic bromine (Bry) over the Arctic sea ice is sensitive to model configuration; e.g. under the same bromine loading, Bry in the Arctic spring boundary layer in the p-TOMCAT control run (i.e. with all bromine emissions) can be 2 times that in the UKCA control run. Despite the model differences, both model control runs can successfully reproduce large bromine explosion events (BEEs) and ODEs in polar spring. Model-integrated tropospheric-column BrO generally matches GOME-2 tropospheric columns within - 50 % in UKCA and a factor of 2 in p-TOMCAT. The success of the models in reproducing both ODEs and BEEs in the Arctic indicates that the relevant parameterizations implemented in the models work reasonably well, which supports the proposed mechanism of SSA production and bromide release on sea ice. Given that sea ice is a large source of SSA and halogens, changes in sea ice type and extent in a warming climate will influence Arctic boundary layer chemistry, including the oxidation of atmospheric elemental mercury. Note that this work dose not necessary rule out other possibilities that may act as a source of reactive bromine from the sea ice zone.</t>
  </si>
  <si>
    <t>[Yang, Xin] British Antarctic Survey, UK Res Innovat, Cambridge, England; [Blechschmidt, Anne-M; Richter, Andreas] Univ Bremen, Inst Environm Phys, Bremen, Germany; [Bognar, Kristof; Strong, Kimberly] Univ Toronto, Dept Phys, Toronto, ON, Canada; [McClure-Begley, Audra; Morris, Sara; Petropavlovskikh, Irina] Univ Colorado, Cooperat Inst Res Environm Sci, Boulder, CO 80309 USA; [McClure-Begley, Audra; Morris, Sara; Petropavlovskikh, Irina; Uttal, Taneil] NOAA, Earth Syst Res Lab, Boulder, CO USA; [Skov, Henrik] Aarhus Univ, Dept Environm Sci, iClimate, Aarhus, Denmark; [Tarasick, David W.; Zhao, Xiaoyi] Environm &amp; Climate Change Canada, Air Qual Res Div, Toronto, ON, Canada; [Vestenius, Mika] Finnish Meteorol Inst, Atmopsher Composit Res, Helsinki, Finland</t>
  </si>
  <si>
    <t>UK Research &amp; Innovation (UKRI); Natural Environment Research Council (NERC); NERC British Antarctic Survey; University of Bremen; University of Toronto; University of Colorado System; University of Colorado Boulder; National Oceanic Atmospheric Admin (NOAA) - USA; Aarhus University; Environment &amp; Climate Change Canada; Finnish Meteorological Institute</t>
  </si>
  <si>
    <t>Yang, X (corresponding author), British Antarctic Survey, UK Res Innovat, Cambridge, England.</t>
  </si>
  <si>
    <t>xinyang55@bas.ac.uk</t>
  </si>
  <si>
    <t>Yang, Xin/AGB-3514-2022; Vestenius, Mika/ABB-7523-2021; amplification, ³ - Arctic/AAU-6640-2020; Tarasick, David Walter/IYS-7006-2023; Morris, Sara/JDW-3016-2023; Richter, Andreas/C-4971-2008; Strong, Kimberly/D-2563-2012</t>
  </si>
  <si>
    <t>Yang, Xin/0000-0002-3838-9758; Vestenius, Mika/0000-0003-1685-1240; Tarasick, David Walter/0000-0001-9869-0692; Morris, Sara/0000-0002-2698-1068; Richter, Andreas/0000-0003-3339-212X; PETROPAVLOVSKIKH, IRINA/0000-0001-5352-1369; Skov, Henrik/0000-0003-1167-8696; Bognar, Kristof/0000-0003-4619-2020; Strong, Kimberly/0000-0001-9947-1053</t>
  </si>
  <si>
    <t>Deutsche Forschungsgemeinschaft (DFG, German Research Foundation) within the Transregional Collaborative Research Center ArctiC Amplification: Climate Relevant Atmospheric and SurfaCe Processes, and Feedback Mechanisms (AC) [268020496-TRR 172]; NERC [NE/J021172/1, NE/S00257X/1, NE/M005852/1, bas0100032] Funding Source: UKRI</t>
  </si>
  <si>
    <t>Deutsche Forschungsgemeinschaft (DFG, German Research Foundation) within the Transregional Collaborative Research Center ArctiC Amplification: Climate Relevant Atmospheric and SurfaCe Processes, and Feedback Mechanisms (AC)(German Research Foundation (DFG)); NERC(UK Research &amp; Innovation (UKRI)Natural Environment Research Council (NERC))</t>
  </si>
  <si>
    <t>Anne-M. Blechschmidt and Andreas Richter gratefully acknowledge the funding by the Deutsche Forschungsgemeinschaft (DFG, German Research Foundation; project no. 268020496-TRR 172), within the Transregional Collaborative Research Center ArctiC Amplification: Climate Relevant Atmospheric and SurfaCe Processes, and Feedback Mechanisms (AC)3 in subproject C03.</t>
  </si>
  <si>
    <t>10.5194/acp-20-15937-2020</t>
  </si>
  <si>
    <t>PK5TI</t>
  </si>
  <si>
    <t>WOS:000602506700004</t>
  </si>
  <si>
    <t>Sun, WP; Hu, CY; Han, ZB; Shen, C; Zhang, WY; Zhu, JH; Yu, PS; Zhang, HF; Pan, JM</t>
  </si>
  <si>
    <t>Sun, Wei-Ping; Hu, Chuan-Yu; Han, Zheng-Bing; Shen, Chen; Zhang, Wei-Yan; Zhu, Ji-Hao; Yu, Pei-Song; Zhang, Hai-Feng; Pan, Jian-Ming</t>
  </si>
  <si>
    <t>Variations of diatom opal Ge/Si in Prydz Bay, East Antarctica</t>
  </si>
  <si>
    <t>Ge/Si; Diatom opal; Ge sink; Lithogenic detritus; Prydz Bay</t>
  </si>
  <si>
    <t>INORGANIC GERMANIUM; HYDROTHERMAL SYSTEMS; CONTINENTAL-MARGIN; DISSOLVED SILICA; EARLY DIAGENESIS; BIOGENIC OPAL; TRACE-METALS; OCEAN; SEDIMENTS; FRACTIONATION</t>
  </si>
  <si>
    <t>Diatom frustules record the variations of seawater Ge/Si, a ratio related to continental weathering, early diagenesis, and biological productivity. To investigate the geochemistry of germanium and the possibility of using opal Ge/Si as a proxy of changes in Ge and Si budgets in high latitude Antarctic marginal sea, nine surface sediment samples and one sediment core were collected from Prydz Bay during Chinese Antarctic Expeditions from 2005 to 2009. Diatom opal was separated and purified from sediment samples, and opal Ge/Si was determined. The results showed that (Ge/SH opai ranged from 0.48 to 0.78 mu mol mol(-1) (0.60 +/- 0.09 mu mol mol(-1)) in Prydz Bay. (Ge/Si)(opal) from sites in the open sea and at the edge of the Amery Ice Shelf are comparable to modern oceanic seawater, while it is relatively low on the continental shelf. The variations in (Ge/Si)(opal) were not significantly influenced by biological fractionation during diatom uptake, but were related to changes in external input or authigenic loss of Ge. An authigenic sink of Ge was detected at all sites and accounted for 20% - 52% of Ge in bulk sediments. Authigenic precipitation of Ge is generally controlled by precipitation of Ferich minerals, but is also influenced by biogenic opal delivery in the centre of the bay where siliceous productivity is extremely high. The higher (Ge/Si)(opal) relative to those on the continental shelf is suggested to be caused by Ge supplementation from oceanic water in the open sea area and by high input of glacial debris from ice-melting at the edge of the Amery Ice Shelf.</t>
  </si>
  <si>
    <t>[Sun, Wei-Ping; Hu, Chuan-Yu; Han, Zheng-Bing; Zhang, Wei-Yan; Zhu, Ji-Hao; Yu, Pei-Song; Zhang, Hai-Feng; Pan, Jian-Ming] Minist Nat Resources, Inst Oceanog 2, Hangzhou 310012, Peoples R China; [Sun, Wei-Ping; Hu, Chuan-Yu; Han, Zheng-Bing; Yu, Pei-Song; Zhang, Hai-Feng; Pan, Jian-Ming] Minist Nat Resources, Key Lab Marine Ecosyst Dynam, Hangzhou 310012, Peoples R China; [Shen, Chen] Sheng Yong Marine Technol Co Ningbo, Ningbo 315000, Peoples R China; [Zhang, Wei-Yan; Zhu, Ji-Hao] Minist Nat Resources, Key Lab Submarine Geosci, Hangzhou 310012, Peoples R China</t>
  </si>
  <si>
    <t>Ministry of Natural Resources of the People's Republic of China; Ministry of Natural Resources of the People's Republic of China; Ministry of Natural Resources of the People's Republic of China</t>
  </si>
  <si>
    <t>Hu, CY (corresponding author), Minist Nat Resources, Inst Oceanog 2, Hangzhou 310012, Peoples R China.;Hu, CY (corresponding author), Minist Nat Resources, Key Lab Marine Ecosyst Dynam, Hangzhou 310012, Peoples R China.</t>
  </si>
  <si>
    <t>hcysio@163.com</t>
  </si>
  <si>
    <t>National Natural Science Foundation of China [41206182, 41076134, 41976227]; Response and Feedback of the Southern Ocean to Climate Change [RFSOCC20202025]</t>
  </si>
  <si>
    <t>National Natural Science Foundation of China(National Natural Science Foundation of China (NSFC)); Response and Feedback of the Southern Ocean to Climate Change</t>
  </si>
  <si>
    <t>This study was funded by National Natural Science Foundation of China (No. 41206182; 41076134; 41976227) and The Response and Feedback of the Southern Ocean to Climate Change (RFSOCC20202025). Thanks for the comments from the anonymous reviewers which have helped us much to improve our manuscript.</t>
  </si>
  <si>
    <t>DEC 20</t>
  </si>
  <si>
    <t>10.1016/j.marchem.2020.103879</t>
  </si>
  <si>
    <t>OU8KR</t>
  </si>
  <si>
    <t>WOS:000591772300002</t>
  </si>
  <si>
    <t>Brown, CJ; Mellin, C; Edgar, GJ; Campbell, MD; Stuart-Smith, RD</t>
  </si>
  <si>
    <t>Brown, Christopher J.; Mellin, Camille; Edgar, Graham J.; Campbell, Max D.; Stuart-Smith, Rick D.</t>
  </si>
  <si>
    <t>Direct and indirect effects of heatwaves on a coral reef fishery</t>
  </si>
  <si>
    <t>Bayesian modelling; catchability; climate change; coral bleaching; coral reef fishery; coral trout; heatwave</t>
  </si>
  <si>
    <t>GREAT-BARRIER-REEF; STRUCTURAL COMPLEXITY; MARINE RESERVES; CLIMATE-CHANGE; ECOSYSTEM; IMPACTS; MANAGEMENT; OCEAN</t>
  </si>
  <si>
    <t>Marine heatwaves are increasing in frequency and intensity, and indirectly impacting coral reef fisheries through bleaching-induced degradation of live coral habitats. Marine heatwaves also affect fish metabolism and catchability, but such direct effects of elevated temperatures on reef fisheries are largely unknown. We investigated direct and indirect effects of the devastating 2016 marine heatwave on the largest reef fishery operating along the Great Barrier Reef (GBR). We used a combination of fishery-independent underwater census data on coral trout biomass (Plectropomus and Variola spp.) and catch-per-unit-effort (CPUE) data from the commercial fishery to evaluate changes in the fishery resulting from the 2016 heatwave. The heatwave caused widespread, yet locally patchy, declines in coral cover, but we observed little effect of local coral loss on coral trout biomass. Instead, a pattern of decreasing biomass at northern sites and stable or increasing biomass at southern sites suggested a direct response of populations to the heatwave. Analysis of the fishery-independent data and CPUE found that in-water coral trout biomass estimates were positively related to CPUE, and that coral trout catch rates increased with warmer temperatures. Temperature effects on catch rates were consistent with the thermal affinities of the multiple species contributing to this fishery. Scaling-up the effect of temperature on coral trout catch rates across the region suggests that GBR-wide catches were 18% higher for a given level of effort during the heatwave year relative to catch rates under the mean temperatures in the preceding 6 years. These results highlight a potentially large effect of heatwaves on catch rates of reef fishes, independent of changes in reef habitats, that can add substantial uncertainty to estimates of stock trends inferred from fishery-dependent (CPUE) data. Overestimation of CPUE could initiate declines in reef fisheries that are currently fully exploited, and threaten sustainable management of reef stocks.</t>
  </si>
  <si>
    <t>[Brown, Christopher J.; Campbell, Max D.] Griffith Univ, Sch Environm &amp; Sci, Australian Rivers Inst Coasts &amp; Estuaries, Nathan, Qld 4111, Australia; [Mellin, Camille; Edgar, Graham J.; Stuart-Smith, Rick D.] Univ Tasmania, Inst Marine &amp; Antarctic Studies, Hobart, Tas, Australia; [Mellin, Camille] Univ Adelaide, Environm Inst, Adelaide, SA, Australia; [Mellin, Camille] Univ Adelaide, Sch Biol Sci, Adelaide, SA, Australia</t>
  </si>
  <si>
    <t>Griffith University; University of Tasmania; University of Adelaide; University of Adelaide</t>
  </si>
  <si>
    <t>Brown, CJ (corresponding author), Griffith Univ, Sch Environm &amp; Sci, Australian Rivers Inst Coasts &amp; Estuaries, Nathan, Qld 4111, Australia.</t>
  </si>
  <si>
    <t>chris.brown@griffith.edu.au</t>
  </si>
  <si>
    <t>Brown, Christopher J/G-4287-2011; Edgar, Graham/AAY-3797-2020; Stuart-Smith, Rick/I-5214-2019</t>
  </si>
  <si>
    <t>Brown, Christopher J/0000-0002-7271-4091; Edgar, Graham/0000-0003-0833-9001; Stuart-Smith, Rick/0000-0002-8874-0083; Mellin, Camille/0000-0002-7369-2349; Campbell, Max D./0000-0003-2860-1580</t>
  </si>
  <si>
    <t>Parks Australia; Ian Potter Foundation; Australian Research Council [DE160101207]</t>
  </si>
  <si>
    <t>Parks Australia; Ian Potter Foundation; Australian Research Council(Australian Research Council)</t>
  </si>
  <si>
    <t>Parks Australia; Ian Potter Foundation; Australian Research Council, Grant/Award Number: DE160101207</t>
  </si>
  <si>
    <t>10.1111/gcb.15472</t>
  </si>
  <si>
    <t>WOS:000600006500001</t>
  </si>
  <si>
    <t>Roberts, P</t>
  </si>
  <si>
    <t>Roberts, Peder</t>
  </si>
  <si>
    <t>Does the science criterion rest on thin ice?</t>
  </si>
  <si>
    <t>GEOGRAPHICAL JOURNAL</t>
  </si>
  <si>
    <t>Antarctica; climate change; geopolitics; governance; justice; science</t>
  </si>
  <si>
    <t>CLIMATE-CHANGE</t>
  </si>
  <si>
    <t>This paper explores whether a central plank of the Antarctic Treaty System (ATS) - the science criterion - is threatened by anthropogenic climate change. It begins by situating the origins of the ATS within the context of the International Geophysical Year (IGY), and the privileged position that science obtained within first the IGY and later the ATS. This extends to science functioning as the dominant currency through which states may ascend to the level of consultative parties (CPs), the highest level of authority within the ATS. Within this model Antarctica functions as a laboratory, a metaphor with a long history in Antarctica, reinforced by the Madrid Protocol and its strong focus on maintaining environmental boundaries and by a perception that Antarctica otherwise plays a minimal role in global affairs. Much of the research in Antarctica focuses on climate change and indeed has been important in establishing its scope and magnitude. But climate change also threatens both Antarctica itself and - by extension - the many low-lying areas of the world that would be affected by rising sea levels caused by melting Antarctic ice. Given Antarctica may no longer be so removed from the rest of the world, is this sufficient reason to revisit the centrality of science to legitimate participation in Antarctic governance? The paper considers alternatives to the current system, including assigning authority within the ATS to states affected by climate change. It concludes that while the science criterion remains viable, it rests on a moral as well as practical foundation that could be undermined if the right to authority over Antarctica remains disconnected from the actions that cause changes to the continent.</t>
  </si>
  <si>
    <t>[Roberts, Peder] Univ Stavanger, Cultural Studies &amp; Languages, Stavanger, Norway; [Roberts, Peder] KTH Royal Inst Technol, Div Hist Sci Technol &amp; Environm, Stockholm, Sweden</t>
  </si>
  <si>
    <t>Universitetet i Stavanger; Royal Institute of Technology</t>
  </si>
  <si>
    <t>Roberts, P (corresponding author), Univ Stavanger, Cultural Studies &amp; Languages, Stavanger, Norway.;Roberts, P (corresponding author), KTH Royal Inst Technol, Div Hist Sci Technol &amp; Environm, Stockholm, Sweden.</t>
  </si>
  <si>
    <t>peder.w.roberts@uis.no</t>
  </si>
  <si>
    <t>European Research Council (ERC) under the European Union's Horizon 2020 research and innovation programme [716211]; European Research Council (ERC) [716211] Funding Source: European Research Council (ERC)</t>
  </si>
  <si>
    <t>European Research Council (ERC) under the European Union's Horizon 2020 research and innovation programme(European Research Council (ERC)); European Research Council (ERC)(European Research Council (ERC)Spanish Government)</t>
  </si>
  <si>
    <t>European Research Council (ERC) under the European Union's Horizon 2020 research and innovation programme, Grant/Award Number: 716211</t>
  </si>
  <si>
    <t>0016-7398</t>
  </si>
  <si>
    <t>1475-4959</t>
  </si>
  <si>
    <t>GEOGR J</t>
  </si>
  <si>
    <t>Geogr. J.</t>
  </si>
  <si>
    <t>10.1111/geoj.12367</t>
  </si>
  <si>
    <t>Geography</t>
  </si>
  <si>
    <t>9A6IV</t>
  </si>
  <si>
    <t>WOS:000600026800001</t>
  </si>
  <si>
    <t>Siegert, M; Alley, RB; Rignot, E; Englander, J; Corell, R</t>
  </si>
  <si>
    <t>Siegert, Martin; Alley, Richard B.; Rignot, Eric; Englander, John; Corell, Robert</t>
  </si>
  <si>
    <t>Twenty-first century sea-level rise could exceed IPCC projections for strong-warming futures</t>
  </si>
  <si>
    <t>ANTARCTIC ICE-SHEET; GROUNDING-LINE RETREAT; MEAN TEMPERATURE INCREASE; THWAITES GLACIER; WEST ANTARCTICA; CLIMATE-CHANGE; ICEBRIDGE GRAVITY; KOHLER GLACIERS; TOTTEN GLACIER; MASS-BALANCE</t>
  </si>
  <si>
    <t>While twentieth century sea-level rise was dominated by thermal expansion of ocean water, mass loss from glaciers and ice sheets is now a larger annual contributor. There is uncertainty on how ice sheets will respond to further warming, however, reducing confidence in twenty-first century sea-level projections. In 2019, to address the uncertainty, the Intergovernmental Panel on Climate Change (IPCC) reported that sea-level rise from the 1950s levels would likely be within 0.61-1.10 m if warming exceeds 4 degrees C by 2100. The IPCC acknowledged greater sea-level increases were possible through mechanisms not fully incorporated in models used in the assessment. In this perspective, we discuss challenges faced in projecting sea-level change and discuss why the IPCC's sea-level range for 2100 under strong warming is focused at the low end of possible outcomes. We argue outcomes above this range are far more probable than below it and discuss how decision makers may benefit from reframing IPCC's terminology to avoid unintentionally masking worst-case scenarios.</t>
  </si>
  <si>
    <t>[Siegert, Martin] Imperial Coll London, Grantham Inst, Exhibit Rd, London SW7 2AZ, England; [Siegert, Martin] Imperial Coll London, Dept Earth Sci &amp; Engn, Exhibit Rd, London SW7 2AZ, England; [Alley, Richard B.] Penn State Univ, Dept Geosci, 517 Deike Bldg, University Pk, PA 16802 USA; [Alley, Richard B.] Penn State Univ, Earth &amp; Environm Syst Inst, 517 Deike Bldg, University Pk, PA 16802 USA; [Rignot, Eric] Univ Calif Irvine, Dept Earth Syst Sci, Irvine, CA 92697 USA; [Rignot, Eric] Jet Prop Lab, Radar Sci &amp; Engn, 4800 Oak Grove Dr, Pasadena, CA 91109 USA; [Englander, John] Rising Seas Inst, 1044 NW 7th St, Boca Raton, FL 33486 USA; [Corell, Robert] Univ Miami, Dept Ocean Sci, 4600 Rickenbacker Causeway, Miami, FL 33149 USA; [Corell, Robert] Univ Arctic, UArct Inst, Yliopistonkatu 8, Rovaniemi 96300, Finland</t>
  </si>
  <si>
    <t>Imperial College London; Imperial College London;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California System; University of California Irvine; National Aeronautics &amp; Space Administration (NASA); NASA Jet Propulsion Laboratory (JPL); University of Miami</t>
  </si>
  <si>
    <t>Siegert, M (corresponding author), Imperial Coll London, Grantham Inst, Exhibit Rd, London SW7 2AZ, England.;Siegert, M (corresponding author), Imperial Coll London, Dept Earth Sci &amp; Engn, Exhibit Rd, London SW7 2AZ, England.</t>
  </si>
  <si>
    <t>m.siegert@imperial.ac.uk</t>
  </si>
  <si>
    <t>Rignot, Eric/A-4560-2014; Siegert, Martin/M-9939-2019</t>
  </si>
  <si>
    <t>Rignot, Eric/0000-0002-3366-0481; Siegert, Martin/0000-0002-0090-4806</t>
  </si>
  <si>
    <t>UK NERC [NE/M000869/1, NE/K004956/1]; British Council Global Innovation Initiative; NERC [NE/K004956/2, NE/K004956/1, NE/M000869/1] Funding Source: UKRI</t>
  </si>
  <si>
    <t>UK NERC(UK Research &amp; Innovation (UKRI)Natural Environment Research Council (NERC)); British Council Global Innovation Initiative; NERC(UK Research &amp; Innovation (UKRI)Natural Environment Research Council (NERC))</t>
  </si>
  <si>
    <t>We thank Joeri Rogelj for comments on a draft of this manuscript. We also thank three anonymous referees for extremely helpful, thorough, and constructive reviews. M.J. S. acknowledges support from UK NERC grants NE/M000869/1 and NE/K004956/1 and an award from British Council Global Innovation Initiative.</t>
  </si>
  <si>
    <t>DEC 18</t>
  </si>
  <si>
    <t>10.1016/j.oneear.2020.11.002</t>
  </si>
  <si>
    <t>RW3QV</t>
  </si>
  <si>
    <t>WOS:000646441500010</t>
  </si>
  <si>
    <t>Moustahfid, H; Hendrickson, LC; Arkhipkin, A; Pierce, GJ; Gangopadhyay, A; Kidokoro, H; Markaida, U; Nigmatullin, C; Sauer, WH; Jereb, P; Pecl, G; de la Chesnais, T; Ceriola, L; Lazar, N; Firmin, CJ; Laptikhovsky, V</t>
  </si>
  <si>
    <t>Moustahfid, Hassan; Hendrickson, Lisa C.; Arkhipkin, Alexander; Pierce, Graham J.; Gangopadhyay, Avijit; Kidokoro, Hideaki; Markaida, Unai; Nigmatullin, Chingiz; Sauer, Warwick H.; Jereb, Patrizia; Pecl, Gretta; de la Chesnais, Thibaut; Ceriola, Luca; Lazar, Najih; Firmin, Christopher J.; Laptikhovsky, Vladimir</t>
  </si>
  <si>
    <t>Ecological-Fishery Forecasting of Squid Stock Dynamics under Climate Variability and Change: Review, Challenges, and Recommendations</t>
  </si>
  <si>
    <t>REVIEWS IN FISHERIES SCIENCE &amp; AQUACULTURE</t>
  </si>
  <si>
    <t>Cephalopods; squid fisheries management; climate change; stock size; ecological-fishery forecasting</t>
  </si>
  <si>
    <t>Globally, cephalopods support large industrial-scale fisheries and small-scale to partly large-scale local artisanal fisheries. They are of increasing economic importance as evidenced by the rapid rise in their global landings from 1950 to 2014. Cephalopods are sensitive to environmental variability and climate change and many if not all species show wide fluctuations in abundance. This is most evident in ommastrephid nerito-oceanic squid since their life cycle is associated with boundary currents that are changing with climate change. The inter-annual variability in catch presents challenges for fishers and managers due to the 'boom-or-bust' nature of the fishery. A key barrier to rational management of squid fisheries is the low level of development of fishery forecasting. Despite substantial progress made in relating squid population dynamics to environmental variability and change, several challenges remain to develop forecast products to support squid fisheries management. Ideally, squid fisheries management needs a forecasting system that includes all time-scales of forecasting, and especially short - and medium-terms forecasts. The present overview first provides current knowledge of the effects of climate change and variability on squid population dynamics, challenges and opportunities to advance ecological-fishery forecast products, and finally a roadmap is proposed for future development of forecasts products to support squid sustainable fisheries management. As for the adoption of specific forecasting methods to the squid fishery management process, what is important is the relationship between needs, feasibility, and the ultimate success of a forecast will be determined by whether it is used by end-users.</t>
  </si>
  <si>
    <t>[Moustahfid, Hassan] NOAA, US Integrated Ocean Observing Syst, Silver Spring, MD 20910 USA; [Hendrickson, Lisa C.] NOAA, Fisheries Northeast Fisheries Sci Ctr, Woods Hole, MA USA; [Arkhipkin, Alexander] Fisheries Dept, Stanley, Falkland Island; [Pierce, Graham J.] CSIC, Inst Invest Marinas, Vigo, Spain; [Pierce, Graham J.] Univ Aberdeen, Sch Biol Sci, Aberdeen, Scotland; [Gangopadhyay, Avijit] Univ Massachusetts, Sch Marine Sci &amp; Technol, Dartmouth, MA USA; [Kidokoro, Hideaki] Japan Fisheries Res &amp; Educ Agcy, Fisheries Resources Inst, Hachinohe Field Stn, Hachinohe, Aomori, Japan; [Markaida, Unai] Colegio Frontera CONACyT, Lab Pesquerias Artesanales, Campeche, Mexico; [Nigmatullin, Chingiz] Atlantic Branch VNIRO AtlantNIRO, Lab Ecol &amp; Stock Assessment Commercial Populat, Kaliningrad, Russia; [Sauer, Warwick H.] Rhodes Univ, Dept Ichthyol &amp; Fisheries Sci, Grahamstown, South Africa; [Jereb, Patrizia] Italian Natl Inst Environm Protect &amp; Res ISPRA, Marine Biodivers Habitat &amp; Species Protect BIO HB, Rome, Italy; [Pecl, Gretta; de la Chesnais, Thibaut] Univ Tasmania, Inst Marine &amp; Antarctic Studies, Hobart, Tas, Australia; [Ceriola, Luca] United Nations, Food &amp; Agr Org, Fisheries Div, Rome, Italy; [Lazar, Najih] Univ Rhode Isl East Farm, Dept Fisheries, Kingston, RI USA; [Firmin, Christopher J.; Laptikhovsky, Vladimir] Ctr Environm Fisheries &amp; Aquaculture Sci Cefas, Lowestoft, Suffolk, England</t>
  </si>
  <si>
    <t>National Oceanic Atmospheric Admin (NOAA) - USA; National Oceanic Atmospheric Admin (NOAA) - USA; Consejo Superior de Investigaciones Cientificas (CSIC); CSIC - Instituto de Investigaciones Marinas (IIM); University of Aberdeen; University of Massachusetts System; University Massachusetts Dartmouth; Japan Fisheries Research &amp; Education Agency (FRA); Rhodes University; Italian Institute for Environmental Protection &amp; Research (ISPRA); University of Tasmania; Food &amp; Agriculture Organization of the United Nations (FAO); University of Rhode Island; Centre for Environment Fisheries &amp; Aquaculture Science</t>
  </si>
  <si>
    <t>Moustahfid, H (corresponding author), NOAA, US Integrated Ocean Observing Syst, Silver Spring, MD 20910 USA.</t>
  </si>
  <si>
    <t>hassan.moustahfid@noaa.gov</t>
  </si>
  <si>
    <t>Pecl, Gretta/D-7267-2011; Markaida, Unai/B-1288-2013; Gangopadhyay, Avijit/JFB-2402-2023; Sauer, Warwick/GJI-2267-2022; Pierce, Graham/A-5404-2018</t>
  </si>
  <si>
    <t>Pecl, Gretta/0000-0003-0192-4339; Markaida, Unai/0000-0001-6655-4979; Sauer, Warwick/0000-0002-9756-1757; Gangopadhyay, Avijit/0000-0002-7412-7325; Pierce, Graham/0000-0002-4744-4501; Hendrickson, Lisa/0000-0003-1434-1693; Arkhipkin, Alexander/0000-0001-6725-6869</t>
  </si>
  <si>
    <t>FAO; NERC [NE/S008950/1] Funding Source: UKRI</t>
  </si>
  <si>
    <t>FAO; NERC(UK Research &amp; Innovation (UKRI)Natural Environment Research Council (NERC))</t>
  </si>
  <si>
    <t>This article stems from presentations and discussions held at a workshop FAO Expert Workshop on effects of climate variability and change on the population dynamics of short-lived species predictive models and forecast products to inform fisheries Management held in Food and Agriculture Organization of the United Nations (FAO) HQ in Rome in November 21-23, 2017. We would like to thank FAO for sponsoring and hosting this workshop.</t>
  </si>
  <si>
    <t>2330-8249</t>
  </si>
  <si>
    <t>2330-8257</t>
  </si>
  <si>
    <t>REV FISH SCI AQUAC</t>
  </si>
  <si>
    <t>Rev. Fish. Sci. Aquac..</t>
  </si>
  <si>
    <t>OCT 2</t>
  </si>
  <si>
    <t>10.1080/23308249.2020.1864720</t>
  </si>
  <si>
    <t>WL2WA</t>
  </si>
  <si>
    <t>WOS:000608338600001</t>
  </si>
  <si>
    <t>Newsham, KK; Cox, F; Sands, CJ; Garnett, MH; Magan, N; Horrocks, CA; Dungait, JAJ; Robinson, CH</t>
  </si>
  <si>
    <t>Newsham, Kevin K.; Cox, Filipa; Sands, Chester J.; Garnett, Mark H.; Magan, Naresh; Horrocks, Claire A.; Dungait, Jennifer A. J.; Robinson, Clare H.</t>
  </si>
  <si>
    <t>A Previously Undescribed Helotialean Fungus That Is Superabundant in Soil Under Maritime Antarctic Higher Plants</t>
  </si>
  <si>
    <t>FRONTIERS IN MICROBIOLOGY</t>
  </si>
  <si>
    <t>Antarctica; C-14 (or carbon-14); carbon; C-13; Chalara; Helotiales</t>
  </si>
  <si>
    <t>DECOMPOSITION; PENINSULA; C-14; FRACTIONATION; COMMUNITIES; ISLANDS; POLAR; ICE</t>
  </si>
  <si>
    <t>We report a previously undescribed member of the Helotiales that is superabundant in soils at two maritime Antarctic islands under Antarctic Hairgrass (Deschampsia antarctica Desv.). High throughput sequencing showed that up to 92% of DNA reads, and 68% of RNA reads, in soils from the islands were accounted for by the fungus. Sequencing of the large subunit region of ribosomal (r)DNA places the fungus close to the Pezizellaceae, Porodiplodiaceae, and Sclerotiniaceae, with analyses of internal transcribed spacer regions of rDNA indicating that it has affinities to previously unnamed soil and root fungi from alpine, cool temperate and Low Arctic regions. The fungus was found to be most frequent in soils containing C aged to 1,000-1,200 years before present. The relative abundances of its DNA and RNA reads were positively associated with soil carbon and nitrogen concentrations and delta C-13 values, with the relative abundance of its DNA being negatively associated with soil pH value. An isolate of the fungus produces flask-shaped phialides with a pronounced venter bearing masses of conidia measuring 4.5-6(7) x 1.8-2.5 mu m, suggestive of anamorphic Chalara. Enzymatic studies indicate that the isolate strongly synthesizes the extracellular enzyme acid phosphatase, and also exhibits alkaline phosphatase and naphthol-AS-BI-phosphohydrolase activities. Ecophysiological measurements indicate optimal hyphal growth of the isolate at a pH of 4.2-4.5 and a water potential of -0.66 MPa. The isolate is a psychrotroph, exhibiting measureable hyphal growth at -2 degrees C, optimal hyphal extension rate at 15 degrees C and negligible growth at 25 degrees C. It is proposed that the rising temperatures that are predicted to occur in maritime Antarctica later this century will increase the growth rate of the fungus, with the potential loss of ancient C from soils. Analyses using the GlobalFungi Database indicate that the fungus is present in cold, acidic soils on all continents. We advocate further studies to identify whether it is superabundant in soils under D. antarctica elsewhere in maritime Antarctica, and for further isolates to be obtained so that the species can be formally described.</t>
  </si>
  <si>
    <t>[Newsham, Kevin K.; Cox, Filipa; Sands, Chester J.] British Antarctic Survey, Nat Environm Res Council, Cambridge, England; [Cox, Filipa; Robinson, Clare H.] Univ Manchester, Dept Earth &amp; Environm Sci, Manchester, Lancs, England; [Garnett, Mark H.] Natl Environm Isotope Facil Radiocarbon Lab, Glasgow, Lanark, Scotland; [Magan, Naresh] Cranfield Univ, Appl Mycol Grp, Environm &amp; AgriFood Theme, Cranfield, Beds, England; [Horrocks, Claire A.; Dungait, Jennifer A. J.] Rothamsted Res, Sustainable Agr Sci, Okehampton, England; [Dungait, Jennifer A. J.] SRUC Scotlands Rural Coll, Carbon Management Ctr, Edinburgh, Midlothian, Scotland; [Dungait, Jennifer A. J.] Univ Exeter, Dept Geog, Exeter, Devon, England</t>
  </si>
  <si>
    <t>UK Research &amp; Innovation (UKRI); Natural Environment Research Council (NERC); NERC British Antarctic Survey; University of Manchester; Cranfield University; UK Research &amp; Innovation (UKRI); Biotechnology and Biological Sciences Research Council (BBSRC); Rothamsted Research; Scotland's Rural College; University of Exeter</t>
  </si>
  <si>
    <t>Newsham, KK (corresponding author), British Antarctic Survey, Nat Environm Res Council, Cambridge, England.</t>
  </si>
  <si>
    <t>kne@bas.ac.uk</t>
  </si>
  <si>
    <t>Dungait, Jennifer/AAV-7301-2021; Horrocks, Claire/HLX-0429-2023; Garnett, Mark H/C-2377-2009; NEOF, NERC Environmental Omics Facility/AAP-1244-2021</t>
  </si>
  <si>
    <t>Dungait, Jennifer/0000-0001-9074-4174; Sands, Chester/0000-0003-1028-0328; Cox, Filipa/0000-0003-1405-7481; Magan, Naresh/0000-0002-5002-3564</t>
  </si>
  <si>
    <t>Antarctic Funding Initiative grant; United Kingdom Natural Environment Research Council [NE/H014098/1, NE/H014772/1, NE/H01408X/1]; NERC [NE/H01408X/1, NBAF010002, bas0100036, NE/H014772/1, NE/H014098/1] Funding Source: UKRI</t>
  </si>
  <si>
    <t>Antarctic Funding Initiative grant; United Kingdom Natural Environment Research Council(UK Research &amp; Innovation (UKRI)Natural Environment Research Council (NERC)); NERC(UK Research &amp; Innovation (UKRI)Natural Environment Research Council (NERC))</t>
  </si>
  <si>
    <t>This research was funded by an Antarctic Funding Initiative grant and associated awards from the United Kingdom Natural Environment Research Council (grant nos. NE/H014098/1, NE/H014772/1, and NE/H01408X/1).</t>
  </si>
  <si>
    <t>1664-302X</t>
  </si>
  <si>
    <t>FRONT MICROBIOL</t>
  </si>
  <si>
    <t>Front. Microbiol.</t>
  </si>
  <si>
    <t>10.3389/fmicb.2020.615608</t>
  </si>
  <si>
    <t>PM7PA</t>
  </si>
  <si>
    <t>WOS:000603984900001</t>
  </si>
  <si>
    <t>Bolinesi, F; Saggiomo, M; Ardini, F; Castagno, P; Cordone, A; Fusco, G; Rivaro, P; Saggiomo, V; Mangoni, O</t>
  </si>
  <si>
    <t>Bolinesi, Francesco; Saggiomo, Maria; Ardini, Francisco; Castagno, Pasquale; Cordone, Angelina; Fusco, Giannetta; Rivaro, Paola; Saggiomo, Vincenzo; Mangoni, Olga</t>
  </si>
  <si>
    <t>Spatial-Related Community Structure and Dynamics in Phytoplankton of the Ross Sea, Antarctica</t>
  </si>
  <si>
    <t>phytoplankton functional groups; size classes; pigments; chemotaxonomy; quantum efficiency; grazing index; austral summer</t>
  </si>
  <si>
    <t>TERRA-NOVA BAY; SOUTHERN-OCEAN PHYTOPLANKTON; PHAEOCYSTIS-ANTARCTICA; CLIMATE-CHANGE; FRAGILARIOPSIS-CYLINDRUS; MESOSCALE VARIABILITY; WATER PRODUCTION; IRON LIMITATION; MCMURDO SOUND; SUMMER</t>
  </si>
  <si>
    <t>The Ross Sea exhibits the largest continental shelf and it is considered to be the most productive region in Antarctica, with phytoplankton communities that have so far been considered to be driven by the seasonal dynamics of the polynya, producing the picture of what is considered as the classical Antarctic food web. Nevertheless, the Ross Sea is made up of a complex mosaic of sub-systems, with physical, chemical, and biological features that change on different temporal and spatial scales. Thus, we investigated the phytoplankton community structure of the Ross Sea with a spatial scale, considering the different ecological sub-systems of the region. The total phytoplankton biomass, maximum quantum efficiency (Fv/Fm), size classes, and main functional groups were analyzed in relation to physical-chemical properties of the water column during the austral summer of 2017. Data from our study showed productivity differences between polynyas and other areas, with high values of biomass in Terra Nova Bay (up to 272 mg chl a m(-2)) and the south-central Ross Sea (up to 177 mg chl a m(-2)) that contrast with the HNLC nature of the off-shore waters during summer. Diatoms were the dominant group in all the studied subsystems (relative proportion &gt;= 50%) except the southern one, where they coexisted with haptophytes with a similar percentage. Additionally, the upper mixed layer depth seemed to influence the level of biomass rather than the dominance of different functional groups. However, relatively high percentages of dinoflagellates (similar to 30%) were observed in the area near Cape Adare. The temporal variability observed at the repeatedly sampled stations differed among the sub-systems, suggesting the importance of Long-Term Ecological Research (L-TER) sites in monitoring and studying the dynamics of such an important system for the global carbon cycle as the Ross Sea. Our results provide new insights into the spatial distribution and structure of phytoplankton communities, with different sub-systems following alternative pathways for primary production, identifiable by the use of appropriate sampling scales.</t>
  </si>
  <si>
    <t>[Bolinesi, Francesco; Cordone, Angelina; Mangoni, Olga] Univ Napoli Federico II, Dept Biol, Naples, Italy; [Saggiomo, Maria; Saggiomo, Vincenzo] Dept Res Infrastruct Marine Biol Resources, Stn Zool Anton Dohrn, Naples, Italy; [Ardini, Francisco; Rivaro, Paola] Univ Genoa, Dept Chem &amp; Ind Chem, Genoa, Italy; [Castagno, Pasquale; Fusco, Giannetta] Univ Napoli Parthenope, Dept Sci &amp; Technol, Naples, Italy; [Mangoni, Olga] Consorzio Nazl Interuniv Sci Mare, Rome, Italy</t>
  </si>
  <si>
    <t>University of Naples Federico II; Stazione Zoologica Anton Dohrn di Napoli; University of Genoa; Parthenope University Naples; CoNISMa</t>
  </si>
  <si>
    <t>Mangoni, O (corresponding author), Univ Napoli Federico II, Dept Biol, Naples, Italy.;Mangoni, O (corresponding author), Consorzio Nazl Interuniv Sci Mare, Rome, Italy.</t>
  </si>
  <si>
    <t>olga.mangoni@unina.it</t>
  </si>
  <si>
    <t>Castagno, Pasquale/HCI-3939-2022; Castagno, Pasquale/JAC-6923-2023; Cordone, Angelina/GLV-6283-2022; Cordone, Angelina/ACF-5367-2022</t>
  </si>
  <si>
    <t>Cordone, Angelina/0000-0002-6131-3145; Castagno, Pasquale/0000-0002-5705-1066; FUSCO, Giannetta/0000-0003-1769-2456; Saggiomo, Maria/0000-0001-5794-0050</t>
  </si>
  <si>
    <t>Italian National Program for Antarctic Research, in the framework of the Project P-ROSE [PNRA16_00239]; Italian National Program for Antarctic Research, in the framework of the Project CELEBeR [PNRA16_00207]</t>
  </si>
  <si>
    <t>Italian National Program for Antarctic Research, in the framework of the Project P-ROSE; Italian National Program for Antarctic Research, in the framework of the Project CELEBeR</t>
  </si>
  <si>
    <t>This study was funded by the Italian National Program for Antarctic Research, in the framework of the Projects P-ROSE (PNRA16_00239) and CELEBeR (PNRA16_00207).</t>
  </si>
  <si>
    <t>10.3389/fmars.2020.574963</t>
  </si>
  <si>
    <t>PH9HU</t>
  </si>
  <si>
    <t>WOS:000600715000001</t>
  </si>
  <si>
    <t>Ding, MH; Tian, B; Ashley, MCB; Putero, D; Zhu, ZX; Wang, LF; Yang, SH; Li, CJ; Xiao, CD</t>
  </si>
  <si>
    <t>Ding, Minghu; Tian, Biao; Ashley, Michael C. B.; Putero, Davide; Zhu, Zhenxi; Wang, Lifan; Yang, Shihai; Li, Chuanjin; Xiao, Cunde</t>
  </si>
  <si>
    <t>Year-round record of near-surface ozone and O3 enhancement events (OEEs) at Dome A, East Antarctica</t>
  </si>
  <si>
    <t>LONG-TERM TRENDS; TROPOSPHERIC OZONE; BOUNDARY-LAYER; SOUTH-POLE; PHOTOCHEMICAL PRODUCTION; NITROGEN-OXIDES; STATION; NO; AEROSOL; SPECIATION</t>
  </si>
  <si>
    <t>Dome A, the summit of the East Antarctic Ice Sheet, is an area challenging to access and is one of the harshest environments on Earth. Up until recently, long-term automated observations from Dome A (DA) were only possible with very low power instruments such as a basic meteorological station. To evaluate the characteristics of near-surface O-3, continuous observations were carried out in 2016. Together with observations at the Amundsen-Scott Station (South Pole - SP) and Zhongshan Station (ZS, on the southeast coast of Prydz Bay), the seasonal and diurnal O-3 variabilities were investigated. The results showed different patterns between coastal and inland Antarctic areas that were characterized by high concentrations in cold seasons and at night. The annual mean values at the three stations (DA, SP and ZS) were 29.2 +/- 7.5, 29.9 +/- 5.0 and 24.1 +/- 5.8 ppb, respectively. We investigated the effect of specific atmospheric processes on near-surface summer O-3 variability, when O-3 enhancement events (OEEs) are systematically observed at DA (average monthly frequency peaking at up to 64.5% in December). As deduced by a statistical selection methodology, these O-3 enhancement events (OEEs) are affected by significant interannual variability, both in their average O-3 values and in their frequency. To explain part of this variability, we analyzed the OEEs as a function of specific atmospheric processes: (i) the role of synoptic-scale air mass transport over the Antarctic Plateau was explored using the Lagrangian back-trajectory analysis Hybrid Single-Particle Lagrangian Integrated Trajectory (HYSPLIT) method, and (ii) the occurrence of deep stratospheric intrusion events was investigated using the Lagrangian tool STEFLUX. The specific atmospheric processes, including synoptic-scale air mass transport, were analyzed by the HYSPLIT back-trajectory analysis and the potential source contribution function (PSCF) model. Short-range transport accounted for the O-3 enhancement events (OEEs) during summer at DA, rather than efficient local production, which is consistent with previous studies of inland Antarctica. Moreover, the identification of recent (i.e., 4 d old) stratospheric-intrusion events by STEFLUX suggested that deep events only had a minor influence (up to 1.1% of the period, in August) on deep events during the variability in near-surface summer O-3 at DA. The deep events during the polar night were significantly higher than those during the polar day. This work provides unique data on ozone variation at DA and expands our knowledge of such events in Antarctica. Data are available at https://doi.org/10.5281/zenodo.3923517 (Ding and Tian, 2020).</t>
  </si>
  <si>
    <t>[Ding, Minghu; Tian, Biao] Chinese Acad Meteorol Sci, State Key Lab Severe Weather, Beijing 100081, Peoples R China; [Ding, Minghu; Li, Chuanjin; Xiao, Cunde] Chinese Acad Sci, Northwest Inst Ecoenvironm &amp; Resources, State Key Lab Cryospher Sci, Lanzhou 730000, Peoples R China; [Ashley, Michael C. B.] Univ New South Wales, Sch Phys, Sydney, NSW 2052, Australia; [Putero, Davide] CNR, Natl Res Council Italy, Inst Atmospher Sci &amp; Climate, ISAC, Corso Fiume 4, I-10133 Turin, Italy; [Zhu, Zhenxi; Wang, Lifan] Chinese Acad Sci, Purple Mt Observ, Nanjing 210034, Peoples R China; [Yang, Shihai] Chinese Acad Sci, Nanjing Inst Astron Opt &amp; Technol, Nanjing 210042, Peoples R China; [Xiao, Cunde] Beijing Normal Univ, State Key Lab Earth Surface Proc &amp; Resource Ecol, Beijing 100875, Peoples R China</t>
  </si>
  <si>
    <t>China Meteorological Administration; Chinese Academy of Meteorological Sciences (CAMS); Chinese Academy of Sciences; University of New South Wales Sydney; Consiglio Nazionale delle Ricerche (CNR); Istituto di Scienze dell'Atmosfera e del Clima (ISAC-CNR); Chinese Academy of Sciences; Nanjing Institute of Astronomical Optics &amp; Technology, NAOC, CAS; Purple Mountain Observatory, CAS; Chinese Academy of Sciences; Nanjing Institute of Astronomical Optics &amp; Technology, NAOC, CAS; Beijing Normal University</t>
  </si>
  <si>
    <t>Ding, MH (corresponding author), Chinese Acad Meteorol Sci, State Key Lab Severe Weather, Beijing 100081, Peoples R China.;Ding, MH (corresponding author), Chinese Acad Sci, Northwest Inst Ecoenvironm &amp; Resources, State Key Lab Cryospher Sci, Lanzhou 730000, Peoples R China.</t>
  </si>
  <si>
    <t>dingminghu@foxmail.com</t>
  </si>
  <si>
    <t>Ding, Minghu/AFU-3600-2022; Yang, Shihai/J-1593-2012; Putero, Davide/P-1639-2018</t>
  </si>
  <si>
    <t>Ding, Minghu/0000-0002-1142-6598; Putero, Davide/0000-0002-9721-1036</t>
  </si>
  <si>
    <t>National Natural Science Foundation of China [41771064]; Strategic Priority Research Program of the Chinese Academy of Sciences [XDA20100300]; Basic Fund of the Chinese Academy of Meteorological Sciences [2018Z001, 2019Y010]</t>
  </si>
  <si>
    <t>National Natural Science Foundation of China(National Natural Science Foundation of China (NSFC)); Strategic Priority Research Program of the Chinese Academy of Sciences(Chinese Academy of Sciences); Basic Fund of the Chinese Academy of Meteorological Sciences</t>
  </si>
  <si>
    <t>This research has been supported by the National Natural Science Foundation of China (grant no. 41771064), the Strategic Priority Research Program of the Chinese Academy of Sciences (grant no. XDA20100300) and the Basic Fund of the Chinese Academy of Meteorological Sciences (grant nos. 2018Z001 and 2019Y010).</t>
  </si>
  <si>
    <t>10.5194/essd-12-3529-2020</t>
  </si>
  <si>
    <t>PH5BA</t>
  </si>
  <si>
    <t>WOS:000600426700002</t>
  </si>
  <si>
    <t>Mahieu, L; Lo Monaco, C; Metzl, N; Fin, J; Mignon, C</t>
  </si>
  <si>
    <t>Mahieu, Leo; Lo Monaco, Claire; Metzl, Nicolas; Fin, Jonathan; Mignon, Claude</t>
  </si>
  <si>
    <t>Variability and stability of anthropogenic CO2 in Antarctic Bottom Water observed in the Indian sector of the Southern Ocean, 1978-2018</t>
  </si>
  <si>
    <t>CARBON-DIOXIDE; ATLANTIC-OCEAN; GLOBAL OCEAN; PRYDZ BAY; SEA-ICE; SYSTEM PROPERTIES; SEASONAL CYCLE; WEDDELL GYRE; ROSS SEA; STORAGE</t>
  </si>
  <si>
    <t>Antarctic Bottom Water (AABW) is known as a long-term sink for anthropogenic CO2 (C-ant), but the sink is hardly quantified because of the scarcity of observations, specifically at an interannual scale. We present in this paper an original dataset combining 40 years of carbonate system observations in the Indian sector of the Southern Ocean (Enderby Basin) to evaluate and interpret the interannual variability of C-ant in the AABW. This investigation is based on regular observations collected at the same location (63 degrees E-56.5 degrees S) in the framework of the French observatory OISO from 1998 to 2018 extended by GEOSECS and INDIGO observations (1978, 1985 and 1987). At this location the main sources of AABW sampled is the low-salinity Cape Darnley Bottom Water (CDBW) and the Weddell Sea Deep Water (WSDW). Our calculations reveal that C ant concentrations increased significantly in the AABW, from an average concentration of 7 mu mol kg(-1) calculated for the period 1978-1987 to an average concentration of 13 mu mol kg(-1) for the period 2010-2018. This is comparable to previous estimates in other Southern Ocean (SO) basins, with the exception of bottom water close to formation sites where C-ant concentrations are about twice as large. Our analysis shows that total carbon (C-T) and C ant increasing rates in the AABW are about the same over the period 1978-2018, and we conclude that the long-term change in C-T is mainly due to the uptake of C-ant in the different formation regions. This is, however, modulated by significant interannual to multi-annual variability associated with variations in hydrographic (potential temperature, Theta salinity, S) and bio-geochemical (C-T; total alkalinity, AT; dissolved oxygen, O-2) properties. A surprising result is the apparent stability of C-ant concentrations in recent years despite the increase in C-T and the gradual acceleration of atmospheric CO2. The interannual variability at play in AABW needs to be carefully considered in the extrapolated estimation of C-ant sequestration based on sparse observations over several years.</t>
  </si>
  <si>
    <t>[Mahieu, Leo] Univ Liverpool, Sch Environm Sci, Ocean Sci, 4 Brownlow St, Liverpool L69 3GP, Merseyside, England; [Lo Monaco, Claire; Metzl, Nicolas; Fin, Jonathan; Mignon, Claude] Sorbonne Univ, LOCEAN IPSL, CNRS, IRD,MNHN Paris, Paris, France</t>
  </si>
  <si>
    <t>University of Liverpool; Museum National d'Histoire Naturelle (MNHN); Centre National de la Recherche Scientifique (CNRS); Institut de Recherche pour le Developpement (IRD); Sorbonne Universite</t>
  </si>
  <si>
    <t>Mahieu, L (corresponding author), Univ Liverpool, Sch Environm Sci, Ocean Sci, 4 Brownlow St, Liverpool L69 3GP, Merseyside, England.;Lo Monaco, C (corresponding author), Sorbonne Univ, LOCEAN IPSL, CNRS, IRD,MNHN Paris, Paris, France.</t>
  </si>
  <si>
    <t>leo.mahieu@liverpool.ac.uk; claire.lomonaco@locean.upmc.fr</t>
  </si>
  <si>
    <t>Mahieu, Leo/0000-0002-7314-6874; metzl, nicolas/0000-0002-1165-1074</t>
  </si>
  <si>
    <t>European Integrated Project CARBOOCEAN [511176]; European Integrated Project CAR-BOCHANGE [264879]</t>
  </si>
  <si>
    <t>European Integrated Project CARBOOCEAN; European Integrated Project CAR-BOCHANGE</t>
  </si>
  <si>
    <t>This research has been supported by the European Integrated Projects CARBOOCEAN (511176) and CAR-BOCHANGE (264879).</t>
  </si>
  <si>
    <t>10.5194/os-16-1559-2020</t>
  </si>
  <si>
    <t>PH5CC</t>
  </si>
  <si>
    <t>WOS:000600429500002</t>
  </si>
  <si>
    <t>Misiak, M; Goodall-Copestake, WP; Sparks, TH; Worland, MR; Boddy, L; Magan, N; Convey, P; Hopkins, DW; Newsham, KK</t>
  </si>
  <si>
    <t>Misiak, Marta; Goodall-Copestake, William P.; Sparks, Tim H.; Worland, M. Roger; Boddy, Lynne; Magan, Naresh; Convey, Peter; Hopkins, David W.; Newsham, Kevin K.</t>
  </si>
  <si>
    <t>Inhibitory effects of climate change on the growth and extracellular enzyme activities of a widespread Antarctic soil fungus</t>
  </si>
  <si>
    <t>Antarctica; climate warming; cold adaptation; extracellular enzymes; growth inhibition; psychrotrophy; soil fungi; water</t>
  </si>
  <si>
    <t>FREEZE-THAW; MICROBIAL COMMUNITIES; ALEXANDER-ISLAND; COLD ADAPTATION; TEMPERATURE; RESPONSES; TUNDRA; CARBON; DRY; CONSISTENT</t>
  </si>
  <si>
    <t>Temperatures approaching or exceeding 20 degrees C have been measured during summer in polar regions at the surfaces of barren fellfield soils under cloudless skies around solar noon. However, despite the upper temperature limit for the growth of cold-adapted microbes-which are abundant in polar soils and have pivotal roles in nutrient cycling-typically being close to this temperature, previous studies have not addressed the consequences of climate change for the metabolism of these organisms in the natural environment. Here in a 5-year field experiment on Alexander Island in the southern maritime Antarctic, we show that the abundance of Pseudogymnoascus roseus, the most widespread decomposer fungus in maritime Antarctic fellfield soils, is reduced by 1-2 orders of magnitude when irrigated and nutrient-amended soils are warmed to &gt;20 degrees C during summer. Laboratory experiments under conditions mimicking those during midsummer in the natural environment indicated that the hyphal extension rates of P. roseus isolates and the activities of five extracellular enzymes are reduced by 54%-96% at high water availability after exposure to temperatures cycling daily from 2 to 21 degrees C and 2 to 24 degrees C, relative to temperatures cycling from 2 to 18 degrees C. Given that the temperatures of surface soils at the study site already reach 19 degrees C during midsummer, the observations reported here suggest that, at predicted rates of warming arising from moderate greenhouse gas emissions, inhibitory effects of climate change on the metabolism of P. roseus could manifest themselves within the next few decades. Furthermore, with peak temperatures at the surfaces of fellfield soils at other maritime Antarctic locations and in High Arctic and alpine regions already exceeding 20 degrees C during summer, the observations suggest that climate warming has the potential to inhibit the growth of other cold-adapted microbes, with negative effects on soils as the Earth's climate continues to warm.</t>
  </si>
  <si>
    <t>[Misiak, Marta; Goodall-Copestake, William P.; Worland, M. Roger; Convey, Peter; Newsham, Kevin K.] NERC, British Antarctic Survey, Madingley Rd, Cambridge CB3 0ET, England; [Misiak, Marta; Boddy, Lynne] Cardiff Sch Biosci, Cardiff, Wales; [Sparks, Tim H.] Poznan Univ Life Sci, Inst Zool, Poznan, Poland; [Sparks, Tim H.] Univ Cambridge, Museum Zool, Cambridge, England; [Magan, Naresh] Cranfield Univ, Environm &amp; AgriFood Theme, Appl Mycol Grp, Cranfield, Beds, England; [Hopkins, David W.] Scotlands Rural Coll, Edinburgh, Midlothian, Scotland; [Goodall-Copestake, William P.] Scottish Assoc Marine Sci, Oban PA37 1QA, Argyll, Scotland</t>
  </si>
  <si>
    <t>UK Research &amp; Innovation (UKRI); Natural Environment Research Council (NERC); NERC British Antarctic Survey; Cardiff University; Poznan University of Life Sciences; University of Cambridge; Cranfield University; Scotland's Rural College; UHI Millennium Institute</t>
  </si>
  <si>
    <t>Newsham, KK (corresponding author), NERC, British Antarctic Survey, Madingley Rd, Cambridge CB3 0ET, England.</t>
  </si>
  <si>
    <t>Convey, Peter/AAV-5728-2020; Boddy, Lynne/A-7250-2010; Goodall-Copestake, William/CAF-6866-2022</t>
  </si>
  <si>
    <t>Convey, Peter/0000-0001-8497-9903; Boddy, Lynne/0000-0003-1845-6738; Goodall-Copestake, Will/0000-0003-3586-9091; Magan, Naresh/0000-0002-5002-3564; Hopkins, David/0000-0003-0953-8643; Sparks, Tim/0000-0003-4382-7051</t>
  </si>
  <si>
    <t>Antarctic Funding Initiative award [NE/D00893X/1]; NERC GW4+ Doctoral Training Partnership studentship [NE/L002434/1]; NERC; NERC [bas0100036] Funding Source: UKRI</t>
  </si>
  <si>
    <t>Antarctic Funding Initiative award; NERC GW4+ Doctoral Training Partnership studentship; NERC(UK Research &amp; Innovation (UKRI)Natural Environment Research Council (NERC)); NERC(UK Research &amp; Innovation (UKRI)Natural Environment Research Council (NERC))</t>
  </si>
  <si>
    <t>Antarctic Funding Initiative award, grant/award number: NE/D00893X/1; NERC GW4+ Doctoral Training Partnership studentship, grant/award number: NE/L002434/1, NERC core funding to the British Antarctic Survey Long Term Monitoring and Survey programme.</t>
  </si>
  <si>
    <t>10.1111/gcb.15456</t>
  </si>
  <si>
    <t>QC6IU</t>
  </si>
  <si>
    <t>WOS:000599740900001</t>
  </si>
  <si>
    <t>Forte, R; Berrilli, F; Calchetti, D; Del Moro, D; Fleck, B; Giebink, C; Giebink, W; Giovannelli, L; Jefferies, SM; Knox, A; Magri, M; Murphy, N; Nitta, G; Oliviero, M; Pietropaolo, E; Rodgers, W; Scardigli, S; Viavattene, G</t>
  </si>
  <si>
    <t>Forte, Roberta; Berrilli, Francesco; Calchetti, Daniele; Del Moro, Dario; Fleck, Bernhard; Giebink, Cynthia; Giebink, William; Giovannelli, Luca; Jefferies, Stuart Mark; Knox, Allister; Magri, Maria; Murphy, Neil; Nitta, Garry; Oliviero, Maurizio; Pietropaolo, Ermanno; Rodgers, Wayne; Scardigli, Stefano; Viavattene, Giorgio</t>
  </si>
  <si>
    <t>Data reduction pipeline for MOF-based synoptic telescopes</t>
  </si>
  <si>
    <t>JOURNAL OF SPACE WEATHER AND SPACE CLIMATE</t>
  </si>
  <si>
    <t>Magnetic fields; Photosphere; Instrumentation and Data Management; Instrumental Effects</t>
  </si>
  <si>
    <t>MAGNETO-OPTICAL FILTER; SOLAR PHYSICS; IMAGER; OSCILLATIONS; ROTATION; FLUX</t>
  </si>
  <si>
    <t>There are strong scientific cases and practical reasons for building ground-based solar synoptic telescopes. Some issues, like the study of solar dynamics and the forecasting of solar flares, benefit from the 3D reconstruction of the Sun's atmosphere and magnetic field. Others, like the monitoring and prediction of space weather, require full disk observations, at the proper sampling rate, combining H-alpha images and Doppler velocity and magnetic field. The synoptic telescopes based on Magneto Optical Filters (MOF) using different lines are capable of measuring the line-of-sight Doppler velocity and magnetic field over the full solar disk at different ranges of height in the Sun's photosphere and low chromosphere. Instruments like the MOTH (Magneto-Optical filters at Two Heights), using a dual-channel based on MOFs operating at 589.0 nm (Na D-2 line) and 769.9 nm (K D-1 line), the VAMOS instrument (Velocity And Magnetic Observations of the Sun), operating at 769.9 nm (K D1 line), and the future TSST (Tor Vergata Synoptic Solar Telescope), using a dual-channel telescope operating at 656.28 nm (H-alpha line) and at 769.9 nm (K D1 line), allow to face both aspects, the scientific and the operative related to Space Weather applications. The MOTH, VAMOS and TSST data enable a wide variety of studies of the Sun, from seismic probing of the solar interior (sound speed, rotation, details of the tachocline, sub-surface structure of active regions), to the dynamics and magnetic evolution of the lower part of the solar atmosphere (heating of the solar atmosphere, identification of the signatures of solar eruptive events, atmospheric gravity waves, etc.), to the 3D reconstruction of the solar atmosphere and flare locations. However, the use of MOF filters requires special care in calibrating the data for scientific or operational use. This work presents a systematic pipeline that derives from the decennial use of MOF's technology. More in detail, the pipeline is based on data reduction procedures tested and validated on MOTH data acquired at Mees Solar Observatory of the University of Hawaii Haleakala Observatories and at South Pole Solar Observatory (SPSO), at the Amundsen-Scott South Pole Station in Antarctica, during Antarctica Summer Campaign 2016/17.</t>
  </si>
  <si>
    <t>[Forte, Roberta; Berrilli, Francesco; Calchetti, Daniele; Del Moro, Dario; Giovannelli, Luca; Scardigli, Stefano; Viavattene, Giorgio] Univ Roma Tor Vergata, Dept Phys, I-00133 Rome, Italy; [Forte, Roberta; Pietropaolo, Ermanno] Univ Aquila, INFN GSGC LAquila, I-67100 Laquila, Italy; [Forte, Roberta; Pietropaolo, Ermanno] Univ Aquila, DSFC, I-67100 Laquila, Italy; [Forte, Roberta] Next Ingn Sistemi SpA, I-00131 Rome, Italy; [Fleck, Bernhard] ESA, Sci &amp; Operat Dept, NASA, GSFC, Baltimore, MD 20071 USA; [Giebink, Cynthia; Giebink, William; Jefferies, Stuart Mark; Nitta, Garry] Univ Hawaii, Inst Astron, Honolulu, HI 96768 USA; [Jefferies, Stuart Mark; Knox, Allister] Georgia State Univ, Dept Phys &amp; Astron, Atlanta, GA 30303 USA; [Magri, Maria] MIUR, I-00153 Rome, Italy; [Murphy, Neil] NASA, Jet Prop Lab, Pasadena, CA 91109 USA; [Oliviero, Maurizio] INAF Capodimonte Astron Observ, I-80131 Naples, Italy; [Rodgers, Wayne] Eddy Co, Apple Valley, CA 92308 USA; [Viavattene, Giorgio] INAF Astron Observ Rome, I-00078 Rome, Italy</t>
  </si>
  <si>
    <t>University of Rome Tor Vergata; University of L'Aquila; University of L'Aquila; National Aeronautics &amp; Space Administration (NASA); University of Hawaii System; University System of Georgia; Georgia State University; National Aeronautics &amp; Space Administration (NASA); NASA Jet Propulsion Laboratory (JPL); Istituto Nazionale Astrofisica (INAF); Istituto Nazionale Astrofisica (INAF)</t>
  </si>
  <si>
    <t>Jefferies, SM (corresponding author), Univ Hawaii, Inst Astron, Honolulu, HI 96768 USA.;Jefferies, SM (corresponding author), Georgia State Univ, Dept Phys &amp; Astron, Atlanta, GA 30303 USA.</t>
  </si>
  <si>
    <t>sjefferies@gsu.edu</t>
  </si>
  <si>
    <t>PIETROPAOLO, Ermanno/AAQ-7827-2021; Giovannelli, Luca/P-9326-2019; Fleck, Bernhard/C-9520-2012</t>
  </si>
  <si>
    <t>PIETROPAOLO, Ermanno/0000-0002-6633-9846; Giovannelli, Luca/0000-0001-7369-8516; DEL MORO, DARIO/0000-0003-2500-5054; Viavattene, Giorgio/0000-0002-0791-0352; berrilli, francesco/0000-0002-2276-3733; Calchetti, Daniele/0000-0003-2755-5295; Fleck, Bernhard/0000-0001-5777-9121</t>
  </si>
  <si>
    <t>National Science Foundation's Division of Polar Programs [1829258]; U.S. National Science Foundation through the U.S. Antarctic Program; Italian MIUR-PRIN [2017APKP7T]; Regione Lazio [FILAS-RU-2014-1028]; University of Rome Tor Vergata; Sapienza University of Rome; National Institute of Astrophysics (INAF); Office of Polar Programs (OPP); Directorate For Geosciences [1829258] Funding Source: National Science Foundation</t>
  </si>
  <si>
    <t>National Science Foundation's Division of Polar Programs; U.S. National Science Foundation through the U.S. Antarctic Program(National Science Foundation (NSF)); Italian MIUR-PRIN(Ministry of Education, Universities and Research (MIUR)Research Projects of National Relevance (PRIN)); Regione Lazio(Regione Lazio); University of Rome Tor Vergata; Sapienza University of Rome; National Institute of Astrophysics (INAF)(Istituto Nazionale Astrofisica (INAF)); Office of Polar Programs (OPP); Directorate For Geosciences(National Science Foundation (NSF)NSF - Directorate for Geosciences (GEO))</t>
  </si>
  <si>
    <t>HMI data are courtesy of NASA/SDO and the AIA, EVE, and HMI science teams. The Antarctic project South Pole Solar Observatory is sponsored by the National Science Foundation's Division of Polar Programs under award 1829258. Support for this project in the Antarctic was provided by the U.S. National Science Foundation through the U.S. Antarctic Program. This research has been partly supported by the Italian MIUR-PRIN grants: 2012 on The active Sun and its effects on Space and Earth and 2017APKP7T on Circumterrestrial Environment: Impact of Sun-Earth Interaction. SWERTO has been financed by the Regione Lazio FILAS-RU-2014-1028 grant (November 2015-October 2017). DC and GV were supported by the joint PhD program in Astronomy, Astrophysics and Space Science between the University of Rome Tor Vergata, the Sapienza University of Rome and the National Institute of Astrophysics (INAF). The editor thanks two anonymous reviewers for their assistance in evaluating this paper.</t>
  </si>
  <si>
    <t>EDP SCIENCES S A</t>
  </si>
  <si>
    <t>LES ULIS CEDEX A</t>
  </si>
  <si>
    <t>17, AVE DU HOGGAR, PA COURTABOEUF, BP 112, F-91944 LES ULIS CEDEX A, FRANCE</t>
  </si>
  <si>
    <t>2115-7251</t>
  </si>
  <si>
    <t>J SPACE WEATHER SPAC</t>
  </si>
  <si>
    <t>J. Space Weather Space Clim.</t>
  </si>
  <si>
    <t>10.1051/swsc/2020065</t>
  </si>
  <si>
    <t>Astronomy &amp; Astrophysics; Geochemistry &amp; Geophysics; Meteorology &amp; Atmospheric Sciences</t>
  </si>
  <si>
    <t>PL6DE</t>
  </si>
  <si>
    <t>WOS:000603209300002</t>
  </si>
  <si>
    <t>Núñez-Egido, S; Lowther, A; Nymo, IH; Klein, J; Breines, EM; Tryland, M</t>
  </si>
  <si>
    <t>Nunez-Egido, Sandra; Lowther, Andrew; Nymo, Ingebjorg H.; Klein, Jorn; Breines, Eva M.; Tryland, Morten</t>
  </si>
  <si>
    <t>Pathogen surveillance in Southern Ocean pinnipeds</t>
  </si>
  <si>
    <t>Antarctic fur seal; parapoxvirus; Southern elephant seal; Southern Ocean; wildlife disease; zoonosis</t>
  </si>
  <si>
    <t>ANTARCTIC FUR SEALS; TOXOPLASMA-GONDII ANTIBODIES; PACIFIC HARBOR SEALS; INFECTIOUS-DISEASES; ANTIBRUCELLA ANTIBODIES; LEPTONYCHOTES-WEDDELLII; HERPESVIRUS-INFECTION; ARCTOCEPHALUS-GAZELLA; PHOCA-VITULINA; PARAPOXVIRUS</t>
  </si>
  <si>
    <t>Knowledge of the health status and potential effect of disease outbreaks among Southern Ocean fauna may be decisive for its conservation. We assessed the exposure and infection of Antarctic fur seals (Arctocephalus gazella, AFS) and Southern elephant seals (Miroun,ga leonine, SES) to parapoxvirus, Phocid alphaherpesvirus-1 (PhHV 1), smooth Brucella spp. and Toxoplasma gondii. AFS = 65) serum and swab samples, and SES (n = 13) serum samples from the sub-Antarctic island of Bouvetoya (54 degrees 25'S, 03 degrees 22'E) were collected during two austral summers (2014/15, 2017/18). Three polymerase chain reaction (PCR) tests amplifying the DNA polymerase, B2L and GIF parapoxvirus genomic regions were performed, investigating DNA from mucosal swab samples. The glycoprotein B gene was targeted to detect PliHV-1 viral DNA. Sera were assayed for T. gondii and smooth Brucella spp. antibodies with indirect enzyme-linked immunosorbent assays. Parapoxvirus PCR amplicons of the expected size were generated in two of the 29 AFS pups (nasal swabs, 2014/15), targeting the B2L (n = 2) and DNA polymerase (n = 1) genes, whereas the GIF PCR did not amplify target sequences. The PCR amplicons were sequenced and blasted in GenBank, revealing highest similarity with a seal parapoxvirus, confirming the presence of the virus in AFS for the first time. No PhHV-1 amplicons were generated, and antibodies against T gondii or smooth Brucella spp. were not detected. Our data indicate that these seals are host for parapoxvirus but are neither exposed to smooth Brucella spp. nor T. gondii. Evidence of PhHV-1 shedding was not detected.</t>
  </si>
  <si>
    <t>[Nunez-Egido, Sandra; Breines, Eva M.; Tryland, Morten] UiT Arctic Univ Norway, Dept Arctic &amp; Marine Biol, Framstredet 39, NO-9019 Tromso, Norway; [Lowther, Andrew; Tryland, Morten] Fram Ctr, Norwegian Polar Inst, Tromso, Norway; [Nymo, Ingebjorg H.] Norwegian Vet Inst, Tromso, Norway; [Klein, Jorn] Univ South Eastern Norway, Dept Nursing &amp; Hlth Sci, Kongsberg, Norway</t>
  </si>
  <si>
    <t>UiT The Arctic University of Tromso; Norwegian Polar Institute; Norwegian Veterinary Institute; University College of Southeast Norway</t>
  </si>
  <si>
    <t>Tryland, M (corresponding author), UiT Arctic Univ Norway, Dept Arctic &amp; Marine Biol, Framstredet 39, NO-9019 Tromso, Norway.</t>
  </si>
  <si>
    <t>morten.tryland@uit.no</t>
  </si>
  <si>
    <t>Klein, Jorn/0000-0002-1803-4167</t>
  </si>
  <si>
    <t>Norwegian Antarctic Research Expeditions; UiT The Arctic University of Norway</t>
  </si>
  <si>
    <t>Financial support was provided by the Norwegian Antarctic Research Expeditions. A grant from the publication fund of UiT The Arctic University of Norway has covered the publication charges for this article.</t>
  </si>
  <si>
    <t>OPEN ACADEMIA AB</t>
  </si>
  <si>
    <t>SPANGA</t>
  </si>
  <si>
    <t>STORMBYVAGEN 6, SPANGA, SE-163 55, SWEDEN</t>
  </si>
  <si>
    <t>POLAR RES-SWEDEN</t>
  </si>
  <si>
    <t>DEC 17</t>
  </si>
  <si>
    <t>10.33265/polar.v39.3841</t>
  </si>
  <si>
    <t>PI6LV</t>
  </si>
  <si>
    <t>WOS:000601201100001</t>
  </si>
  <si>
    <t>Heather, FJ; Blanchard, JL; Edgar, GJ; Trebilco, R; Stuart-Smith, RD</t>
  </si>
  <si>
    <t>Heather, Freddie J.; Blanchard, Julia L.; Edgar, Graham J.; Trebilco, Rowan; Stuart-Smith, Rick D.</t>
  </si>
  <si>
    <t>Globally consistent reef size spectra integrating fishes and invertebrates</t>
  </si>
  <si>
    <t>ECOLOGY LETTERS</t>
  </si>
  <si>
    <t>Benthic; biomass equivalence rule; coastal; community; fish; macroecology; size distribution; size spectrum; trophic pathways</t>
  </si>
  <si>
    <t>BODY MASS RELATIONSHIPS; POPULATION-DENSITY; ABUNDANCE; INDICATORS; DISTRIBUTIONS; COMMUNITY; INDIVIDUALS; ROCKY</t>
  </si>
  <si>
    <t>The frequency distribution of individual body sizes in animal communities (i.e. the size spectrum) provides powerful insights for understanding the energy flux through food webs. However, studies of size spectra in rocky and coral reef communities typically focus only on fishes or invertebrates due to taxonomic and data constraints, and consequently ignore energy pathways involving the full range of macroscopic consumer taxa. We analyse size spectra with co-located fish and mobile macroinvertebrate data from 3369 reef sites worldwide, specifically focusing on how the addition of invertebrate data alters patterns. The inclusion of invertebrates steepens the size spectrum, more so in temperate regions, resulting in a consistent size spectrum slope across latitudes, and bringing slopes closer to theoretical expectations based on energy flow through the system. These results highlight the importance of understanding contributions of both invertebrates and fishes to reef food webs worldwide.</t>
  </si>
  <si>
    <t>[Heather, Freddie J.; Blanchard, Julia L.; Edgar, Graham J.; Trebilco, Rowan; Stuart-Smith, Rick D.] Univ Tasmania, Inst Marine &amp; Antarctic Studies, 20 Castray Esplanade, Hobart, Tas 7004, Australia; [Trebilco, Rowan] CSIRO Oceans &amp; Atmosphere, Hobart, Tas 7004, Australia</t>
  </si>
  <si>
    <t>University of Tasmania; Commonwealth Scientific &amp; Industrial Research Organisation (CSIRO)</t>
  </si>
  <si>
    <t>Heather, FJ (corresponding author), Univ Tasmania, Inst Marine &amp; Antarctic Studies, 20 Castray Esplanade, Hobart, Tas 7004, Australia.</t>
  </si>
  <si>
    <t>freddieheather@gmail.com</t>
  </si>
  <si>
    <t>Trebilco, Rowan/I-5311-2012; Heather, Freddie/KBA-4476-2024; Stuart-Smith, Rick/I-5214-2019; Edgar, Graham/AAY-3797-2020; Blanchard, Julia L/E-4919-2010</t>
  </si>
  <si>
    <t>Trebilco, Rowan/0000-0001-9712-8016; Stuart-Smith, Rick/0000-0002-8874-0083; Edgar, Graham/0000-0003-0833-9001; Heather, Freddie J./0000-0002-1650-2617; Blanchard, Julia/0000-0003-0532-4824</t>
  </si>
  <si>
    <t>Marine Biodiversity Hub through Australian Government's National Environmental Science Program; Australian Research Council (ARC)</t>
  </si>
  <si>
    <t>Marine Biodiversity Hub through Australian Government's National Environmental Science Program; Australian Research Council (ARC)(Australian Research Council)</t>
  </si>
  <si>
    <t>This research was supported by the Marine Biodiversity Hub, a collaborative partnership supported through funding from the Australian Government's National Environmental Science Program, and used the NCRIS-enabled Integrated Marine Observing System (IMOS) infrastructure for database support and storage. This research was also made possible by funding of the Australian Research Council (ARC), and the data from the Reef Life Survey Foundation. The authors also thank data support from Antonia Cooper, Just Berkhout, Diego Barneche, Scott Ling, Ella Clausius and Elizabeth Oh.</t>
  </si>
  <si>
    <t>1461-023X</t>
  </si>
  <si>
    <t>1461-0248</t>
  </si>
  <si>
    <t>ECOL LETT</t>
  </si>
  <si>
    <t>Ecol. Lett.</t>
  </si>
  <si>
    <t>10.1111/ele.13661</t>
  </si>
  <si>
    <t>QG4EW</t>
  </si>
  <si>
    <t>WOS:000599316700001</t>
  </si>
  <si>
    <t>Winter, K; Hill, EA; Gudmundsson, GH; Woodward, J</t>
  </si>
  <si>
    <t>Winter, Kate; Hill, Emily A.; Gudmundsson, G. Hilmar; Woodward, John</t>
  </si>
  <si>
    <t>Subglacial topography and ice flux along the English Coast of Palmer Land, Antarctic Peninsula</t>
  </si>
  <si>
    <t>SURFACE MASS-BALANCE; STABILITY; SHELF; GLACIERS; THICKNESS; OCEAN; FLOW; BED</t>
  </si>
  <si>
    <t>Recent satellite data have revealed widespread grounding line retreat, glacier thinning, and associated mass loss along the Bellingshausen Sea sector, leading to increased concern for the stability of this region of Antarctica. While satellites have greatly improved our understanding of surface conditions, a lack of radio-echo sounding (RES) data in this region has restricted our analysis of subglacial topography, ice thickness, and ice flux. In this paper we analyse 3000 km of 150 MHz airborne RES data collected using the PASIN2 radar system (flown at 3-5 km line spacing) to investigate the subglacial controls on ice flow near the grounding lines of Ers, Envisat, Cryosat, Grace, Sentinel, Lidke, and Landsat ice streams as well as Hall and Nikitin glaciers. We find that each outlet is topographically controlled, and when ice thickness is combined with surface velocity data from MEaSUREs (Mouginot et al., 2019a), these outlets are found to discharge over 39.25 +/- 0.79 Gt a(-1) of ice to floating ice shelves and the Southern Ocean. Our RES measurements reveal that outlet flows are grounded more than 300 m below sea level and that there is limited topographic support for inland grounding line restabilization in a future retreating scenario, with several ice stream beds dipping inland at similar to 5 degrees km(-1). These data reinforce the importance of accurate bed topography to model and understand the controls on inland ice flow and grounding line position as well as overall mass balance and sea level change estimates. RES data described in this paper are available through the UK Polar Data Centre: https://doi.org/10.5285/E07D62BF-D58C-4187A019-59BE998939CC (Corr and Robinson, 2020).</t>
  </si>
  <si>
    <t>[Winter, Kate; Hill, Emily A.; Gudmundsson, G. Hilmar; Woodward, John] Northumbria Univ, Fac Engn &amp; Environm, Dept Geog &amp; Environm Sci, Newcastle Upon Tyne, Tyne &amp; Wear, England</t>
  </si>
  <si>
    <t>Northumbria University</t>
  </si>
  <si>
    <t>Winter, K (corresponding author), Northumbria Univ, Fac Engn &amp; Environm, Dept Geog &amp; Environm Sci, Newcastle Upon Tyne, Tyne &amp; Wear, England.</t>
  </si>
  <si>
    <t>k.winter@northumbria.ac.uk</t>
  </si>
  <si>
    <t>Woodward, John/I-1046-2013; Gudmundsson, Gudmundur Hilmar/AAU-5987-2020</t>
  </si>
  <si>
    <t>Gudmundsson, Gudmundur Hilmar/0000-0003-4236-5369; Woodward, John/0000-0002-4980-4080; Winter, Kate/0000-0003-2389-8637; Hill, Emily/0000-0003-3175-3163</t>
  </si>
  <si>
    <t>10.5194/essd-12-3453-2020</t>
  </si>
  <si>
    <t>PH1RB</t>
  </si>
  <si>
    <t>WOS:000600197700001</t>
  </si>
  <si>
    <t>Gallardo-Carreño, I; Moreno-Paz, M; Aguirre, J; Blanco, Y; Alonso-Pintado, E; Raymond-Bouchard, I; Maggiori, C; Rivas, LA; Engelbrektson, A; Whyte, L; Parro, V</t>
  </si>
  <si>
    <t>Gallardo-Carreno, Ignacio; Moreno-Paz, Mercedes; Aguirre, Jacobo; Blanco, Yolanda; Alonso-Pintado, Eduardo; Raymond-Bouchard, Isabelle; Maggiori, Catherine; Rivas, Luis A.; Engelbrektson, Anna; Whyte, Lyle; Parro, Victor</t>
  </si>
  <si>
    <t>A Multiplex Immunosensor for Detecting Perchlorate-Reducing Bacteria for Environmental Monitoring and Planetary Exploration</t>
  </si>
  <si>
    <t>perchlorate; perchlorate-reducing bacteria; antibody microarrays; biochip; life detection; planetary exploration; Mars; graph theory</t>
  </si>
  <si>
    <t>UNEXPECTED DIVERSITY; MICROBIAL COMMUNITY; CHLORITE DISMUTASES; GALE CRATER; MARS; SEARCH; (PER)CHLORATE; REDUCTION; PHOENIX; MISSION</t>
  </si>
  <si>
    <t>Perchlorate anions are produced by chemical industries and are important contaminants in certain natural ecosystems. Perchlorate also occurs in some natural and uncontaminated environments such as the Atacama Desert, the high Arctic or the Antarctic Dry Valleys, and is especially abundant on the surface of Mars. As some bacterial strains are capable of using perchlorate as an electron acceptor under anaerobic conditions, their detection is relevant for environmental monitoring on Earth as well as for the search for life on Mars. We have developed an antibody microarray with 20 polyclonal antibodies to detect perchlorate-reducing bacteria (PRB) strains and two crucial and highly conserved enzymes involved in perchlorate respiration: perchlorate reductase and chlorite dismutase. We determined the cross-reactivity, the working concentration, and the limit of detection of each antibody individually and in a multiplex format by Fluorescent Sandwich Microarray Immunoassay. Although most of them exhibited relatively high sensitivity and specificity, we applied a deconvolution method based on graph theory to discriminate between specific signals and cross-reactions from related microorganisms. We validated the system by analyzing multiple bacterial isolates, crude extracts from contaminated reactors and salt-rich natural samples from the high Arctic. The PRB detecting chip (PRBCHIP) allowed us to detect and classify environmental isolates as well as to detect similar strains by using crude extracts obtained from 0.5 g even from soils with low organic-matter levels (&lt;10(3) cells/g of soil). Our results demonstrated that PRBCHIP is a valuable tool for sensitive and reliable detection of perchlorate-reducing bacteria for research purposes, environmental monitoring and planetary exploration.</t>
  </si>
  <si>
    <t>[Gallardo-Carreno, Ignacio; Moreno-Paz, Mercedes; Aguirre, Jacobo; Blanco, Yolanda; Alonso-Pintado, Eduardo; Rivas, Luis A.; Parro, Victor] Ctr Astrobiol INTA CSIC, Dept Mol Evolut, Madrid, Spain; [Aguirre, Jacobo] CSIC, Ctr Nacl Biotecnol, Madrid, Spain; [Aguirre, Jacobo] Grp Interdisciplinar Sistemas Complejos GISC, Madrid, Spain; [Raymond-Bouchard, Isabelle; Maggiori, Catherine; Whyte, Lyle] McGill Univ, Dept Nat Resource Sci, Ste Anne De Bellevue, PQ, Canada; [Rivas, Luis A.] Inmunol &amp; Genet Aplicada SA INGENASA, Madrid, Spain; [Engelbrektson, Anna] Univ Calif Berkeley, Dept Plant &amp; Microbial Biol, Berkeley, CA 94720 USA</t>
  </si>
  <si>
    <t>Consejo Superior de Investigaciones Cientificas (CSIC); CSIC - Centro de Astrobiologia (INTA); Consejo Superior de Investigaciones Cientificas (CSIC); CSIC - Centro Nacional de Biotecnologia (CNB); McGill University; University of California System; University of California Berkeley</t>
  </si>
  <si>
    <t>Moreno-Paz, M (corresponding author), Ctr Astrobiol INTA CSIC, Dept Mol Evolut, Madrid, Spain.</t>
  </si>
  <si>
    <t>morenopm@cab.inta-csic.es</t>
  </si>
  <si>
    <t>Parro, Victor/K-3788-2014; Paz, Mercedes Moreno/F-3517-2015; Aguirre, Jacobo/K-5855-2014</t>
  </si>
  <si>
    <t>Moreno-Paz, Mercedes/0000-0003-1245-3253; Aguirre, Jacobo/0000-0003-2196-5103; Parro, Victor/0000-0003-3738-0724; Alonso Pintado, Eduardo/0000-0001-7850-5998; Rivas, Luis Alfonso/0000-0001-8392-3000</t>
  </si>
  <si>
    <t>Ministry of Economy and Competitiveness, (MINECO)/Fondo Europeo de Desarrollo Regional (FEDER) [AYA2011-24803, ESP2015-69540-R, RTI2018-094368-B-I00, MDM-2017-0737]; Unidad de Excelencia Maria de Maeztu, Centro de Astrobiologia (INTA-CSIC); Spanish MINECO project MiMevo [FIS2017 89773-P, SEV 2017-0712]</t>
  </si>
  <si>
    <t>Ministry of Economy and Competitiveness, (MINECO)/Fondo Europeo de Desarrollo Regional (FEDER); Unidad de Excelencia Maria de Maeztu, Centro de Astrobiologia (INTA-CSIC); Spanish MINECO project MiMevo</t>
  </si>
  <si>
    <t>This work was funded by the Ministry of Economy and Competitiveness, (MINECO)/Fondo Europeo de Desarrollo Regional (FEDER) grant numbers AYA2011-24803, ESP2015-69540-R, and RTI2018-094368-B-I00, and MDM-2017-0737 Unidad de Excelencia Maria de Maeztu, Centro de Astrobiologia (INTA-CSIC). JA was supported by the Spanish MINECO project MiMevo FIS2017 89773-P and SEV 2017-0712. IG-C was a FPI program fellowship (MINECO).</t>
  </si>
  <si>
    <t>DEC 16</t>
  </si>
  <si>
    <t>10.3389/fmicb.2020.590736</t>
  </si>
  <si>
    <t>PL9VY</t>
  </si>
  <si>
    <t>WOS:000603461400001</t>
  </si>
  <si>
    <t>Ghaderiardakani, F; Quartino, ML; Wichard, T</t>
  </si>
  <si>
    <t>Ghaderiardakani, Fatemeh; Quartino, Maria Liliana; Wichard, Thomas</t>
  </si>
  <si>
    <t>Microbiome-Dependent Adaptation of Seaweeds Under Environmental Stresses: A Perspective</t>
  </si>
  <si>
    <t>cross-kingdom interactions; holobiont ecology; green tide; macroalgae; microbiome; terrestrialization; Ulva mutabilis</t>
  </si>
  <si>
    <t>ULVA-MUTABILIS CHLOROPHYTA; TEMPERATURE REQUIREMENTS; MARINE MACROALGAE; GREEN MACROALGAE; BACTERIAL; SALINITY; GROWTH; ACCLIMATION; ANTARCTICA; ALGAE</t>
  </si>
  <si>
    <t>The microbiome of macroalgae facilitates their adaptation to environmental stress. As bacteria release algal growth and morphogenesis promoting factors (AGMPFs), which are necessary for the healthy development of macroalgae, bacteria play a crucial role in stress adaptation of bacterial-algal interactions. To better understand the level of macroalgal dependence on the microbiome under various stress factors such as light, temperature, salt, or micropollutants, we propose a reductionist analysis of a tripartite model system consisting of the axenic green alga Ulva (Chlorophyta) reinfected with two essential bacteria. This analysis will allow us to decipher the stress response of each symbiont within this cross-kingdom interaction. The paper highlights studies on possible survival strategies embedded in cross-kingdom interactions that govern the stress adaptation, including general features of metabolic pathways in the macroalgal host or more specific features such as alterations in the composition and/or diversity of bacterial assemblages within the microbiome community. Additionally, we present some preliminary results regarding the effect of recently isolated bacteria from the Potter Cove, King George Island (Isla 25 de Mayo) in Antarctica, on the model system Ulva mutabilis Foyn purified gametes. The results indicate that coldadapted bacteria release AGMPFs, inducing cell differentiation, and cell division in purified cultures. We propose that microbiome engineering can be used to increase the adaptability of macroalgae to stressful situations with implications for, e.g., the sustainable management of (land-based) aquaculture systems.</t>
  </si>
  <si>
    <t>[Ghaderiardakani, Fatemeh; Wichard, Thomas] Friedrich Schiller Univ Jena, Inst Inorgan &amp; Analyt Chem, Jena Sch Microbial Commun, Jena, Germany; [Quartino, Maria Liliana] Argentinean Antarctic Inst, Dept Coastal Biol, Buenos Aires, DF, Argentina</t>
  </si>
  <si>
    <t>Friedrich Schiller University of Jena</t>
  </si>
  <si>
    <t>Wichard, T (corresponding author), Friedrich Schiller Univ Jena, Inst Inorgan &amp; Analyt Chem, Jena Sch Microbial Commun, Jena, Germany.</t>
  </si>
  <si>
    <t>Thomas.Wichard@uni-jena.de</t>
  </si>
  <si>
    <t>Ghaderiardakani, Fatemeh/HGB-6725-2022; Wichard, Thomas/C-2794-2009</t>
  </si>
  <si>
    <t>Ghaderiardakani, Fatemeh/0000-0003-3497-8421</t>
  </si>
  <si>
    <t>Deutsche Forschungsgemeinschaft (DFG, German Research Foundation) [SPP 1158, 424256657, SFB 1127/2, 239748522]; ANPCyT-DNA [PICT 2017-2691]</t>
  </si>
  <si>
    <t>Deutsche Forschungsgemeinschaft (DFG, German Research Foundation)(German Research Foundation (DFG)); ANPCyT-DNA</t>
  </si>
  <si>
    <t>This work was supported by the Deutsche Forschungsgemeinschaft (DFG, German Research Foundation) in the framework of the priority program (SPP 1158) Antarctic Research with comparative investigations in Arctic ice areas (424256657, FG, and TW) and of SFB 1127/2 ChemBioSys (239748522, TW). MQ was funded by ANPCyT-DNA PICT 2017-2691.</t>
  </si>
  <si>
    <t>10.3389/fmars.2020.575228</t>
  </si>
  <si>
    <t>PH8ZX</t>
  </si>
  <si>
    <t>WOS:000600694500001</t>
  </si>
  <si>
    <t>Jumelet, J; Klekociuk, AR; Alexander, SP; Bekki, S; Hauchecorne, A; Vernier, JP; Fromm, M; Keckhut, P</t>
  </si>
  <si>
    <t>Jumelet, J.; Klekociuk, A. R.; Alexander, S. P.; Bekki, S.; Hauchecorne, A.; Vernier, J. P.; Fromm, M.; Keckhut, P.</t>
  </si>
  <si>
    <t>Detection of Aerosols in Antarctica From Long-Range Transport of the 2009 Australian Wildfires</t>
  </si>
  <si>
    <t>lidar; Antarctica; bushfires; aerosols</t>
  </si>
  <si>
    <t>FOREST-FIRE SMOKE; BLACK CARBON; STRATOSPHERIC OZONE; OPTICAL-PROPERTIES; LIDAR MEASUREMENTS; CLIMATE; MODEL; DUST; CLOUDS; CLASSIFICATION</t>
  </si>
  <si>
    <t>We analyze the long-range transport to high latitudes of a smoke particle filament originating from the extratropics plume after the Australian wildfires colloquially known as Black Saturday on 7 February and report the first Antarctic stratospheric lidar characterization of such aerosols. Using a high-resolution transport/microphysical model, we show that the monitoring cloud/aerosol lidar instrument operating at the French Antarctic station Dumont d'Urville (DDU, 66 degrees S to 140 degrees E) recorded a signature of those aerosols. The 532 nm scattering ratio of this filament is comparable to typical moderate stratospheric volcanic plume, with values between 1.4 and 1.6 on the first and third days of March above DDU station at around the 14 and 16 km altitude, respectively. A dedicated model is described and its ability to track down fine optical signatures is validated against Antarctic lidar elastic aerosol and DIAL ozone measurements. Using 1 month of tropical Cloud-Aerosol Lidar with Orthogonal Polarization (CALIOP) data to support a relatively simple microphysical scheme, we report modeled aerosol presence above DDU station after advection of the aerosol size distribution. In situ measurements also report associated positive ozone anomaly. This case study provides evidence that biomass burning events injecting significant amounts of material up to stratospheric altitudes can be transported toward high latitudes. We highlight a potential imprint of smoke particles on the Antarctic atmosphere over larger time scales. Any underestimation of the global impact of such deep particle transport will lead to uncertainties in modeling the associated chemical or radiative effects, especially in polar regions, where specific microphysical and chemical processes take place.</t>
  </si>
  <si>
    <t>[Jumelet, J.; Bekki, S.; Hauchecorne, A.; Keckhut, P.] LATMOS CNRS IPSL UPMC UVSQ, Paris, France; [Klekociuk, A. R.; Alexander, S. P.] Australian Antarctic Div, Kingston, Australia; [Vernier, J. P.] NASA, Langley Res Ctr, Hampton, VA 23665 USA; [Fromm, M.] Naval Res Lab, Washington, DC 20375 USA</t>
  </si>
  <si>
    <t>Australian Antarctic Division; National Aeronautics &amp; Space Administration (NASA); NASA Langley Research Center; United States Department of Defense; United States Navy; Naval Research Laboratory</t>
  </si>
  <si>
    <t>Jumelet, J (corresponding author), LATMOS CNRS IPSL UPMC UVSQ, Paris, France.</t>
  </si>
  <si>
    <t>julien.jumelet@latmos.ipsl.fr</t>
  </si>
  <si>
    <t>Hauchecorne, Alain/A-8489-2013; Keckhut, Philippe/AFO-0077-2022; bekki, slimane/J-7221-2015; Klekociuk, Andrew/A-4498-2015</t>
  </si>
  <si>
    <t>bekki, slimane/0000-0002-5538-0800; Hauchecorne, Alain/0000-0001-9888-6994; Alexander, Simon/0000-0001-6823-8857; Klekociuk, Andrew/0000-0003-3335-0034; Keckhut, Philippe/0000-0002-8110-4148; Fromm, Michael/0000-0002-0412-9202</t>
  </si>
  <si>
    <t>French Polar Institute (Institut Polaire Francais Paul-Emile Victor) [209]; Australian Antarctic Science [737, 3140, 4292]</t>
  </si>
  <si>
    <t>French Polar Institute (Institut Polaire Francais Paul-Emile Victor); Australian Antarctic Science</t>
  </si>
  <si>
    <t>Operations on the Dumont D'Urville station are supported by the French Polar Institute (Institut Polaire Francais Paul-Emile Victor), science project 209. This work was also performed within the EECLAT project (CNES-INSU). The lidar instrument is part of the NDACC international network and data are publicly available online at the NDACC/NOAA data archive (http://cds-espri.ipsl.fr/NDACC/instrument? methodName=viewDataDdu). The Davis lidar observations and data analysis were supported by Australian Antarctic Science projects 737, 3140, and 4292, and these data are publically available through the Australian Antarctic Data Centre (https://data.aad.gov.au/metadata/records/lidar).</t>
  </si>
  <si>
    <t>e2020JD032542</t>
  </si>
  <si>
    <t>10.1029/2020JD032542</t>
  </si>
  <si>
    <t>PG7VY</t>
  </si>
  <si>
    <t>WOS:000599939900019</t>
  </si>
  <si>
    <t>Santos, CLD; Masson-Delmotte, V; Casado, M; Fourré, E; Steen-Larsen, HC; Maturilli, M; Orsi, A; Berchet, A; Cattani, O; Minster, B; Gherardi, J; Landais, A</t>
  </si>
  <si>
    <t>Leroy-Dos Santos, C.; Masson-Delmotte, V.; Casado, M.; Fourre, E.; Steen-Larsen, H. C.; Maturilli, M.; Orsi, A.; Berchet, A.; Cattani, O.; Minster, B.; Gherardi, J.; Landais, A.</t>
  </si>
  <si>
    <t>A 4.5 Year-Long Record of Svalbard Water Vapor Isotopic Composition Documents Winter Air Mass Origin</t>
  </si>
  <si>
    <t>water isotopes; air mass origin; Arctic atmospheric circulation; Svalbard; synoptic events; moisture transport</t>
  </si>
  <si>
    <t>ATMOSPHERIC MOISTURE TRANSPORT; DEUTERIUM EXCESS; SEA-ICE; SURFACE SNOW; MIXING PROCESSES; PRECIPITATION; VARIABILITY; FRACTIONATION; TEMPERATURE; CIRCULATION</t>
  </si>
  <si>
    <t>From May 2014 to September 2018, a laser spectrometer analyzer provided a 4.5 years continuous record of water vapor isotopic composition at Ny-angstrom lesund (8 m above sea level, a.s.l.), Svalbard. It corresponds to the longest data set published in polar regions. A comparison of this data set with a parallel similar data set obtained during 20 days by a second laser spectrometer installed near Mount Zeppelin (474 m a.s.l.) shows that this data set is representative of a regional signal. In addition, the observation of insignificant diurnal cycles in the isotopic signal compared to the strong isotopic signature of synoptic events and the comparison of simultaneous measurements in the vapor and in rain or snow samples lead to the conclusion that our record reflects a large part of the regional dynamics of the atmospheric water cycle driven by large-scale variability. This study focuses on winters dominated by the occurrence of synoptic events associated with humidity peaks. Using statistics and back trajectories calculations, we link high humidity peaks characterized by an anticorrelation between delta O-18 and d-excess in the water vapor to a rapid shift of air mass source regions from the Arctic to the North Atlantic Ocean below 60 degrees N. On the other hand, correlation between delta O-18 and d-excess may be associated with a shift of air mass sources within the Arctic. These results demonstrate the added value of long-term water vapor isotopic monitoring to better understand the moisture origin in the Arctic and the atmospheric dynamics.</t>
  </si>
  <si>
    <t>[Leroy-Dos Santos, C.; Masson-Delmotte, V.; Fourre, E.; Orsi, A.; Berchet, A.; Cattani, O.; Minster, B.; Gherardi, J.; Landais, A.] UMR CEA CNRS UVSQ IPSL, Lab Sci Climat &amp; Environm, Gif Sur Yvette, France; [Casado, M.] Helmholtz Ctr Polar &amp; Marine Res Bremerhaven, Alfred Wegener Inst, Bremerhaven, Germany; [Steen-Larsen, H. C.] Univ Bergen, Geophys Inst, Bergen, Norway; [Maturilli, M.] Helmholtz Ctr Polar &amp; Marine Res, Alfred Wegener Inst, Potsdam, Germany</t>
  </si>
  <si>
    <t>CEA; Centre National de la Recherche Scientifique (CNRS); Universite Paris Saclay; Helmholtz Association; Alfred Wegener Institute, Helmholtz Centre for Polar &amp; Marine Research; University of Bergen; Helmholtz Association; Alfred Wegener Institute, Helmholtz Centre for Polar &amp; Marine Research</t>
  </si>
  <si>
    <t>Santos, CLD (corresponding author), UMR CEA CNRS UVSQ IPSL, Lab Sci Climat &amp; Environm, Gif Sur Yvette, France.</t>
  </si>
  <si>
    <t>christophe.leroy-dos-santos@lsce.ipsl.fr</t>
  </si>
  <si>
    <t>Masson-Delmotte, Valerie L/G-1995-2011; Leroy-Dos Santos, Christophe/AAM-6087-2021; Steen-Larsen, Hans Christian/F-9927-2013; Maturilli, Marion/A-4344-2017</t>
  </si>
  <si>
    <t>Masson-Delmotte, Valerie L/0000-0001-8296-381X; Leroy-Dos Santos, Christophe/0000-0002-0051-7507; Berchet, Antoine/0000-0001-6709-0125; Orsi, Anais/0000-0001-5511-3940; Steen-Larsen, Hans Christian/0000-0002-7202-5907; Maturilli, Marion/0000-0001-6818-7383; Casado, Mathieu/0000-0002-8185-415X; FOURRE, Elise/0000-0002-2554-9660</t>
  </si>
  <si>
    <t>IPEV ARCTISO project; ANR; LEFE program ADELISE; Fondation Prince Albert 2 de Monaco</t>
  </si>
  <si>
    <t>IPEV ARCTISO project; ANR(Agence Nationale de la Recherche (ANR)); LEFE program ADELISE; Fondation Prince Albert 2 de Monaco</t>
  </si>
  <si>
    <t>This work was supported by the IPEV ARCTISO project, the ANR projects AC-AHC2, GREENLAND, EAIIST, and the LEFE program ADELISE. It was also funded by the Fondation Prince Albert 2 de Monaco under the project Antarctic-Snow. We thank Nick Hughes, from the Norwegian Meteorological Institute, for sharing sea ice observations, as well as Ove Hermansen from the Norwegian Institute for Air Research on behalf of the Norwegian Environment Agency. We acknowledge the staff from AWIPEV who took care of the experiment for almost 5 years and collected precipitation every day. We also thank two anonymous reviewers for their very useful comments regarding this paper.</t>
  </si>
  <si>
    <t>e2020JD032681</t>
  </si>
  <si>
    <t>10.1029/2020JD032681</t>
  </si>
  <si>
    <t>WOS:000599939900017</t>
  </si>
  <si>
    <t>Wachter, P; Beck, C; Philipp, A; Höppner, K; Jacobeit, J</t>
  </si>
  <si>
    <t>Wachter, Paul; Beck, Christoph; Philipp, Andreas; Hoeppner, Kathrin; Jacobeit, Jucundus</t>
  </si>
  <si>
    <t>Spatiotemporal Variability of the Southern Annular Mode and its Influence on Antarctic Surface Temperatures</t>
  </si>
  <si>
    <t>Southern Annular Mode; SAM pattern variability; Antarctic circulation variability; Antarctic station temperature; PDO; AMO</t>
  </si>
  <si>
    <t>ATLANTIC MULTIDECADAL OSCILLATION; PART I; CLIMATE; PENINSULA; ENSO; SAM; CIRCULATION; SIGNATURES; TROPICS; TRENDS</t>
  </si>
  <si>
    <t>The Southern Annular Mode (SAM) is the predominant atmospheric variability mode in the Southern Hemisphere. In this paper, we present the spatial variability results of the SAM pattern for the period 1979-2018. The SAM-intrinsic pattern variability analysis is based on the principal component analysis (PCA), which is carried out for the ERA-Interim 500 hPa geopotential height (GPH) data set. A spatiotemporally resolved data set of SAM pattern maps (PCA loadings) is derived by projecting monthly shifted sub-sequences of SAM index values (PCA scores) on the corresponding GPH anomalies. The dominant SAM structure within single pattern fields is mapped automatically and can be interpreted as the Southern Hemisphere polar front. This data set allows an analysis of the geographical positions of the characteristic circumpolar SAM structure over four decades and shows considerable variability over space and time. Five different states of SAM patterns, which are associated with characteristic circulation anomalies during different phases of the study period, are identified. Station-based Antarctic temperature anomalies can be synoptically explained by these circulation anomalies. The overall latitudinal trend of the SAM pattern indicates an intensification of the meridional structure, especially over the East Antarctic Southern Ocean. Furthermore, we show that the SAM pattern variability is significantly correlated with the Pacific Decadal Oscillation and the Atlantic Multidecadal Oscillation. Composites of 500 hPa GPH anomalies during the positive and negative phases of the respective indices indicate teleconnections with Pacific Decadal Oscillation and Atlantic Multidecadal Oscillation, and this can explain latitudinal trends of the SAM pattern.</t>
  </si>
  <si>
    <t>[Wachter, Paul] German Aerosp Ctr DLR, German Remote Sensing Data Ctr DFD, Wessling, Germany; [Beck, Christoph; Philipp, Andreas; Jacobeit, Jucundus] Augsburg Univ, Inst Geog, Augsburg, Germany; [Hoeppner, Kathrin] German Aerosp Ctr DLR, Inst Dev Space Res &amp; Technol VO IR, Cologne, Germany</t>
  </si>
  <si>
    <t>Wachter, P (corresponding author), German Aerosp Ctr DLR, German Remote Sensing Data Ctr DFD, Wessling, Germany.</t>
  </si>
  <si>
    <t>paul.wachter@dlr.de</t>
  </si>
  <si>
    <t>Beck, Christoph/B-1690-2009; Philipp, Andreas/B-1670-2009</t>
  </si>
  <si>
    <t>Wachter, Paul/0000-0002-8303-1675; Philipp, Andreas/0000-0001-7010-6140</t>
  </si>
  <si>
    <t>DLR Management Board Young Investigator Group Leader Program; Projekt DEAL</t>
  </si>
  <si>
    <t>The authors would like to gratefully acknowledge the financial support and endorsement from the DLR Management Board Young Investigator Group Leader Program. We would also like to thank the three anonymous reviewers for their valuable feedback. Open access funding enabled and organized by Projekt DEAL.</t>
  </si>
  <si>
    <t>e2020JD033818</t>
  </si>
  <si>
    <t>10.1029/2020JD033818</t>
  </si>
  <si>
    <t>WOS:000599939900007</t>
  </si>
  <si>
    <t>Kastinen, D; Kero, J</t>
  </si>
  <si>
    <t>Kastinen, Daniel; Kero, Johan</t>
  </si>
  <si>
    <t>Probabilistic analysis of ambiguities in radar echo direction of arrival from meteors</t>
  </si>
  <si>
    <t>MU RADAR; RADIATION-PATTERN; OBSERVATION PROGRAM; SHOWER METEORS; MST RADAR; SYSTEM; ANTENNA; ORBIT; VALIDATION; RADIANT</t>
  </si>
  <si>
    <t>Meteors and hard targets produce coherent radar echoes. If measured with an interferometric radar system, these echoes can be used to determine the position of the target through finding the direction of arrival (DOA) of the incoming echo onto the radar. Depending on the spatial configuration of radar-receiving antennas and their individual gain patterns, there may be an ambiguity problem when determining the DOA of an echo. Radars that are theoretically ambiguity-free are known to still have ambiguities that depend on the total radar signal-to-noise ratio (SNR). In this study, we investigate robust methods which are easy to implement to determine the effect of ambiguities on any hard target DOA determination by interferometric radar systems. We apply these methods specifically to simulate four different radar systems measuring meteor head and trail echoes, using the multiple signal classification (MUSIC) DOA determination algorithm. The four radar systems are the Middle And Upper Atmosphere (MU) radar in Japan, a generic Jones 2.5 lambda specular meteor trail radar configuration, the Middle Atmosphere Alomar Radar System (MAARSY) radar in Norway and the Program of the Antarctic Syowa Mesosphere Stratosphere Troposphere Incoherent Scatter (PANSY) radar in the Antarctic. We also examined a slightly perturbed Jones 2.5 lambda configuration used as a meteor trail echo receiver for the PANSY radar. All the results are derived from simulations, and their purpose is to grant understanding of the behaviour of DOA determination. General results are as follows: there may be a region of SNRs where ambiguities are relevant; Monte Carlo simulation determines this region and if it exists; the MUSIC function peak value is directly correlated with the ambiguous region; a Bayesian method is presented that may be able to analyse echoes from this region; the DOA of echoes with SNRs larger than this region are perfectly determined; the DOA of echoes with SNRs smaller than this region completely fail to be determined; the location of this region is shifted based on the total SNR versus the channel SNR in the direction of the target; and asymmetric subgroups can cause ambiguities, even for ambiguity-free radars. For a DOA located at the zenith, the end of the ambiguous region is located at 17 dB SNR for the MU radar and 3 dB SNR for the PANSY radar. The Jones radars are usually used to measure specular trail echoes far from zenith. The ambiguous region for a DOA at 75.5 degrees elevation and 0 degrees azimuth ends at 12 dB SNR. Using the Bayesian method, it may be possible to analyse echoes down to 4 dB SNR for the Jones configuration when given enough data points from the same target. The PANSY meteor trail echo receiver did not deviate significantly from the generic Jones configuration. The MAARSY radar could not resolve arbitrary DOAs su degrees ciently well enough to determine a stable region. However, if the DOA search is restricted to 70 degrees elevation or above by assumption, stable DOA determination occurs above 15 dB SNR.</t>
  </si>
  <si>
    <t>[Kastinen, Daniel; Kero, Johan] Swedish Inst Space Phys IRF, S-98128 Kiruna, Sweden; [Kastinen, Daniel] Umea Univ, Dept Phys, S-90187 Umea, Sweden</t>
  </si>
  <si>
    <t>Umea University</t>
  </si>
  <si>
    <t>Kastinen, D (corresponding author), Swedish Inst Space Phys IRF, S-98128 Kiruna, Sweden.;Kastinen, D (corresponding author), Umea Univ, Dept Phys, S-90187 Umea, Sweden.</t>
  </si>
  <si>
    <t>daniel.kastinen@irf.se</t>
  </si>
  <si>
    <t>Kastinen, Daniel/0000-0002-6371-1016</t>
  </si>
  <si>
    <t>10.5194/amt-13-6813-2020</t>
  </si>
  <si>
    <t>PG9WN</t>
  </si>
  <si>
    <t>WOS:000600076600002</t>
  </si>
  <si>
    <t>Rodehacke, CB; Pfeiffer, M; Semmler, T; Gurses, Ö; Kleiner, T</t>
  </si>
  <si>
    <t>Rodehacke, Christian B.; Pfeiffer, Madlene; Semmler, Tido; Gurses, Oezguer; Kleiner, Thomas</t>
  </si>
  <si>
    <t>Future sea level contribution from Antarctica inferred from CMIP5 model forcing and its dependence on precipitation ansatz</t>
  </si>
  <si>
    <t>EARTH SYSTEM DYNAMICS</t>
  </si>
  <si>
    <t>EARTHS ENERGY IMBALANCE; SURFACE MASS-BALANCE; MARINE-ICE-SHEET; BASAL MELT RATES; HISTORICAL BIAS; CLIMATE-CHANGE; PINE ISLAND; SHELF; PENINSULA; RETREAT</t>
  </si>
  <si>
    <t>Various observational estimates indicate growing mass loss at Antarctica's margins as well as heavier precipitation across the continent. Simulated future projections reveal that heavier precipitation, falling on Antarctica, may counteract amplified iceberg discharge and increased basal melting of floating ice shelves driven by a warming ocean. Here, we test how the ansatz (implementation in a mathematical framework) of the precipitation boundary condition shapes Antarctica's sea level contribution in an ensemble of ice sheet simulations. We test two precipitation conditions: we either apply the precipitation anomalies from CMIP5 models directly or scale the precipitation by the air temperature anomalies from the CMIP5 models. In the scaling approach, it is common to use a relative precipitation increment per degree warming as an invariant scaling constant. We use future climate projections from nine CMIP5 models, ranging from strong mitigation efforts to business-as-usual scenarios, to perform simulations from 1850 to 5000. We take advantage of individual climate projections by exploiting their full temporal and spatial structure. The CMIP5 projections beyond 2100 are prolonged with reiterated forcing that includes decadal variability; hence, our study may underestimate ice loss after 2100. In contrast to various former studies that apply an evolving temporal forcing that is spatially averaged across the entire Antarctic Ice Sheet, our simulations consider the spatial structure in the forcing stemming from various climate patterns. This fundamental difference reproduces regions of decreasing precipitation despite general warming. Regardless of the boundary and forcing conditions applied, our ensemble study suggests that some areas, such as the glaciers from the West Antarctic Ice Sheet draining into the Amundsen Sea, will lose ice in the future. In general, the simulated ice sheet thickness grows along the coast, where incoming storms deliver topographically controlled precipitation. In this region, the ice thickness differences are largest between the applied precipitation methods. On average, Antarctica shrinks for all future scenarios if the air temperature anomalies scale the precipitation. In contrast, Antarctica gains mass in our simulations if we apply the simulated precipitation anomalies directly. The analysis reveals that the mean scaling inferred from climate models is larger than the commonly used values deduced from ice cores; moreover, it varies spatially: the highest scaling is across the East Antarctic Ice Sheet, and the lowest scaling is around the Siple Coast, east of the Ross Ice Shelf. The discrepancies in response to both precipitation ansatzes illustrate the principal uncertainty in projections of Antarctica's sea level contribution.</t>
  </si>
  <si>
    <t>[Rodehacke, Christian B.; Pfeiffer, Madlene; Semmler, Tido; Gurses, Oezguer; Kleiner, Thomas] Alfred Wegener Inst, Helmholtz Ctr Polar &amp; Marine Res, D-27570 Bremerhaven, Germany; [Rodehacke, Christian B.] Danish Meteorol Inst, DK-2100 Copenhagen, Denmark</t>
  </si>
  <si>
    <t>Helmholtz Association; Alfred Wegener Institute, Helmholtz Centre for Polar &amp; Marine Research; Danish Meteorological Institute DMI</t>
  </si>
  <si>
    <t>Rodehacke, CB (corresponding author), Alfred Wegener Inst, Helmholtz Ctr Polar &amp; Marine Res, D-27570 Bremerhaven, Germany.;Rodehacke, CB (corresponding author), Danish Meteorol Inst, DK-2100 Copenhagen, Denmark.</t>
  </si>
  <si>
    <t>christian.rodehacke@awi.de</t>
  </si>
  <si>
    <t>Kleiner, Thomas/F-6821-2015; Semmler, Tido/B-7666-2017</t>
  </si>
  <si>
    <t>Kleiner, Thomas/0000-0001-7825-5765; Semmler, Tido/0000-0002-2254-4901; Rodehacke, Christian/0000-0003-3110-3857; Gurses, Ozgur/0000-0002-0646-5760</t>
  </si>
  <si>
    <t>German Federal Ministry of Education and Research (Bundesministerium fur Bildung und Forschung: BMBF) project ZUWEISS [01LS1612A]; BMBF [01LP1503B]; Alfred Wegener Institute's PACES2 research program</t>
  </si>
  <si>
    <t>German Federal Ministry of Education and Research (Bundesministerium fur Bildung und Forschung: BMBF) project ZUWEISS(Federal Ministry of Education &amp; Research (BMBF)); BMBF(Federal Ministry of Education &amp; Research (BMBF)); Alfred Wegener Institute's PACES2 research program</t>
  </si>
  <si>
    <t>This work has been financed through the German Federal Ministry of Education and Research (Bundesministerium fur Bildung und Forschung: BMBF) project ZUWEISS (grant no. 01LS1612A). Parts of this work have been supported by BMBF grant no. 01LP1503B (project PalMod1.2). CBR acknowledges funding via the Alfred Wegener Institute's PACES2 research program.</t>
  </si>
  <si>
    <t>2190-4979</t>
  </si>
  <si>
    <t>2190-4987</t>
  </si>
  <si>
    <t>EARTH SYST DYNAM</t>
  </si>
  <si>
    <t>Earth Syst. Dynam.</t>
  </si>
  <si>
    <t>10.5194/esd-11-1153-2020</t>
  </si>
  <si>
    <t>PG9WQ</t>
  </si>
  <si>
    <t>WOS:000600076900001</t>
  </si>
  <si>
    <t>Androsiuk, P; Chwedorzewska, KJ; Dulska, J; Milarska, S; Gielwanowska, I</t>
  </si>
  <si>
    <t>Androsiuk, Piotr; Chwedorzewska, Katarzyna J.; Dulska, Justyna; Milarska, Sylwia; Gielwanowska, Irena</t>
  </si>
  <si>
    <t>Retrotransposon-based genetic diversity of Deschampsia antarctica Desv. from King George Island (Maritime Antarctic)</t>
  </si>
  <si>
    <t>Antarctic hairgrass; Antarctica; genetic diversity; iPBS; King George Island</t>
  </si>
  <si>
    <t>PRIMER BINDING-SITE; TRANSPOSABLE ELEMENTS; CLIMATE-CHANGE; ENVIRONMENTAL-CHANGES; POPULATION-STRUCTURE; E. DESV.; VARIABILITY; DIFFERENTIATION; SOFTWARE; VEGETATION</t>
  </si>
  <si>
    <t>Deschampsia antarctica Desv. can be found in diverse Antarctic habitats which may vary considerably in terms of environmental conditions and soil properties. As a result, the species is characterized by wide ecotypic variation in terms of both morphological and anatomical traits. The species is a unique example of an organism that can successfully colonize inhospitable regions due to its phenomenal ability to adapt to both the local mosaic of microhabitats and to general climatic fluctuations. For this reason, D. antarctica has been widely investigated in studies analyzing morphophysiological and biochemical responses to various abiotic stresses (frost, drought, salinity, increased UV radiation). However, there is little evidence to indicate whether the observed polymorphism is accompanied by the corresponding genetic variation. In the present study, retrotransposon-based iPBS markers were used to trace the genetic variation of D. antarctica collected in nine sites of the Arctowski oasis on King George Island (Western Antarctic). The genotyping of 165 individuals from nine populations with seven iPBS primers revealed 125 amplification products, 15 of which (12%) were polymorphic, with an average of 5.6% polymorphic fragments per population. Only one of the polymorphic fragments, observed in population 6, was represented as a private band. The analyzed specimens were characterized by low genetic diversity (uH(e) = 0.021, I = 0.030) and high population differentiation (F-ST = 0.4874). An analysis of Fu's F-S statistics and mismatch distribution in most populations (excluding population 2, 6 and 9) revealed demographic/spatial expansion, whereas significant traces of reduction in effective population size were found in three populations (1, 3 and 5). The iPBS markers revealed genetic polymorphism of D. antarctica, which could be attributed to the mobilization of random transposable elements, unique features of reproductive biology, and/or geographic location of the examined populations.</t>
  </si>
  <si>
    <t>[Androsiuk, Piotr; Dulska, Justyna; Milarska, Sylwia; Gielwanowska, Irena] Univ Warmia &amp; Mazury, Fac Biol &amp; Biotechnol, Dept Plant Physiol Genet &amp; Biotechnol, Ul M Oczapowskiego 1A, PL-10719 Olsztyn, Poland; [Chwedorzewska, Katarzyna J.] Warsaw Univ Life Sci SGGW, Dept Agron, Warsaw, Poland</t>
  </si>
  <si>
    <t>University of Warmia &amp; Mazury; Warsaw University of Life Sciences</t>
  </si>
  <si>
    <t>Androsiuk, P (corresponding author), Univ Warmia &amp; Mazury, Fac Biol &amp; Biotechnol, Dept Plant Physiol Genet &amp; Biotechnol, Ul M Oczapowskiego 1A, PL-10719 Olsztyn, Poland.</t>
  </si>
  <si>
    <t>piotr.androsiuk@uwm.edu.pl</t>
  </si>
  <si>
    <t>Chwedorzewska, Katarzyna J/A-9480-2008; Chwedorzewska, Katarzyna/M-9721-2019; Androsiuk, Piotr/M-6175-2019</t>
  </si>
  <si>
    <t>Chwedorzewska, Katarzyna/0000-0001-6860-3666; Androsiuk, Piotr/0000-0002-1851-3192; Gielwanowska, Irena/0000-0002-9001-1285; Milarska, Sylwia/0000-0001-7523-3974</t>
  </si>
  <si>
    <t>10.1002/ece3.7095</t>
  </si>
  <si>
    <t>PO9BV</t>
  </si>
  <si>
    <t>WOS:000598913100001</t>
  </si>
  <si>
    <t>Li, XP</t>
  </si>
  <si>
    <t>Li, Xueping</t>
  </si>
  <si>
    <t>Shall the forthcoming Chinese Antarctic law be obligation-oriented?</t>
  </si>
  <si>
    <t>Antarctic Treaty System; Chinese Antarctic activities; Chinese Antarctic legislation; normative analysis; obligation‐ orientation; public good in Antarctica</t>
  </si>
  <si>
    <t>China has set forth on making its Antarctic law after a long time of ferment. This forthcoming law should refer to the most suitable Chinese theoretical standards of law-making. It should also clarify China's domestic and international legal dimensions and the doctrine of rights shaped by obligations in the Antarctic Treaty System. All of which determine that this new law shall have the nature of obligation-orientation and will have high impact on Chinese Antarctic activities in the future, though leaving possible drawbacks relevant to the suspended issues under the Antarctic Treaty System.</t>
  </si>
  <si>
    <t>[Li, Xueping] Wuhan Univ, Inst Int Law, Sch Law, Wuhan, Peoples R China</t>
  </si>
  <si>
    <t>Li, XP (corresponding author), Wuhan Univ, Inst Int Law, Sch Law, Wuhan, Peoples R China.</t>
  </si>
  <si>
    <t>lixueping@whu.edu.cn</t>
  </si>
  <si>
    <t>Research Council of Norway [267692]</t>
  </si>
  <si>
    <t>Research Council of Norway(Research Council of Norway)</t>
  </si>
  <si>
    <t>This work is generously supported by the Research Council of Norway under the project named Political Philosophy Looks to Antarctica (No. 267692). The author would like to thank Associate Professor Alejandra Mancilla and the reviewers for their valuable comments and suggestions, but she takes sole responsibility for her views.</t>
  </si>
  <si>
    <t>10.1111/geoj.12369</t>
  </si>
  <si>
    <t>WOS:000599071600001</t>
  </si>
  <si>
    <t>Aponte, JC; Elsila, JE; Hein, JE; Dworkin, JP; Glavin, DP; McLain, HL; Parker, ET; Cao, T; Berger, EL; Burton, AS</t>
  </si>
  <si>
    <t>Aponte, Jose C.; Elsila, Jamie E.; Hein, Jason E.; Dworkin, Jason P.; Glavin, Daniel P.; McLain, Hannah L.; Parker, Eric T.; Cao, Timothy; Berger, Eve L.; Burton, Aaron S.</t>
  </si>
  <si>
    <t>Analysis of amino acids, hydroxy acids, and amines in CR chondrites</t>
  </si>
  <si>
    <t>METEORITICS &amp; PLANETARY SCIENCE</t>
  </si>
  <si>
    <t>COMPOUND-SPECIFIC CARBON; WEIGHT ALIPHATIC-AMINES; MURCHISON METEORITE; PARTICULATE MATTER; AQUEOUS ALTERATION; ISOTOPIC-RATIOS; AMBIENT AIR; GAS; CM; NUCLEOBASES</t>
  </si>
  <si>
    <t>The abundances, relative distributions, and enantiomeric and isotopic compositions of amines, amino acids, and hydroxy acids in Miller Range (MIL) 090001 and MIL 090657 meteorites were determined. Chiral distributions and isotopic compositions confirmed that most of the compounds detected were indigenous to the meteorites and not the result of terrestrial contamination. Combined with data in the literature, suites of these compounds have now been analyzed in a set of six CR chondrites, spanning aqueous alteration types 2.0-2.8. Amino acid abundances ranged from 17 to 3300 nmol g(-1) across the six CRs; hydroxy acid abundances ranged from 180 to 1800 nmol g(-1); and amine abundances ranged from 40 to 2100 nmol g(-1). For amino acids and amines, the weakly altered chondrites contained the highest abundances, whereas hydroxy acids were most abundant in the more altered CR2.0 chondrite. Because water contents in the meteorites are orders of magnitude greater than soluble organics, synthesis of hydroxy acids, which requires water, may be less affected by aqueous alteration than amines and amino acids that require nitrogen-bearing precursors. Two chiral amino acids that were plausibly extraterrestrial in origin were present with slight enantiomeric excesses: L-isovaline (similar to 10% excess) and D-beta-amino-n-butyric acid (similar to 9% excess); further studies are needed to verify that the chiral excess in the latter compound is truly extraterrestrial in origin. The isotopic compositions of compounds reported here did not reveal definitive links between the different compound classes such as common synthetic precursors, but will provide a framework for further future in-depth analyses.</t>
  </si>
  <si>
    <t>[Aponte, Jose C.] Catholic Univ Amer, Dept Chem, Washington, DC 20064 USA; [Aponte, Jose C.; Elsila, Jamie E.; Dworkin, Jason P.; Glavin, Daniel P.; McLain, Hannah L.; Parker, Eric T.] NASA, Goddard Space Flight Ctr, Solar Syst Explorat Div, Greenbelt, MD 20771 USA; [Hein, Jason E.] Univ British Columbia, Vancouver, BC V6T 1Z2, Canada; [Cao, Timothy] Univ Calif, Dept Chem, Merced, CA 95343 USA; [Berger, Eve L.] Texas State Univ, Astromat Res &amp; Explorat Sci Div, Jacobs JETS Contract, NASA,Johnson Space Ctr, Houston, TX 77058 USA; [Burton, Aaron S.] NASA, Johnson Space Ctr, Astromat Res &amp; Explorat Sci Div, Houston, TX 77058 USA</t>
  </si>
  <si>
    <t>Catholic University of America; National Aeronautics &amp; Space Administration (NASA); NASA Goddard Space Flight Center; University of British Columbia; University of California System; University of California Merced; National Aeronautics &amp; Space Administration (NASA); Texas State University System; Texas State University San Marcos; National Aeronautics &amp; Space Administration (NASA); NASA Johnson Space Center</t>
  </si>
  <si>
    <t>Burton, AS (corresponding author), NASA, Johnson Space Ctr, Astromat Res &amp; Explorat Sci Div, Houston, TX 77058 USA.</t>
  </si>
  <si>
    <t>aaron.burton@nasa.gov</t>
  </si>
  <si>
    <t>Aponte, Jose C./B-9091-2013; Dworkin, Jason P./C-9417-2012; Glavin, Daniel P/D-6194-2012</t>
  </si>
  <si>
    <t>Dworkin, Jason P./0000-0002-3961-8997; Glavin, Daniel P/0000-0001-7779-7765; Elsila, Jamie/0000-0002-0008-2590; Burton, Aaron/0000-0002-1194-4336</t>
  </si>
  <si>
    <t>NSF; NASA; NASA's Planetary Science Division and Exobiology; NASA Astrobiology Institute; Goddard Center for Astrobiology; Simons Foundation [302497]; NASA's Early Career Fellowship; NASA Postdoctoral Program at the Goddard Space Flight Center</t>
  </si>
  <si>
    <t>NSF(National Science Foundation (NSF)); NASA(National Aeronautics &amp; Space Administration (NASA)); NASA's Planetary Science Division and Exobiology; NASA Astrobiology Institute; Goddard Center for Astrobiology; Simons Foundation; NASA's Early Career Fellowship; NASA Postdoctoral Program at the Goddard Space Flight Center</t>
  </si>
  <si>
    <t>U.S. Antarctic meteorite samples are recovered by the Antarctic Search for Meteorites (ANSMET) program, which has been funded by NSF and NASA, with the recovered meteorites subsequently characterized and curated by the Department of Mineral Sciences of the Smithsonian Institution and Astromaterials Curation Office at NASA Johnson Space Center. The authors thank NASA's Planetary Science Division and Exobiology for funding for this work as well as support from the NASA Astrobiology Institute and the Goddard Center for Astrobiology, and a grant from the Simons Foundation (SCOL award 302497 to J.P.D.). A.S.B. acknowledges NASA's Early Career Fellowship and support from the NASA Postdoctoral Program at the Goddard Space Flight Center, administered by Oak Ridge Associated Universities. The authors also thank the reviewers for their insightful and constructive comments that helped us to improve the manuscript.</t>
  </si>
  <si>
    <t>1086-9379</t>
  </si>
  <si>
    <t>1945-5100</t>
  </si>
  <si>
    <t>METEORIT PLANET SCI</t>
  </si>
  <si>
    <t>Meteorit. Planet. Sci.</t>
  </si>
  <si>
    <t>10.1111/maps.13586</t>
  </si>
  <si>
    <t>PM8MB</t>
  </si>
  <si>
    <t>WOS:000599191500001</t>
  </si>
  <si>
    <t>Patterson, M; Woollings, T; Bracegirdle, TJ; Lewis, NT</t>
  </si>
  <si>
    <t>Patterson, Matthew; Woollings, Tim; Bracegirdle, Thomas J.; Lewis, Neil T.</t>
  </si>
  <si>
    <t>Wintertime Southern Hemisphere Jet Streams Shaped by Interaction of Transient Eddies with Antarctic Orography</t>
  </si>
  <si>
    <t>Antarctica; Southern Hemisphere; Atmospheric circulation; Rossby waves; Jets; Primitive equations model</t>
  </si>
  <si>
    <t>The wintertime Southern Hemisphere extratropical circulation exhibits considerable zonal asymmetries. We investigate the roles of various surface boundary conditions in shaping the mean state using a semi-realistic, atmosphere-only climate model. We find, in agreement with previous literature, that tropical sea surface temperature (SST) patterns are an important contributor to the mean state, while midlatitude SSTs and sea ice extent play a smaller role. Our main finding is that Antarctic orography has a first-order effect on the structure of the midlatitude circulation. In the absence of Antarctic orography, equatorward eddy momentum fluxes associated with the orography are removed and hence convergence of eddy momentum in midlatitudes is reduced. This weakens the Indian Ocean jet, making Rossby wave propagation downstream to the South Pacific less favorable. Consequently, the flow stagnates over the mid- to high-latitude South Pacific and the characteristic split jet pattern is destroyed. Removing Antarctic orography also results in a substantial warming over East Antarctica partly because transient eddies are able to penetrate farther poleward, enhancing poleward heat transport. However, experiments in which a high-latitude cooling is applied indicate that these temperature changes are not the primary driver of circulation changes in the midlatitudes. Instead, we invoke a simple barotropic mechanism in which the orographic slope creates an effective potential vorticity gradient that alters the eddy momentum flux.</t>
  </si>
  <si>
    <t>[Patterson, Matthew; Woollings, Tim; Lewis, Neil T.] Univ Oxford, Atmospher Ocean &amp; Planetary Phys, Oxford, England; [Bracegirdle, Thomas J.] British Antarctic Survey, Cambridge, England</t>
  </si>
  <si>
    <t>University of Oxford; UK Research &amp; Innovation (UKRI); Natural Environment Research Council (NERC); NERC British Antarctic Survey</t>
  </si>
  <si>
    <t>Patterson, M (corresponding author), Univ Oxford, Atmospher Ocean &amp; Planetary Phys, Oxford, England.</t>
  </si>
  <si>
    <t>matthew.patterson@physics.ox.ac.uk</t>
  </si>
  <si>
    <t>Lewis, Neil/0000-0002-3724-5728</t>
  </si>
  <si>
    <t>Natural Environment Research Council [NE/L002612/1]; Natural Environment Research Council through the British Antarctic Survey research programme Polar Science for Planet Earth; Science and Technology Facilities Council [ST/S505638/1]; NERC [bas0100032] Funding Source: UKRI; STFC [ST/S505638/1] Funding Source: UKRI</t>
  </si>
  <si>
    <t>Natural Environment Research Council(UK Research &amp; Innovation (UKRI)Natural Environment Research Council (NERC)); Natural Environment Research Council through the British Antarctic Survey research programme Polar Science for Planet Earth;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</si>
  <si>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We thank three anonymous reviewers for their comments and suggestions that improved the manuscript. We also thank Ronald Li and Chris O'Reilly for helpful discussions on this work. Finally, we thankECMWFfor the use of ERA-Interim reanalysis data, which was downloaded from the ECMWF website (https://www.ecmwf.int/en/forecasts/datasets/browse-reanalysis-datasets).Model data from the simulations in this study is available from the authors upon request. Matthew Patterson was funded by the Natural Environment Research Council (Grant NE/L002612/1), while Tom Bracegirdle was also supported by the Natural Environment Research Council through the British Antarctic Survey research programme Polar Science for Planet Earth. Neil Lewis was funded by the Science and Technology Facilities Council (Grant ST/S505638/1).</t>
  </si>
  <si>
    <t>DEC 15</t>
  </si>
  <si>
    <t>10.1175/JCLI-D-20-0153.1</t>
  </si>
  <si>
    <t>QC9UK</t>
  </si>
  <si>
    <t>WOS:000615175200008</t>
  </si>
  <si>
    <t>Boisvert, LN; Webster, MA; Petty, AA; Markus, T; Cullather, RI; Bromwich, DH</t>
  </si>
  <si>
    <t>Boisvert, Linette N.; Webster, Melinda A.; Petty, Alek A.; Markus, Thorsten; Cullather, Richard, I; Bromwich, David H.</t>
  </si>
  <si>
    <t>Intercomparison of Precipitation Estimates over the Southern Ocean from Atmospheric Reanalyses</t>
  </si>
  <si>
    <t>Atmosphere; Southern Ocean; Precipitation; Rainfall; Snowfall; Reanalysis data</t>
  </si>
  <si>
    <t>SEA-SURFACE TEMPERATURE; HIGH-LATITUDE PRECIPITATION; FRESH-WATER; DEEP CONVECTION; IN-SITU; ICE; CLOUD; SNOWFALL; ANTARCTICA; RADAR</t>
  </si>
  <si>
    <t>Precipitation is a major component of the hydrologic cycle and plays a significant role in the sea ice mass balance in the polar regions. Over the Southern Ocean, precipitation is particularly uncertain due to the lack of direct observations in this remote and harsh environment. Here we demonstrate that precipitation estimates from eight global reanalyses produce similar spatial patterns between 2000 and 2010, although their annual means vary by about 250 mm yr(-1) (or 26% of the median values) and there is little similarity in their representation of interannual variability. ERA-Interim produces the smallest and CFSR produces the largest amount of precipitation overall. Rainfall and snowfall are partitioned in five reanalyses; snowfall suffers from the same issues as the total precipitation comparison, with ERA-Interim producing about 128 mm less snowfall and JRA-55 about 103 mm more rainfall compared to the other reanalyses. When compared to CloudSat-derived snowfall, these five reanalyses indicate similar spatial patterns, but differ in their magnitude. All reanalyses indicate precipitation on nearly every day of the year, with spurious values occurring on an average of about 60 days yr(-1), resulting in an accumulation of about 4.5 mm yr(-1). While similarities in spatial patterns among the reanalyses suggest a convergence, the large spread in magnitudes points to issues with the background models in adequately reproducing precipitation rates, and the differences in the model physics employed. Further improvements to model physics are required to achieve confidence in precipitation rate, as well as the phase and frequency of precipitation in these products.</t>
  </si>
  <si>
    <t>[Boisvert, Linette N.; Petty, Alek A.; Markus, Thorsten; Cullather, Richard, I] NASA Goddard Space Flight Ctr, Greenbelt, MD 20771 USA; [Webster, Melinda A.] Univ Alaska Fairbanks, Fairbanks, AK USA; [Petty, Alek A.; Cullather, Richard, I] Univ Maryland, Earth Syst Sci Interdisciplinary Ctr, College Pk, MD USA; [Bromwich, David H.] Ohio State Univ, Byrd Polar &amp; Climate Res Ctr, Columbus, OH USA</t>
  </si>
  <si>
    <t>National Aeronautics &amp; Space Administration (NASA); NASA Goddard Space Flight Center; University of Alaska System; University of Alaska Fairbanks; University System of Maryland; University of Maryland College Park; University System of Ohio; Ohio State University</t>
  </si>
  <si>
    <t>Boisvert, LN (corresponding author), NASA Goddard Space Flight Ctr, Greenbelt, MD 20771 USA.</t>
  </si>
  <si>
    <t>linette.n.boisvert@nasa.gov</t>
  </si>
  <si>
    <t>Petty, Alek/K-1839-2014</t>
  </si>
  <si>
    <t>Boisvert, Linette/0000-0003-4778-4765; Webster, Melinda/0000-0002-5976-9485</t>
  </si>
  <si>
    <t>NASA-ESA Snow on Sea Ice (NESOSI) project; NASA Modeling, Analysis, and Prediction (MAP) Program; NSF [1823135]; Byrd Polar and Climate Research Center [1599]; Office of Polar Programs (OPP); Directorate For Geosciences [1823135] Funding Source: National Science Foundation</t>
  </si>
  <si>
    <t>NASA-ESA Snow on Sea Ice (NESOSI) project; NASA Modeling, Analysis, and Prediction (MAP) Program(National Aeronautics &amp; Space Administration (NASA)); NSF(National Science Foundation (NSF)); Byrd Polar and Climate Research Center; Office of Polar Programs (OPP); Directorate For Geosciences(National Science Foundation (NSF)NSF - Directorate for Geosciences (GEO))</t>
  </si>
  <si>
    <t>The NCEP R1 and NCEP R2 were obtained from the NCAR Research Data Archive. CFSR fields were obtained from the National Operational Model Archive and Distribution System (NOMADS) at the U.S. National Climatic Data Center. ERA-Interim and ERA-5 fields were obtained from the ECMWF Meteorological Archival and Retrieval System (MARS). JRA-55 fields were obtained from the Japan Meteorological Agency Climate Prediction Division, Global Environment and Marine Department. MERRA and MERRA-2 were obtained from the NASA Goddard Earth Sciences Data and Information Services Center (GES-DISC). Snowbuoy data were obtained fromwww.meereisportal.de.The Authors thank Dr. Tristian L'Ecuyer for providing the C-SNOWPROFILE (2C-SNOW) CloudSat product. The work of L. Boisvert, M. Webster, A. Petty, and T. Markus was funded by the NASA-ESA Snow on Sea Ice (NESOSI) project. R. Cullather is funded through a grant from the NASA Modeling, Analysis, and Prediction (MAP) Program. D. Bromwich is funded through NSF Grant 1823135 and Contribution 1599 of Byrd Polar and Climate Research Center. This work is done as part of the ISSI Antarctic Sea Ice Working Group.</t>
  </si>
  <si>
    <t>10.1175/JCLI-D-20-0044.1</t>
  </si>
  <si>
    <t>WOS:000615175200015</t>
  </si>
  <si>
    <t>Hawkings, JR; Skidmore, ML; Wadham, JL; Priscu, JC; Morton, PL; Hatton, JE; Gardner, CB; Kohler, TJ; Stibal, M; Bagshaw, EA; Steigmeyer, A; Barker, J; Dore, JE; Lyons, WB; Tranter, M; Spencer, RGM</t>
  </si>
  <si>
    <t>Hawkings, Jon R.; Skidmore, Mark L.; Wadham, Jemma L.; Priscu, John C.; Morton, Peter L.; Hatton, Jade E.; Gardner, Christopher B.; Kohler, Tyler J.; Stibal, Marek; Bagshaw, Elizabeth A.; Steigmeyer, August; Barker, Joel; Dore, John E.; Lyons, W. Berry; Tranter, Martyn; Spencer, Robert G. M.</t>
  </si>
  <si>
    <t>SALSA Sci Team</t>
  </si>
  <si>
    <t>Enhanced trace element mobilization by Earth's ice sheets</t>
  </si>
  <si>
    <t>biogeochemical cycles; ice sheets; trace elements; elemental cycles; Southern Ocean</t>
  </si>
  <si>
    <t>NANOSCALE IRON OXYHYDROXIDES; ORGANIC-CARBON; METAL UPTAKE; GREENLAND; MELTWATER; EXPORT; OCEAN; PHYTOPLANKTON; GLACIERS; WHILLANS</t>
  </si>
  <si>
    <t>Trace elements sustain biological productivity, yet the significance of trace element mobilization and export in subglacial runoff from ice sheets is poorly constrained at present. Here, we present size-fractionated (0.02, 0.22, and 0.45 mu m) concentrations of trace elements in subglacial waters from the Greenland Ice Sheet (GrIS) and the Antarctic Ice Sheet (AIS). Concentrations of immobile trace elements (e.g., Al, Fe, Ti) far exceed global riverine and open ocean mean values and highlight the importance of subglacial aluminosilicate mineral weathering and lack of retention of these species in sediments. Concentrations are higher from the AIS than the GrIS, highlighting the geochemical consequences of prolonged water residence times and hydrological isolation that characterize the former. The enrichment of trace elements (e.g., Co, Fe, Mn, and Zn) in subglacial meltwaters compared with seawater and typical riverine systems, together with the likely sensitivity to future ice sheet melting, suggests that their export in glacial runoff is likely to be important for biological productivity. For example, our dissolved Fe concentration (20,900 nM) and associated flux values (1.4 Gmol y(-1)) from AIS to the Fe-deplete Southern Ocean exceed most previous estimates by an order of magnitude. The ultimate fate of these micronutrients will depend on the reactivity of the dominant colloidal size fraction (likely controlled by nanoparticulate Al and Fe oxyhydroxide minerals) and estuarine processing. We contend that ice sheets create highly geochemically reactive particulates in subglacial environments, which play a key role in trace elemental cycles, with potentially important consequences for global carbon cycling.</t>
  </si>
  <si>
    <t>[Hawkings, Jon R.; Morton, Peter L.; Spencer, Robert G. M.] Florida State Univ, Dept Earth Ocean &amp; Atmospher Sci, Natl High Magnet Field Lab, Geochem Grp, Tallahassee, FL 32306 USA; [Hawkings, Jon R.] German Res Ctr Geosci GFZ, Interface Geochem, D-14473 Potsdam, Germany; [Skidmore, Mark L.; Steigmeyer, August] Montana State Univ, Dept Earth Sci, Bozeman, MT 59717 USA; [Wadham, Jemma L.; Tranter, Martyn] Univ Bristol, Sch Geog Sci, Bristol BS8 1SS, Avon, England; [Priscu, John C.; Dore, John E.] Montana State Univ, Dept Land Resources &amp; Environm Sci, Bozeman, MT 59717 USA; [Hatton, Jade E.] Univ Bristol, Sch Earth Sci, Bristol BS8 1RL, Avon, England; [Gardner, Christopher B.; Lyons, W. Berry] Ohio State Univ, Byrd Polar &amp; Climate Res Ctr, Sch Earth Sci, Columbus, OH 43210 USA; [Kohler, Tyler J.] Ecole Polytech Fed Lausanne, Sch Architecture Civil &amp; Environm Engn, Stream Biofilm &amp; Ecosyst Res Lab, CH-1015 Lausanne, Switzerland; [Stibal, Marek] Charles Univ Prague, Fac Sci, Dept Ecol, CZ-12844 Prague, Czech Republic; [Bagshaw, Elizabeth A.] Cardiff Univ, Sch Earth &amp; Ocean Sci, Cardiff CF10 3AT, Wales; [Barker, Joel] Univ Minnesota, Dept Earth &amp; Environm Sci, Minneapolis, MN 55455 USA</t>
  </si>
  <si>
    <t>State University System of Florida; Florida State University; Helmholtz Association; Helmholtz-Center Potsdam GFZ German Research Center for Geosciences; Montana State University System; Montana State University Bozeman; University of Bristol; Montana State University System; Montana State University Bozeman; University of Bristol; University System of Ohio; Ohio State University; Swiss Federal Institutes of Technology Domain; Ecole Polytechnique Federale de Lausanne; Charles University Prague; Cardiff University; University of Minnesota System; University of Minnesota Twin Cities</t>
  </si>
  <si>
    <t>Hawkings, JR (corresponding author), Florida State Univ, Dept Earth Ocean &amp; Atmospher Sci, Natl High Magnet Field Lab, Geochem Grp, Tallahassee, FL 32306 USA.;Hawkings, JR (corresponding author), German Res Ctr Geosci GFZ, Interface Geochem, D-14473 Potsdam, Germany.</t>
  </si>
  <si>
    <t>jhawkings@fsu.edu</t>
  </si>
  <si>
    <t>Morton, Peter L/C-5078-2014; Stibal, Marek/I-3852-2016; Hatton, Jade/KFB-6939-2024; Wadham, Jemma L/G-3138-2014; Kohler, Tyler Joe/IUO-5352-2023; Tranter, Martyn/E-3722-2010</t>
  </si>
  <si>
    <t>Hatton, Jade/0000-0002-9408-7981; Kohler, Tyler Joe/0000-0001-5137-4844; Gardner, Christopher/0000-0003-0400-3754; Hawkings, Jon/0000-0003-4813-8474; Tranter, Martyn/0000-0003-2071-3094; Bagshaw, Elizabeth/0000-0001-8392-1750</t>
  </si>
  <si>
    <t>European Commission Horizon 2020 Marie Sklodowska-Curie Actions Fellowship ICICLES (Iron and Carbon Interactions and Biogeochemical CycLing in Subglacial EcosystemS) [793962]; Subglacial Antarctic Lakes Scientific Access (SALSA) project through US NSF [1543537, 1543453]; UK Natural Environment Research Council [NE/I008845/1]; Leverhulme Trust [RPG-2016-439]; Royal Society Wolfson Merit Award; NASA Earth and Space Science Fellowship [80NSSC18K1266]; NSF [DMR1644779]; State of Florida; NERC [NE/I008845/1] Funding Source: UKRI</t>
  </si>
  <si>
    <t>European Commission Horizon 2020 Marie Sklodowska-Curie Actions Fellowship ICICLES (Iron and Carbon Interactions and Biogeochemical CycLing in Subglacial EcosystemS); Subglacial Antarctic Lakes Scientific Access (SALSA) project through US NSF; UK Natural Environment Research Council(UK Research &amp; Innovation (UKRI)Natural Environment Research Council (NERC)); Leverhulme Trust(Leverhulme Trust); Royal Society Wolfson Merit Award(Royal Society); NASA Earth and Space Science Fellowship; NSF(National Science Foundation (NSF)); State of Florida; NERC(UK Research &amp; Innovation (UKRI)Natural Environment Research Council (NERC))</t>
  </si>
  <si>
    <t>This research is part of European Commission Horizon 2020 Marie Sklodowska-Curie Actions Fellowship ICICLES (Iron and Carbon Interactions and Biogeochemical CycLing in Subglacial EcosystemS) Grant 793962 (to J.R.H.). Antarctic work was funded under the Subglacial Antarctic Lakes Scientific Access (SALSA) project through US NSF Grants 1543537 (to M.L.S., J.C.P., and J.E.D.) and 1543453 (to W.B.L.). The Greenland research was funded by UK Natural Environment Research Council Standard Grant NE/I008845/1 (to J.L.W. and M.T.), Leverhulme Trust Research Grant RPG-2016-439 (to J.L.W.), and a Royal Society Wolfson Merit Award (to J.L.W.). A.S. was supported by NASA Earth and Space Science Fellowship 80NSSC18K1266. We thank all those involved with fieldwork at Leverett camp and the SALSA project. We thank A. Chiuchiolo for conducting DIC analysis for SALSA; analytical support from Dr. M. Cooper at the National Oceanography Centre, United Kingdom, Plasma Mass Spectrometry Laboratory; and G. White in the geochemistry group at the National High Magnetic Field Geochemistry Laboratory, which is supported by NSF Grant DMR1644779 and the State of Florida. We are grateful for the comments and input from T. Vick-Majors, R. Venturelli, and G. Lamarche-Gagnon on an earlier draft of the manuscript.</t>
  </si>
  <si>
    <t>10.1073/pnas.2014378117</t>
  </si>
  <si>
    <t>PH7SU</t>
  </si>
  <si>
    <t>WOS:000600608300019</t>
  </si>
  <si>
    <t>Hobbs, RS; Hall, JR; Graham, LA; Davies, PL; Fletcher, GL</t>
  </si>
  <si>
    <t>Hobbs, Rod S.; Hall, Jennifer R.; Graham, Laurie A.; Davies, Peter L.; Fletcher, Garth L.</t>
  </si>
  <si>
    <t>Antifreeze protein dispersion in eelpouts and related fishes reveals migration and climate alteration within the last 20 Ma</t>
  </si>
  <si>
    <t>ANTARCTIC EEL POUT; ICE-BINDING; PEPTIDE HETEROGENEITY; CONVERGENT EVOLUTION; FREEZING RESISTANCE; THERMAL HYSTERESIS; CRYSTAL-STRUCTURE; GENE; SEA; DIVERSIFICATION</t>
  </si>
  <si>
    <t>Antifreeze proteins inhibit ice growth and are crucial for the survival of supercooled fish living in icy seawater. Of the four antifreeze protein types found in fishes, the globular type III from eelpouts is the one restricted to a single infraorder (Zoarcales), which is the only clade know to have antifreeze protein-producing species at both poles. Our analysis of over 60 unique antifreeze protein gene sequences from several Zoarcales species indicates this gene family arose around 18 Ma ago, in the Northern Hemisphere, supporting recent data suggesting that the Arctic Seas were ice-laden earlier than originally thought. The Antarctic was subject to widespread glaciation over 30 Ma and the Notothenioid fishes that produce an unrelated antifreeze glycoprotein extensively exploited the adjoining seas. We show that species from one Zoarcales family only encroached on this niche in the last few Ma, entering an environment already dominated by ice-resistant fishes, long after the onset of glaciation. As eelpouts are one of the dominant benthic fish groups of the deep ocean, they likely migrated from the north to Antarctica via the cold depths, losing all but the fully active isoform gene along the way. In contrast, northern species have retained both the fully active (QAE) and partially active (SP) isoforms for at least 15 Ma, which suggests that the combination of isoforms is functionally advantageous.</t>
  </si>
  <si>
    <t>[Hobbs, Rod S.; Fletcher, Garth L.] Mem Univ Newfoundland, Dept Ocean Sci, St John, NF, Canada; [Hall, Jennifer R.] Mem Univ Newfoundland, Aquat Res Cluster, CREAIT Network, St John, NF, Canada; [Graham, Laurie A.; Davies, Peter L.] Queens Univ, Dept Biomed &amp; Mol Sci, Kingston, ON, Canada</t>
  </si>
  <si>
    <t>Memorial University Newfoundland; Memorial University Newfoundland; Queens University - Canada</t>
  </si>
  <si>
    <t>Graham, LA (corresponding author), Queens Univ, Dept Biomed &amp; Mol Sci, Kingston, ON, Canada.</t>
  </si>
  <si>
    <t>grahamla@queensu.ca</t>
  </si>
  <si>
    <t>Davies, Peter/0000-0002-8026-7818</t>
  </si>
  <si>
    <t>Canadian Institutes of Health Research [FRN 148422]; Natural Sciences and Engineering Research Council [6836-06]; Canada Research Chair in Protein Engineering</t>
  </si>
  <si>
    <t>Canadian Institutes of Health Research(Canadian Institutes of Health Research (CIHR)); Natural Sciences and Engineering Research Council(Natural Sciences and Engineering Research Council of Canada (NSERC)); Canada Research Chair in Protein Engineering(Canada Research Chairs)</t>
  </si>
  <si>
    <t>This research was supported by the Canadian Institutes of Health Research (https://cihr-irsc.gc.ca/e/193.html)(Foundation Grant FRN 148422 to P.L.D.) and the Natural Sciences and Engineering Research Council (https://www.nserccrsng.gc.ca/index_eng.asp) (Discovery Grant 6836-06 to G.L.F.). P.L.D. holds the Canada Research Chair in Protein Engineering (https://www.chairs-chaires.gc.ca/home-accueil-eng.aspx).The funders had no role in study design, data collection and analysis, decision to publish, or preparation of the manuscript.</t>
  </si>
  <si>
    <t>e0243273</t>
  </si>
  <si>
    <t>10.1371/journal.pone.0243273</t>
  </si>
  <si>
    <t>PH3TP</t>
  </si>
  <si>
    <t>WOS:000600339800027</t>
  </si>
  <si>
    <t>Rosa, LH; da Silva, TH; Ogaki, MB; Pinto, OHB; Stech, M; Convey, P; Carvalho-Silva, M; Rosa, CA; Câmara, PEAS</t>
  </si>
  <si>
    <t>Rosa, Luiz Henrique; da Silva, Thamar Holanda; Ogaki, Mayara Baptistucci; Bezerra Pinto, Otavio Henrique; Stech, Michael; Convey, Peter; Carvalho-Silva, Micheline; Rosa, Carlos Augusto; Camara, Paulo E. A. S.</t>
  </si>
  <si>
    <t>DNA metabarcoding uncovers fungal diversity in soils of protected and non-protected areas on Deception Island, Antarctica</t>
  </si>
  <si>
    <t>COMMUNITIES; MACROALGAE; VERRUCARIACEAE; IDENTIFICATION; DESTRUCTANS; GEOMYCES; REVEALS; COMPLEX</t>
  </si>
  <si>
    <t>We assessed soil fungal diversity at two sites on Deception Island, South Shetland Islands, Antarctica using DNA metabarcoding analysis. The first site was a relatively undisturbed area, and the second was much more heavily impacted by research and tourism. We detected 346 fungal amplicon sequence variants dominated by the phyla Ascomycota, Basidiomycota, Mortierellomycota and Chytridiomycota. We also detected taxa belonging to the rare phyla Mucoromycota and Rozellomycota, which have been difficult to detect in Antarctica by traditional isolation methods. Cladosporium sp., Pseudogymnoascus roseus, Leotiomycetes sp. 2, Penicillium sp., Mortierella sp. 1, Mortierella sp. 2, Pseudogymnoascus appendiculatus and Pseudogymnoascus sp. were the most dominant fungi. In addition, 440,153 of the total of 1,214,875 reads detected could be classified only at the level of Fungi. In both sampling areas the DNA of opportunistic, phytopathogenic and symbiotic fungi were detected, which might have been introduced by human activities, transported by birds or wind, and/or represent resident fungi not previously reported from Antarctica. Further long-term studies are required to elucidate how biological colonization in the island may be affected by climatic changes and/or other anthropogenic influences.</t>
  </si>
  <si>
    <t>[Rosa, Luiz Henrique; da Silva, Thamar Holanda; Ogaki, Mayara Baptistucci; Rosa, Carlos Augusto] Univ Fed Minas Gerais, Inst Ciencias Biol, Dept Microbiol, Lab Microbiol Polar &amp; Conexoes Trop, POB 486, BR-31270901 Belo Horizonte, MG, Brazil; [Bezerra Pinto, Otavio Henrique] Univ Brasilia, Dept Biol Celular, Brasilia, DF, Brazil; [Stech, Michael] Nat Biodivers Ctr, Leiden, Netherlands; [Convey, Peter] British Antarctic Survey, NERC, Madingley Rd, Cambridge CB3 0ET, England; [Carvalho-Silva, Micheline; Camara, Paulo E. A. S.] Univ Brasilia, Dept Bot, Brasilia, DF, Brazil</t>
  </si>
  <si>
    <t>Universidade Federal de Minas Gerais; Universidade de Brasilia; Naturalis Biodiversity Center; UK Research &amp; Innovation (UKRI); Natural Environment Research Council (NERC); NERC British Antarctic Survey; Universidade de Brasilia</t>
  </si>
  <si>
    <t>Rosa, LH (corresponding author), Univ Fed Minas Gerais, Inst Ciencias Biol, Dept Microbiol, Lab Microbiol Polar &amp; Conexoes Trop, POB 486, BR-31270901 Belo Horizonte, MG, Brazil.</t>
  </si>
  <si>
    <t>Convey, Peter/AAV-5728-2020; Camara, Paulo/GPP-2054-2022; Ogaki, Mayara/AAE-3088-2021</t>
  </si>
  <si>
    <t>Convey, Peter/0000-0001-8497-9903; Camara, Paulo/0000-0002-3944-996X; Silva, Micheline/0000-0002-2389-3804; Pinto, Otavio/0000-0002-8382-2987</t>
  </si>
  <si>
    <t>CNPq; PROANTAR; FAPEMIG; CoordenacAo de Aperfeicoamento de Pessoal de Nivel Superior-Brasil (CAPES); INCT Criosfera 2; NERC; Spanish Polar Committee; NERC [bas0100036] Funding Source: UKRI</t>
  </si>
  <si>
    <t>CNPq(Conselho Nacional de Desenvolvimento Cientifico e Tecnologico (CNPQ)); PROANTAR; FAPEMIG(Fundacao de Amparo a Pesquisa do Estado de Minas Gerais (FAPEMIG)); CoordenacAo de Aperfeicoamento de Pessoal de Nivel Superior-Brasil (CAPES)(Coordenacao de Aperfeicoamento de Pessoal de Nivel Superior (CAPES)); INCT Criosfera 2; NERC(UK Research &amp; Innovation (UKRI)Natural Environment Research Council (NERC)); Spanish Polar Committee; NERC(UK Research &amp; Innovation (UKRI)Natural Environment Research Council (NERC))</t>
  </si>
  <si>
    <t>This study received financial support from CNPq, PROANTAR, FAPEMIG, CoordenacAo de Aperfeicoamento de Pessoal de Nivel Superior-Brasil (CAPES), INCT Criosfera 2. P. Convey is supported by NERC core funding to the British Antarctic Survey's 'Biodiversity, Evolution and Adaptation' Team. We are also grateful for the generous support of the Spanish Polar Committee and its staff at Gabriel de Castilla base.</t>
  </si>
  <si>
    <t>10.1038/s41598-020-78934-7</t>
  </si>
  <si>
    <t>PI8BR</t>
  </si>
  <si>
    <t>WOS:000601310100008</t>
  </si>
  <si>
    <t>Morley, SA; Abele, D; Barnes, DKA; Cárdenas, CA; Cotté, C; Gutt, J; Henley, SF; Höfer, J; Hughes, KA; Martin, SM; Moffat, C; Raphael, M; Stammerjohn, SE; Suckling, CC; Tulloch, VJD; Waller, CL; Constable, AJ</t>
  </si>
  <si>
    <t>Morley, Simon A.; Abele, Doris; Barnes, David K. A.; Cardenas, Cesar A.; Cotte, Cedric; Gutt, Julian; Henley, Sian F.; Hofer, Juan; Hughes, Kevin A.; Martin, Stephanie M.; Moffat, Carlos; Raphael, Marilyn; Stammerjohn, Sharon E.; Suckling, Coleen C.; Tulloch, Vivitskaia J. D.; Waller, Cath L.; Constable, Andrew J.</t>
  </si>
  <si>
    <t>Global Drivers on Southern Ocean Ecosystems: Changing Physical Environments and Anthropogenic Pressures in an Earth System</t>
  </si>
  <si>
    <t>Southern Annular Mode; ozone hole; cryosphere and climate change; biogeochemsitry; carbon dioxde; non-indigenous species; warming; freshening</t>
  </si>
  <si>
    <t>ANTARCTIC SEA-ICE; PERSISTENT ORGANIC POLLUTANTS; CIRCUMPOLAR DEEP-WATER; CLIMATE-CHANGE; FRESH-WATER; MARINE MAMMALS; CARBON-DIOXIDE; OVERTURNING CIRCULATION; COMMUNITY STRUCTURE; FISHERIES BYCATCH</t>
  </si>
  <si>
    <t>The manuscript assesses the current and expected future global drivers of Southern Ocean (SO) ecosystems. Atmospheric ozone depletion over the Antarctic since the 1970s, has been a key driver, resulting in springtime cooling of the stratosphere and intensification of the polar vortex, increasing the frequency of positive phases of the Southern Annular Mode (SAM). This increases warm air-flow over the East Pacific sector (Western Antarctic Peninsula) and cold air flow over the West Pacific sector. SAM as well as El Nino Southern Oscillation events also affect the Amundsen Sea Low leading to either positive or negative sea ice anomalies in the west and east Pacific sectors, respectively. The strengthening of westerly winds is also linked to shoaling of deep warmer water onto the continental shelves, particularly in the East Pacific and Atlantic sectors. Air and ocean warming has led to changes in the cryosphere, with glacial and ice sheet melting in both sectors, opening up new ice free areas to biological productivity, but increasing seafloor disturbance by icebergs. The increased melting is correlated with a salinity decrease particularly in the surface 100 m. Such processes could increase the availability of iron, which is currently limiting primary production over much of the SO. Increasing CO2 is one of the most important SO anthropogenic drivers and is likely to affect marine ecosystems in the coming decades. While levels of many pollutants are lower than elsewhere, persistent organic pollutants (POPs) and plastics have been detected in the SO, with concentrations likely enhanced by migratory species. With increased marine traffic and weakening of ocean barriers the risk of the establishment of non-indigenous species is increased. The continued recovery of the ozone hole creates uncertainty over the reversal in sea ice trends, especially in the light of the abrupt transition from record high to record low Antarctic sea ice extent since spring 2016. The current rate of change in physical and anthropogenic drivers is certain to impact the Marine Ecosystem Assessment of the Southern Ocean (MEASO) region in the near future and will have a wide range of impacts across the marine ecosystem.</t>
  </si>
  <si>
    <t>[Morley, Simon A.; Barnes, David K. A.; Hughes, Kevin A.] British Antarctic Survey, Nat Environm Res Council, Cambridge, England; [Abele, Doris; Gutt, Julian] Helmholtz Ctr Polar &amp; Marine Res, Alfred Wegener Inst, Bremerhaven, Germany; [Cardenas, Cesar A.] Inst Antartico Chileno, Punta Arenas, Chile; [Cotte, Cedric] Cedric Cotte Sorbonne Univ, CNRS IRD MNHN, LOCEAN IPSL, Paris, France; [Henley, Sian F.] Univ Edinburgh, Sch Geosci, Edinburgh, Midlothian, Scotland; [Hofer, Juan] Pontificia Univ Catolica Valparaiso, Escuela Ciencias Mar, Valparaiso, Chile; [Hofer, Juan] Ctr FONDAP Invest Dinam Ecosistemas Merinos Altas, Valdivia, Chile; [Martin, Stephanie M.] Tristan da Cunha Govt, Edinburgh Of Seven Seas, Tristan Da Cunh, St Helena; [Moffat, Carlos] Univ Delaware, Sch Marine Sci &amp; Policy, Newark, DE USA; [Raphael, Marilyn] Univ Calif Los Angeles, Dept Geog, Los Angeles, CA USA; [Stammerjohn, Sharon E.] Univ Colorado, Inst Arctic &amp; Alpine Res INSTAAR, Boulder, CO 80309 USA; [Suckling, Coleen C.] Univ Rhode Isl, Dept Fisheries Anim &amp; Vet Sci, Kingston, RI 02881 USA; [Tulloch, Vivitskaia J. D.] Univ British Columbia, Dept Forest &amp; Conservat Sci, Vancouver, BC, Canada; [Waller, Cath L.] Univ Hull, Fac Sci &amp; Engn, Dept Biol &amp; Marine Sci, Kingston Upon Hull, N Humberside, England; [Constable, Andrew J.] Univ Tasmania, Inst Marine &amp; Antarctic Studies, Hobart, Tas, Australia</t>
  </si>
  <si>
    <t>UK Research &amp; Innovation (UKRI); Natural Environment Research Council (NERC); NERC British Antarctic Survey; Helmholtz Association; Alfred Wegener Institute, Helmholtz Centre for Polar &amp; Marine Research; Museum National d'Histoire Naturelle (MNHN); Sorbonne Universite; Institut de Recherche pour le Developpement (IRD); University of Edinburgh; Pontificia Universidad Catolica de Valparaiso; University of Delaware; University of California System; University of California Los Angeles; University of Colorado System; University of Colorado Boulder; University of Rhode Island; University of British Columbia; University of Hull; University of Tasmania</t>
  </si>
  <si>
    <t>Morley, SA (corresponding author), British Antarctic Survey, Nat Environm Res Council, Cambridge, England.</t>
  </si>
  <si>
    <t>smor@bas.ac.uk</t>
  </si>
  <si>
    <t>Hughes, Kevin/JVZ-0793-2024; Moffat, Carlos F/B-3565-2015; Tulloch, Vivitskaia/GNH-4554-2022; Cardenas, Cesar/ABF-1664-2020; Cotte, Cedric/C-3296-2013; Cotté, Cédric/Z-3243-2019; Cotté, Cédric/AAX-6120-2021</t>
  </si>
  <si>
    <t>Moffat, Carlos F/0000-0002-7768-8275; Cotté, Cédric/0000-0002-8307-6435; Cotté, Cédric/0000-0002-8307-6435; Waller, Catherine L/0000-0002-0836-3223; Hofer, Juan/0000-0002-5887-4929; Cardenas, Cesar/0000-0001-6662-6899</t>
  </si>
  <si>
    <t>FONDECYT [3180152]; ANID [FONDAP IDEAL 15150003]; UK Natural Environment Research Council [NE/K010034/1]; United States Department of Agriculture, National Institute of Food and Agriculture [RI0019-H020]; NSF [PLR1440435]; NSF-OPP grant [1703310]; NERC [NE/K010034/1, bas0100036, bas010011] Funding Source: UKRI</t>
  </si>
  <si>
    <t>FONDECYT(Comision Nacional de Investigacion Cientifica y Tecnologica (CONICYT)CONICYT FONDECYT); ANID; UK Natural Environment Research Council(UK Research &amp; Innovation (UKRI)Natural Environment Research Council (NERC)); United States Department of Agriculture, National Institute of Food and Agriculture(United States Department of Agriculture (USDA)); NSF(National Science Foundation (NSF)); NSF-OPP grant; NERC(UK Research &amp; Innovation (UKRI)Natural Environment Research Council (NERC))</t>
  </si>
  <si>
    <t>All authors contributions were funded by their institutions except for the following. JH was funded through FONDECYT (POSTDOCTORADO 3180152) and ANID (FONDAP IDEAL 15150003). SH was supported by the UK Natural Environment Research Council through grant NE/K010034/1. CS was partly funded by the United States Department of Agriculture, National Institute of Food and Agriculture (Project #RI0019-H020). SS was supported by NSF grant PLR1440435. CM was supported by NSF-OPP grant 1703310.</t>
  </si>
  <si>
    <t>10.3389/fmars.2020.547188</t>
  </si>
  <si>
    <t>PH8YE</t>
  </si>
  <si>
    <t>WOS:000600690000001</t>
  </si>
  <si>
    <t>Abu Bakar, N; Karsani, SA; Alias, SA</t>
  </si>
  <si>
    <t>Abu Bakar, Nurlizah; Karsani, Saiful Anuar; Alias, Siti Aisyah</t>
  </si>
  <si>
    <t>Fungal survival under temperature stress: a proteomic perspective</t>
  </si>
  <si>
    <t>PEERJ</t>
  </si>
  <si>
    <t>Climate change issue; Temperature stress; Proteomic approach; Fungal proteomes</t>
  </si>
  <si>
    <t>HEAT-SHOCK RESPONSE; COLD-STRESS; SACCHAROMYCES-CEREVISIAE; PROTEIN EXPRESSION; SAMPLE PREPARATION; CLIMATE-CHANGE; TREHALOSE; HSP90; THERMOTOLERANCE; METABOLISM</t>
  </si>
  <si>
    <t>Background. Increases in knowledge of climate change generally, and its impact on agricultural industries specifically, have led to a greater research effort aimed at improving understanding of the role of fungi in various fields. Fungi play a key role in soil ecosystems as the primary agent of decomposition, recycling of organic nutrients. Fungi also include important pathogens of plants, insects, bacteria, domestic animals and humans, thus highlighting their importance in many contexts. Temperature directly affects fungal growth and protein dynamics, which ultimately will cascade through to affect crop performance. To study changes in the global protein complement of fungi, proteomic approaches have been used to examine links between temperature stress and fungal proteomic profiles. Survey methodology and objectives. A traditional rather than a systematic review approach was taken to focus on fungal responses to temperature stress elucidated using proteomic approaches. The effects of temperature stress on fungal metabolic pathways and, in particular, heat shock proteins (HSPs) are discussed. The objective of this review is to provide an overview of the effects of temperature stress on fungal proteomes. Concluding remarks. Elucidating fungal proteomic response under temperature stress is useful in the context of increasing understanding of fungal sensitivity and resilience to the challenges posed by contemporary climate change processes. Although useful, a more thorough work is needed such as combining data from multiple -omics platforms in order to develop deeper understanding of the factor influencing and controlling cell physiology. This information can be beneficial to identify potential biomarkers for monitoring environmental changes in soil, including the agricultural ecosystems vital to human society and economy.</t>
  </si>
  <si>
    <t>[Abu Bakar, Nurlizah; Alias, Siti Aisyah] Univ Malaya, Inst Ocean &amp; Earth Sci, Kuala Lumpur, Malaysia; [Abu Bakar, Nurlizah; Alias, Siti Aisyah] Univ Malaya, Natl Antarctic Res Ctr, Kuala Lumpur, Malaysia; [Karsani, Saiful Anuar] Univ Malaya, Fac Sci, Inst Biol Sci, Kuala Lumpur, Malaysia</t>
  </si>
  <si>
    <t>Universiti Malaya; Universiti Malaya; Universiti Malaya</t>
  </si>
  <si>
    <t>Alias, SA (corresponding author), Univ Malaya, Inst Ocean &amp; Earth Sci, Kuala Lumpur, Malaysia.;Alias, SA (corresponding author), Univ Malaya, Natl Antarctic Res Ctr, Kuala Lumpur, Malaysia.</t>
  </si>
  <si>
    <t>saa@um.edu.my</t>
  </si>
  <si>
    <t>SA, karsani/B-9667-2010; FASc, SITI AISYAH A. HJ ALIAS/B-9785-2010; abu bakar, nurlizah/ACT-9817-2022</t>
  </si>
  <si>
    <t>SA, karsani/0000-0003-1617-9554; FASc, SITI AISYAH A. HJ ALIAS/0000-0002-6759-5745; ABU BAKAR, NURLIZAH/0000-0002-9238-5889</t>
  </si>
  <si>
    <t>Malaysian Ministry of Higher Education (MOHE) through their funding programme Higher Centre of Excellence (HiCoE) [IOES-2014G]; Universiti Malaya Research Programme (UMRP) [RP026A-18SUS]; University of Malaya (UM); Majlis Amanah Rakyat Malaysia (MARA Scholarship Programme)</t>
  </si>
  <si>
    <t>Malaysian Ministry of Higher Education (MOHE) through their funding programme Higher Centre of Excellence (HiCoE); Universiti Malaya Research Programme (UMRP); University of Malaya (UM)(Universiti Malaya); Majlis Amanah Rakyat Malaysia (MARA Scholarship Programme)</t>
  </si>
  <si>
    <t>The study was supported by the Malaysian Ministry of Higher Education (MOHE) through their funding programme Higher Centre of Excellence (HiCoE) (grant number IOES-2014G), and the Universiti Malaya Research Programme (UMRP) (grant number RP026A-18SUS), the University of Malaya (UM) (OCAR TNC(P&amp;I) 2011 Account No. (A 55001 DA000 B21520), and a postgraduate sponsorship from the Majlis Amanah Rakyat Malaysia (MARA Scholarship Programme). The funders had no role in study design, data collection and analysis, decision to publish, or preparation of the manuscript.</t>
  </si>
  <si>
    <t>PEERJ INC</t>
  </si>
  <si>
    <t>341-345 OLD ST, THIRD FLR, LONDON, EC1V 9LL, ENGLAND</t>
  </si>
  <si>
    <t>2167-8359</t>
  </si>
  <si>
    <t>PeerJ</t>
  </si>
  <si>
    <t>e10423</t>
  </si>
  <si>
    <t>10.7717/peerj.10423</t>
  </si>
  <si>
    <t>PF5JY</t>
  </si>
  <si>
    <t>WOS:000599091700002</t>
  </si>
  <si>
    <t>Bini, M; Zanchetta, G; Drysdale, RN; Giaccio, B; Stocchi, P; Vacchi, M; Hellstrom, JC; Couchoud, I; Monaco, L; Ratti, A; Martini, F; Sarti, L</t>
  </si>
  <si>
    <t>Bini, Monica; Zanchetta, Giovanni; Drysdale, Russell N.; Giaccio, Biagio; Stocchi, Paolo; Vacchi, Matteo; Hellstrom, John C.; Couchoud, Isabelle; Monaco, Lorenzo; Ratti, Andrea; Martini, Fabio; Sarti, Lucia</t>
  </si>
  <si>
    <t>An end to the Last Interglacial highstand before 120 ka: Relative sea-level evidence from Infreschi Cave (Southern Italy)</t>
  </si>
  <si>
    <t>U/Th dating; MIS-5e; Highstand; Relative sea level; Last glacial inception; Solid earth geophysical models; Middle palaeolithic; Southern Italy</t>
  </si>
  <si>
    <t>The timing, duration and evolution of sea level during the Marine Isotope Stage 5e (MIS 5e) highstand is a subject of intense debate. A major problem in resolving this debate is the difficulty of chronologically constraining the sea level fall that followed the peak of the highstand. This was mainly controlled by ice-sheet dynamics, the understanding of which is relevant for assessing future sea-level behavior due to global warming. Here we use stratigraphical and geochoronological (U/Th dating and tephra finger-printing) evidence from the Infreschi archaeological cave (Marina di Camerota, Southern Italy) to constrain relative sea level (RSL) evolution during the MIS 5e highstand and younger stages. Uranium-thorium dating of speleothem deposition phases places the maximum highstand RSL at 8.90 +/- 0.6 m a.s.l., as indicated by the near-horizontal upper limit of Lithophaga boreholes measured for along a similar to 3.5 km coastal cliff section. Geochronological data show that RSL fell more than 6 m before similar to 120 ka, suggesting a duration of the Last Interglacial highstand significantly shorter than proposed in some previous studies. Modelling shows that the RSL trend predicted by the ICE-5G and ICE-6G ice-sheet simulations is consistent with our data, but requires an additional significant reduction of both Greenland and Antarctic ice sheets to match the height of the local maximum highstand if no correction for tectonics is applied. Reconciling field data and models requires an earlier and likely shorter duration of the MIS 5e highstand. This suggests that our new data can constrain global ice-volume variations during the penultimate deglaciation, as well as glacial inception at the end of the Last Interglacial. According to our chronology, there is no local evidence of higher-than-present-day sea levels after 120 ka. (C) 2020 Elsevier Ltd. All rights reserved.</t>
  </si>
  <si>
    <t>[Bini, Monica; Zanchetta, Giovanni; Vacchi, Matteo; Ratti, Andrea] Univ Pisa, Dipartimento Sci Terra, Pisa, Italy; [Bini, Monica] Ist Nazl Geofis &amp; Vulcanol, Rome, Italy; [Zanchetta, Giovanni; Giaccio, Biagio] CNR, Ist Geol Ambientale &amp; Geoingn, Rome, Italy; [Drysdale, Russell N.] Univ Melbourne, Sch Geog, Melbourne, Vic 3010, Australia; [Couchoud, Isabelle] Univ Grenoble Alpes, Univ Savoie Mt Blanc, CNRS, Lab EDYTEM,UMR 5204, F-73376 Le Bourget Du Lac, France; [Stocchi, Paolo] Royal Netherlands Inst Sea Res, Coastal Syst TX, NIOZ, POB 59, NL-1790 AB Den Burg, Netherlands; [Stocchi, Paolo] Univ Utrecht, POB 59, NL-1790 AB Den Burg, Netherlands; [Hellstrom, John C.] Univ Melbourne, Sch Earth Sci, Melbourne, Vic 3010, Australia; [Monaco, Lorenzo] Univ Roma La Sapienza, Dipartimento Sci Terra, Rome, Italy; [Martini, Fabio] Univ Florence, Prehist Unit, Dipartimento Storia Archeol Geog Arte &amp; Spettacol, Via S Egidio 21, I-50122 Florence, Italy; [Sarti, Lucia] Univ Siena, Dipartimento Sci Stor &amp; Beni Culturali, Via Roma 56, I-53100 Siena, Italy; [Bini, Monica; Zanchetta, Giovanni; Vacchi, Matteo] Univ Pisa, CIRSEC Ctr Interdipartimentale Ric Studio Effetti, Pisa, Italy</t>
  </si>
  <si>
    <t>University of Pisa; Istituto Nazionale Geofisica e Vulcanologia (INGV); Consiglio Nazionale delle Ricerche (CNR); Istituto di Geologia Ambientale e Geoingegneria (IGAG-CNR); Melbourne Genomics Health Alliance; University of Melbourne; Centre National de la Recherche Scientifique (CNRS); CNRS - Institute of Ecology &amp; Environment (INEE); Universite Savoie Mont Blanc; Communaute Universite Grenoble Alpes; Universite Grenoble Alpes (UGA); Utrecht University; Royal Netherlands Institute for Sea Research (NIOZ); Utrecht University; University of Melbourne; Melbourne Bioinformatics; Sapienza University Rome; University of Florence; University of Siena; University of Pisa</t>
  </si>
  <si>
    <t>Bini, M (corresponding author), Univ Pisa, Dipartimento Sci Terra, Pisa, Italy.</t>
  </si>
  <si>
    <t>monica.bini@unipi.it</t>
  </si>
  <si>
    <t>Hellstrom, John C/B-1770-2008; Couchoud, Isabelle/KFA-9264-2024; Couchoud, Isabelle/C-3309-2012; Vacchi, Matteo/E-1622-2011; Giaccio, Biagio/B-2561-2017; Bini, Monica/B-8122-2018</t>
  </si>
  <si>
    <t>Couchoud, Isabelle/0000-0002-7166-9575; Drysdale, Russell/0000-0001-7867-031X; Vacchi, Matteo/0000-0002-1569-7862; Monaco, Lorenzo/0000-0002-6555-0842; Giaccio, Biagio/0000-0002-7007-9127; Bini, Monica/0000-0003-1482-2630; Hellstrom, John/0000-0001-9427-3525</t>
  </si>
  <si>
    <t>Fondi di Ateneo; PRIN 2017 FUTURE Project (MIUR grant) [20177TKBXZ_003]</t>
  </si>
  <si>
    <t>Fondi di Ateneo; PRIN 2017 FUTURE Project (MIUR grant)</t>
  </si>
  <si>
    <t>We thank Parco del Cilento, Valle di Diano e Alburni. This project has been partially funded by Fondi di Ateneo (to MB and GZ) and is an integration of the targets of the PRIN 2017 FUTURE Project (MIUR grant n. 20177TKBXZ_003, Leader GZ). We thank the students of the summer school held in 2018 in Marina di Camerota for their support during the field work.</t>
  </si>
  <si>
    <t>10.1016/j.quascirev.2020.106658</t>
  </si>
  <si>
    <t>PA9KJ</t>
  </si>
  <si>
    <t>WOS:000595946300001</t>
  </si>
  <si>
    <t>Oyabu, I; Kawamura, K; Kitamura, K; Dallmayr, R; Kitamura, A; Sawada, C; Severinghaus, JP; Beaudette, R; Orsi, A; Sugawara, S; Ishidoya, S; Dahl-Jensen, D; Goto-Azuma, K; Aoki, S; Nakazawa, T</t>
  </si>
  <si>
    <t>Oyabu, Ikumi; Kawamura, Kenji; Kitamura, Kyotaro; Dallmayr, Remi; Kitamura, Akihiro; Sawada, Chikako; Severinghaus, Jeffrey P.; Beaudette, Ross; Orsi, Anais; Sugawara, Satoshi; Ishidoya, Shigeyuki; Dahl-Jensen, Dorthe; Goto-Azuma, Kumiko; Aoki, Shuji; Nakazawa, Takakiyo</t>
  </si>
  <si>
    <t>New technique for high-precision, simultaneous measurements of CH4, N2O and CO2 concentrations; isotopic and elemental ratios of N2, O2 and Ar; and total air content in ice cores by wet extraction</t>
  </si>
  <si>
    <t>ABRUPT CLIMATE-CHANGE; ATMOSPHERIC METHANE CONCENTRATION; TRAPPED AIR; POLAR ICE; MIXING RATIOS; ANTARCTIC ICE; NITROUS-OXIDE; TRACE GASES; SIPLE DOME; GREENLAND</t>
  </si>
  <si>
    <t>Air in polar ice cores provides unique information on past climatic and atmospheric changes. We developed a new method combining wet extraction, gas chromatography and mass spectrometry for high-precision, simultaneous measurements of eight air components (CH4, N2O and CO2 concentrations; delta N-15, delta O-18, delta O-2/N-2 and delta Ar/N-2; and total air content) from an ice-core sample of similar to 60 g. The ice sample is evacuated for similar to 2 h and melted under vacuum, and the released air is continuously transferred into a sample tube at 10K within 10 min. The air is homogenized in the sample tube overnight at room temperature and split into two aliquots for mass spectrometric and gas chromatographic measurements. Care is taken to minimize (1) contamination of greenhouse gases by using a long evacuation time, (2) consumption of oxygen during sample storage by a passivation treatment on sample tubes, and (3) fractionation of isotopic ratios with a long homogenization time for splitting. Precision is assessed by analyzing standard gases with artificial ice and duplicate measurements of the Dome Fuji and NEEM ice cores. The overall reproducibility (1 SD) of duplicate ice-core analyses are 3.2 ppb, 2.2 ppb and 2.9 ppm for CH4, N2O and CO2 concentrations; 0.006 %, 0.011 %, 0.09% and 0.12% for delta N-15, delta O-18, delta O-2/N-2 and delta Ar/N-2; and 0.63mL(STP) kg(-1) for total air content, respectively. Our new method successfully combines the high-precision, small-sample and multiple-species measurements, with a wide range of applications for ice-core paleoenviron-mental studies.</t>
  </si>
  <si>
    <t>[Oyabu, Ikumi; Kawamura, Kenji; Kitamura, Kyotaro; Goto-Azuma, Kumiko] Natl Inst Polar Res, Tokyo 1908518, Japan; [Kawamura, Kenji; Goto-Azuma, Kumiko] Grad Univ Adv Studies SOKENDAI, Dept Polar Sci, Tokyo 1908518, Japan; [Kawamura, Kenji] Japan Agcy Marine Sci &amp; Technol JAMSTEC, Yokosuka, Kanagawa 2370061, Japan; [Dallmayr, Remi] Alfred Wegener Inst, Alten Hafen 26, D-27568 Bremerhaven, Germany; [Kitamura, Akihiro] Labosoltech LLC, Tokyo 1900003, Japan; [Sawada, Chikako] Univ Tokyo, Atmosphere &amp; Ocean Res Inst, Kashiwa, Chiba 2770882, Japan; [Severinghaus, Jeffrey P.; Beaudette, Ross] Univ Calif San Diego, Scripps Inst Oceanog, La Jolla, CA 92093 USA; [Orsi, Anais] Univ Paris Saclay, Lab Sci Climat &amp; Environm, LSCE IPSL, CEA CNRS UVSQ, F-91191 Gif Sur Yvette, France; [Sugawara, Satoshi] Miyagi Univ Educ, Sendai, Miyagi 9800845, Japan; [Ishidoya, Shigeyuki] Natl Inst Adv Ind &amp; Technol AIST, Tsukuba, Ibaraki 3058569, Japan; [Dahl-Jensen, Dorthe] Univ Copenhagen, Tagensvej 16, DK-2100 Copenhagen, Denmark; [Dahl-Jensen, Dorthe] Univ Manitoba, 66 Chancellors Circle, Winnipeg, MB R3T 2N2, Canada; [Aoki, Shuji; Nakazawa, Takakiyo] Tohoku Univ, Sendai, Miyagi 9808577, Japan</t>
  </si>
  <si>
    <t>Research Organization of Information &amp; Systems (ROIS); National Institute of Polar Research (NIPR) - Japan; Graduate University for Advanced Studies - Japan; Japan Agency for Marine-Earth Science &amp; Technology (JAMSTEC); Helmholtz Association; Alfred Wegener Institute, Helmholtz Centre for Polar &amp; Marine Research; University of Tokyo; University of California System; University of California San Diego; Scripps Institution of Oceanography; Universite Paris Cite; CEA; Centre National de la Recherche Scientifique (CNRS); Universite Paris Saclay; Miyagi University Education; National Institute of Advanced Industrial Science &amp; Technology (AIST); University of Copenhagen; University of Manitoba; Tohoku University</t>
  </si>
  <si>
    <t>Oyabu, I; Kawamura, K (corresponding author), Natl Inst Polar Res, Tokyo 1908518, Japan.;Kawamura, K (corresponding author), Grad Univ Adv Studies SOKENDAI, Dept Polar Sci, Tokyo 1908518, Japan.;Kawamura, K (corresponding author), Japan Agcy Marine Sci &amp; Technol JAMSTEC, Yokosuka, Kanagawa 2370061, Japan.</t>
  </si>
  <si>
    <t>oyabu.ikumi@nipr.a.c.jp; kawamura@nipr.ac.jp</t>
  </si>
  <si>
    <t>Ishidoya, Shigeyuki/L-4307-2018; Oyabu, Ikumi/AGE-1164-2022; Dahl-Jensen, Dorthe/AAO-6951-2020; Kawamura, Kenji/C-7660-2011</t>
  </si>
  <si>
    <t>Oyabu, Ikumi/0000-0001-8017-1085; Dahl-Jensen, Dorthe/0000-0002-1474-1948; Kawamura, Kenji/0000-0003-1163-700X</t>
  </si>
  <si>
    <t>JSPS KAKENHI [17K12816, 17J00769, 20H04327, 20H00639, 15KK0027, 26241011, 21671001, 18749002, 22221002, 18K01129, 22310003]; Ministry of Education, Culture, Sports, Science and Technology of Japan [17H06316]; Ministry of Education, Culture, Sports, Science and Technology of Japan (GRENE Arctic Climate Change Research Project, Arctic Challenge for Sustainability II (ArCS II)) [JPMXD1420318865]; Ministry of the Environment of Japan (Global Environment Research Coordination System); National Institute of Polar Research [KP305]; National Institute of Polar Research (Senshin Project); Grants-in-Aid for Scientific Research [17H06316, 22310003, 20H04980, 18K01129, 20H00639, 18749002, 17K12816, 17J00769, 15KK0027, 22221002, 26241011, 20H04327] Funding Source: KAKEN</t>
  </si>
  <si>
    <t>JSPS KAKENHI(Ministry of Education, Culture, Sports, Science and Technology, Japan (MEXT)Japan Society for the Promotion of ScienceGrants-in-Aid for Scientific Research (KAKENHI)); Ministry of Education, Culture, Sports, Science and Technology of Japan(Ministry of Education, Culture, Sports, Science and Technology, Japan (MEXT)); Ministry of Education, Culture, Sports, Science and Technology of Japan (GRENE Arctic Climate Change Research Project, Arctic Challenge for Sustainability II (ArCS II)); Ministry of the Environment of Japan (Global Environment Research Coordination System); National Institute of Polar Research(National Institute of Polar Research (NIPR) - Japan); National Institute of Polar Research (Senshin Project); Grants-in-Aid for Scientific Research(Ministry of Education, Culture, Sports, Science and Technology, Japan (MEXT)Japan Society for the Promotion of ScienceGrants-in-Aid for Scientific Research (KAKENHI))</t>
  </si>
  <si>
    <t>This research has been supported by the JSPS KAKENHI (grant nos. 17K12816, 17J00769, 20H04327, 20H00639, 15KK0027, 26241011, 21671001, 18749002, 22221002, 18K01129 and 22310003); the Ministry of Education, Culture, Sports, Science and Technology of Japan (grant no. 17H06316 and GRENE Arctic Climate Change Research Project, Arctic Challenge for Sustainability II (ArCS II), program grant number JPMXD1420318865); the Ministry of the Environment of Japan (Global Environment Research Coordination System); and the National Institute of Polar Research (grant no. KP305 and Senshin Project).</t>
  </si>
  <si>
    <t>10.5194/amt-13-6703-2020</t>
  </si>
  <si>
    <t>PG9TJ</t>
  </si>
  <si>
    <t>WOS:000600068400001</t>
  </si>
  <si>
    <t>Hollyman, PR; Leng, MJ; Chenery, SRN; Sloane, HJ; Richardson, CA</t>
  </si>
  <si>
    <t>Hollyman, Philip R.; Leng, Melanie J.; Chenery, Simon R. N.; Sloane, Hilary J.; Richardson, Christopher A.</t>
  </si>
  <si>
    <t>Calibration of shell δ18O from the common whelk Buccinum undatum highlights potential for palaeoenvironmental reconstruction</t>
  </si>
  <si>
    <t>Palaeotemperature; Oxygen isotopes; Mollusc shells; Micro-Raman spectroscopy; Vital effect</t>
  </si>
  <si>
    <t>SEAWATER CARBONATE CONCENTRATION; O-18 ISOTOPIC DISEQUILIBRIUM; STABLE-ISOTOPE; ARCHAEOLOGICAL INVESTIGATIONS; PALEOTEMPERATURE EQUATIONS; BIOLOGICAL CARBONATES; OXYGEN ISOTOPES; GROWTH; SEA; AGE</t>
  </si>
  <si>
    <t>The common whelk, Buccinum undatum, is a commercially important gastropod found throughout the North Atlantic. One method of age and life history analysis for gastropod species is the use of oxygen isotope ratio (delta O-18) measurements from their shells, which is a well-established technique for the reconstruction of historical seawater temperatures at the time of shell biomineralization. Palaeotemperature calibrations have been developed for different types of calcium carbonate as well as species-specific equations to produce the most accurate seawater temperature reconstructions. Here we investigate the four-layer internal structure of B. undatum shells and confirm an aragonite composition using Micro-Raman Spectroscopy (MRS). We then calibrate a species-specific palaeotemperature equation for this gastropod species. This was achieved through the isotopic analysis of shells from laboratory reared specimens of known provenance reared at specific seawater temperatures to produce the following: t(degrees C) = 14.96 ( +/- 0.15) - 4.94 ( +/- 0.22) x (delta O-18(shell) - delta O-18(water)) The calibrated equation differs significantly from previously published data derived from both aragonite and calcite. An offset of 1.04% ( +/- 0.41%) was discovered between observed delta O-18(Shell) values and those expected under equilibrium, suggesting a species-specific vital effect. The calibrated equation was used to reconstruct accurate, high resolution historical seawater temperatures from three sites across the U.K. (Shetland, the Menai Strait and Jersey). With this new accurate calibration, both modern and fossil B. undatum shells now have the potential to be employed as high-resolution archives of recent and historical seawater temperature.</t>
  </si>
  <si>
    <t>[Hollyman, Philip R.] British Antarctic Survey, Madingley Rd, Cambridge CB3 0ET, England; [Hollyman, Philip R.; Richardson, Christopher A.] Bangor Univ, Coll Environm Sci &amp; Engn, Sch Ocean Sci, Menai Bridge LL59 5AB, Anglesey, Wales; [Leng, Melanie J.; Sloane, Hilary J.] British Geol Survey, Natl Environm Isotope Facil, Nottingham NG12 5GG, England; [Leng, Melanie J.] Univ Nottingham, Sch Biosci, Sutton Bonington Campus, Loughborough LE12 5RD, Leics, England; [Chenery, Simon R. N.] British Geol Survey, Ctr Environm Geochem, Nottingham NG12 5GG, England</t>
  </si>
  <si>
    <t>UK Research &amp; Innovation (UKRI); Natural Environment Research Council (NERC); NERC British Antarctic Survey; Bangor University; UK Research &amp; Innovation (UKRI); Natural Environment Research Council (NERC); NERC British Geological Survey; University of Nottingham; UK Research &amp; Innovation (UKRI); Natural Environment Research Council (NERC); NERC British Geological Survey</t>
  </si>
  <si>
    <t>Hollyman, PR (corresponding author), British Antarctic Survey, Madingley Rd, Cambridge CB3 0ET, England.</t>
  </si>
  <si>
    <t>phyman@bas.ac.uk; mjl@bgs.ac.uk; srch@bgs.ac.uk; hjs@nigl.nerc.ac.uk; c.a.richardson@bangor.ac.uk</t>
  </si>
  <si>
    <t>Chenery, Simon/G-4733-2013</t>
  </si>
  <si>
    <t>Chenery, Simon/0000-0002-4096-0183; Hollyman, Philip/0000-0003-2665-5075</t>
  </si>
  <si>
    <t>Bangor University-CEFAS PhD scholarship; [IP-1527-0515]; NERC [bas0100035, bgs06003] Funding Source: UKRI</t>
  </si>
  <si>
    <t>Bangor University-CEFAS PhD scholarship; ; NERC(UK Research &amp; Innovation (UKRI)Natural Environment Research Council (NERC))</t>
  </si>
  <si>
    <t>The authors thank the anonymous reviewers for their comments, which greatly improved the manuscript. This project was part of a Bangor University-CEFAS PhD scholarship awarded to PRH. Thanks to Gwyne Parry-Jones (School of Ocean Sciences, (SOS), Bangor University), Mark Hamilton (NAFC) and Jon Shrives (DoE Jersey) for their help with sample collection. Thanks also to Berwyn Roberts and all other colleagues in SOS who helped maintain juvenile whelks in the aquarium. MRS was undertaken following a successful rapid access request to the Diamond Light Source (SP13616-1). All stable isotope sampling was undertaken following a successful facility grant application to the NERC facility (now National Environmental Isotope Facility) Steering Committee (IP-1527-0515). We thank Carol Arrowsmith for isotope analysis of the water samples and Ben Marchant (BGS) for writing the MATLAB script used to create the average isotope profiles. Thanks to Dr. Bee Berx (Marine Scotland), Peter Hughes (Bangor University), Olga Andres (CEFAS) and Jon Shrives (Department of the Environment, Jersey) for help obtaining water temperature data.</t>
  </si>
  <si>
    <t>10.1016/j.palaeo.2020.109995</t>
  </si>
  <si>
    <t>OU0RY</t>
  </si>
  <si>
    <t>WOS:000591245000015</t>
  </si>
  <si>
    <t>Sutton, SR; Brearley, AJ; Dobrica, E; Lanzirotti, A; Newville, M; Tschauner, O</t>
  </si>
  <si>
    <t>Sutton, S. R.; Brearley, A. J.; Dobrica, E.; Lanzirotti, A.; Newville, M.; Tschauner, O.</t>
  </si>
  <si>
    <t>Valence determinations and oxybarometry on FIB-sectioned olivine and pyroxene using correlated Ti, V, and Cr micro-XAFS spectroscopy: Evaluation of ion-milling effects and application to Antarctic micrometeorite grains</t>
  </si>
  <si>
    <t>XANES MEASUREMENTS; CHROMIUM VALENCES; COMET 81P/WILD-2; VANADIUM; TITANIUM; STATE; COORDINATION; ORIENTATION; SYSTEMATICS; MINERALOGY</t>
  </si>
  <si>
    <t>X-ray absorption fine structure (XAFS) spectroscopy methods have been applied to focused ion beam (FIB) produced sections of olivine and pyroxene for determining the valence states of Ti, V, and Cr and inferring oxygen fugacities of formation for each element. High-quality XAFS spectra were obtained for all three elements for analytical voxels of similar to 10 pg and usable spectra down to the pg level are achievable. The extraterrestrial samples studied here were olivine and pyroxene from chondrules in Semarkona (LL3.00), olivine from chondrules in Kainsaz (CO3.2), and an olivine and a pyroxene grain from two Antarctic micrometeorites (AMM). The general agreement between calculated thin section and FIB section valences strongly suggests that there is negligible alteration of Ti, V, and Cr valences during FIB sectioning. The inferred oxygen fugacities for the AMM olivine support an equilibrium igneous history similar to results seen for some achondrites. For the pyroxene, highly reduced Cr, coupled with relatively oxidized Ti, suggests an origin in a mildly metamorphosed chondritic parent body. These results demonstrate that this FIB and micro-XAFS approach is promising for establishing the oxidation states of minute monomineralic grains of diverse extraterrestrial origins, including materials from sample-return spacecraft, such as the Stardust, OSIRIS-REx, Hayabusa, and Hayabusa2 missions.</t>
  </si>
  <si>
    <t>[Sutton, S. R.; Lanzirotti, A.; Newville, M.] Univ Chicago, Ctr Adv Radiat Sources, Chicago, IL 60637 USA; [Sutton, S. R.] Univ Chicago, Dept Geophys Sci, 5734 S Ellis Ave, Chicago, IL 60637 USA; [Brearley, A. J.; Dobrica, E.] Univ New Mexico, Dept Earth &amp; Planetary Sci, Albuquerque, NM 87131 USA; [Dobrica, E.] Univ Hawaii Manoa, Hawaii Inst Geophys &amp; Planetol, Sch Ocean Earth Sci &amp; Technol, Honolulu, HI 96822 USA; [Tschauner, O.] Univ Nevada, Dept Geosci, Las Vegas, NV 89154 USA</t>
  </si>
  <si>
    <t>University of Chicago; University of Chicago; University of New Mexico; University of Hawaii System; University of Hawaii Manoa; Nevada System of Higher Education (NSHE); University of Nevada Las Vegas</t>
  </si>
  <si>
    <t>Sutton, SR (corresponding author), Univ Chicago, Ctr Adv Radiat Sources, Chicago, IL 60637 USA.;Sutton, SR (corresponding author), Univ Chicago, Dept Geophys Sci, 5734 S Ellis Ave, Chicago, IL 60637 USA.</t>
  </si>
  <si>
    <t>sutton@cars.uchicago.edu</t>
  </si>
  <si>
    <t>Newville, Matthew/GNP-3282-2022; Newville, Matthew G/B-3372-2009</t>
  </si>
  <si>
    <t>Newville, Matthew G/0000-0001-6938-1014; Dobrica, Elena/0000-0002-7653-3431; Lanzirotti, Antonio/0000-0002-7597-5924; Brearley, Adrian/0000-0002-7364-8815; Sutton, Stephen/0000-0002-5362-6280</t>
  </si>
  <si>
    <t>NASA Laboratory Analysis of Returned Samples program; National Science Foundation-Earth Sciences [EAR-1634415]; DOE Office of Science [DE-AC02-06CH11357]; NSF; NASA; State of New Mexico; CNRS; CNES; PNP</t>
  </si>
  <si>
    <t>NASA Laboratory Analysis of Returned Samples program; National Science Foundation-Earth Sciences(National Science Foundation (NSF)); DOE Office of Science(United States Department of Energy (DOE)); NSF(National Science Foundation (NSF)); NASA(National Aeronautics &amp; Space Administration (NASA)); State of New Mexico; CNRS(Centre National de la Recherche Scientifique (CNRS)); CNES(Centre National D'etudes Spatiales); PNP</t>
  </si>
  <si>
    <t>We are grateful to the Associate Editor (C. Goodrich), reviewers M. Jercinovic and M. Zolensky, and an anonymous reviewer, whose thoughtful comments improved this manuscript. This work was supported by a grant to the University of Chicago (subaward to the University of New Mexico) from the NASA Laboratory Analysis of Returned Samples program. Portions of this work were performed at GeoSoilEnviroCARS (Sector 13), Advanced Photon Source (APS), Argonne National Laboratory. GeoSoilEnviroCARS is supported by the National Science Foundation-Earth Sciences (EAR-1634415). This research used resources of the Advanced Photon Source, a U.S. Department of Energy (DOE) Office of Science User Facility operated for the DOE Office of Science by Argonne National Laboratory under contract no. DE-AC02-06CH11357. Electron microscopy and focused ion beam sample preparation were carried out in the Electron Microbeam Analysis Facility, Department of Earth and Planetary Sciences, University of New Mexico, a facility supported by NSF, NASA, and the State of New Mexico. We thank Cecile Engrand (Irene-Joliot Curie Physics of Two Infinities Lab, IJCLab-Universite Paris-Saclay, CNRS) for making the micrometeorite samples and their EMPA results available. The micrometeorite collection at Dome C benefits from the logistical help from IPEV and PNRA. We thank CNRS, CNES, and PNP for funding micrometeorite studies.</t>
  </si>
  <si>
    <t>DEC</t>
  </si>
  <si>
    <t>10.1111/maps.13603</t>
  </si>
  <si>
    <t>QA4XM</t>
  </si>
  <si>
    <t>WOS:000598782900001</t>
  </si>
  <si>
    <t>Cuña-Rodríguez, C; Piovano, EL; García-Rodríguez, F; Sylvestre, F; Rostek, F; Bernasconi, SM; Ariztegui, D</t>
  </si>
  <si>
    <t>Cuna-Rodriguez, Carolina; Piovano, Eduardo L.; Garcia-Rodriguez, Felipe; Sylvestre, Florence; Rostek, Frauke; Bernasconi, Stefano M.; Ariztegui, Daniel</t>
  </si>
  <si>
    <t>Paleolimnological record of the Pampean plains (Argentina) as a natural archive of South American hydroclimatic variability since the LGM to the Current Warm Period</t>
  </si>
  <si>
    <t>Laguna Mar Chiquita; Southeastern South America; Palaeolimnology; Saline lake; Diatoms</t>
  </si>
  <si>
    <t>LAST GLACIAL MAXIMUM; SEA-SURFACE TEMPERATURE; LAGUNA-MAR-CHIQUITA; SUMMER RAINFALL VARIABILITY; LATE QUATERNARY VEGETATION; ATLANTIC CONVERGENCE ZONE; LATE PLEISTOCENE; CLIMATE-CHANGE; ENVIRONMENTAL-CHANGES; ATMOSPHERIC CIRCULATION</t>
  </si>
  <si>
    <t>Laguna Mar Chiquita (LMC, 30 degrees 54'S - 62 degrees 51'W) is a highly variable and shallow saline lake, located in the Pampean Plains of Argentina. The paleolimnological record of LMC contains information on the environmental variability that occurred in a large area of Southern South America since the Last Glacial Maximum (LGM) until the present. As inferred from the diatom assemblages, sedimentary features and geochemical proxies, prolonged intervals of high and lowstands have caused variations in water salinity, trophic state and sedimentary processes. This is the first paleolimnological reconstruction covering the hydroclimatic variability that occurred over the last 25,000 cal yr BP in the Argentinean Pampean region. Results are in accordance with well-known global climatic phases. The Late Pleistocene record is characterized by a scenario dominated by lowstands, hypersaline, and oligotrophic lake conditions. Radiocarbon ages (25,000-19,000 cal yr BP) indicate that the onset of the record is coeval with the LGM. Later, a progressive lake water level increase was registered at 17,000 cal yr BP, which can be assigned to the Heinrich Stadial 1. A shift toward comparatively drier conditions identified in the record between 14,700 and 13,000 cal yr BP can be chronologically related to the Antarctic Cold Reversal. The transition from the Late Pleistocene to the Holocene (13,500-10,500 cal yr BP) is recorded by highstand phases while the Early Holocene record is characterized by high to intermediate water levels. The hydrological reconstruction corresponding to the Mid-Holocene is characterized by alternating phases of high/lowstands. The onset of the Late Holocene record is marked by the development of dry conditions and thus lowstand phases, while around 1300 cal yr BP a distinct water lake level increase is recognized. This humid phase, ascribed to the Medieval Climatic Anomaly, is followed by the record of lowstands between 500 and 1000 cal yr BP, being coeval with the Little Ice Age. The uppermost part of the record of LMC encompasses the Current Warm Period, showing a marked shift towards high lake water level conditions. The hydrological variability registered in the paleolimnological record, highlights the importance of Laguna Mar Chiquita as an outstanding paleoclimate sensor of hydroclimatic variations for a large area of South Eastern South America. (C) 2020 Elsevier Ltd. All rights reserved.</t>
  </si>
  <si>
    <t>[Cuna-Rodriguez, Carolina; Piovano, Eduardo L.] Univ Nacl Cordoba, Fac Ciencias Exactas Fis &amp; Nat, Ctr Invest Ciencias Tierra CICTERRA, Cordoba, Argentina; [Garcia-Rodriguez, Felipe] Univ Republ, CURE Rocha, Dept Geociencias, Ruta 9 intersecci Ruta 15 S-N, Rocha, Uruguay; [Garcia-Rodriguez, Felipe] Univ Fed Rio Grande, Inst Oceanog, Programa Posgrad Oceanol, Av Italia,Km 8,CxP 474, BR-96201900 Rio Grande, RS, Brazil; [Sylvestre, Florence; Rostek, Frauke] Aix Marseille Univ, CNRS, CEREGE, IRD,Coll France,INRAE Europole Mediterraneen, Aix En Provence, France; [Bernasconi, Stefano M.] Swiss Fed Inst Technol, Inst Geol, Sonneggstr 5, CH-8092 Zurich, Switzerland; [Ariztegui, Daniel] Univ Geneva, Dept Earth Sci, Rue Maraichers 13, CH-1205 Geneva, Switzerland</t>
  </si>
  <si>
    <t>Consejo Nacional de Investigaciones Cientificas y Tecnicas (CONICET); National University of Cordoba; Universidad de la Republica, Uruguay; Universidade Federal do Rio Grande; Universite PSL; College de France; Institut de Recherche pour le Developpement (IRD); Centre National de la Recherche Scientifique (CNRS); Aix-Marseille Universite; INRAE; Swiss Federal Institutes of Technology Domain; ETH Zurich; University of Geneva</t>
  </si>
  <si>
    <t>Cuña-Rodríguez, C (corresponding author), Univ Nacl Cordoba, Fac Ciencias Exactas Fis &amp; Nat, Ctr Invest Ciencias Tierra CICTERRA, Cordoba, Argentina.</t>
  </si>
  <si>
    <t>eduardopiovano@unc.edu.ar</t>
  </si>
  <si>
    <t>Piovano, Eduardo/AAU-7679-2021; Bernasconi, Stefano M/E-5394-2010; Ariztegui, Daniel/AFU-2302-2022</t>
  </si>
  <si>
    <t>Piovano, Eduardo/0000-0002-5247-3112; Bernasconi, Stefano M/0000-0001-7672-8856; Ariztegui, Daniel/0000-0001-7775-5127</t>
  </si>
  <si>
    <t>CONICET; Conselho Nacional de Pesquisa-CNPq [304007/2019-6]; FONCyT [PICT 2013-1371]; ANII-CONICET; PUE 2016-CONICET-CICTERRA; SECyT-Universidad Nacional de Cordoba, Argentina (Proyecto Consolidar 2018-2021)</t>
  </si>
  <si>
    <t>CONICET(Consejo Nacional de Investigaciones Cientificas y Tecnicas (CONICET)); Conselho Nacional de Pesquisa-CNPq(Conselho Nacional de Desenvolvimento Cientifico e Tecnologico (CNPQ)); FONCyT(FONCyT); ANII-CONICET; PUE 2016-CONICET-CICTERRA; SECyT-Universidad Nacional de Cordoba, Argentina (Proyecto Consolidar 2018-2021)</t>
  </si>
  <si>
    <t>This research was supported by a Doctoral Grant from CONICET (C. Cu~na). The results herein presented were obtained at CICTERRA (CONICET-Universidad de Cordoba, Argentina), CURE-ROCHA (Universidad de la Republica, Uruguay), at Centre Europeen de Recherche et d'Enseignement des Geosciences de l'Environnement (CEREGE, France) and at the Geological Department of the Swiss Federal Insitute of Thechnology (ETH-Z, Switzerland). F. GarciaRodriguez thanks to Conselho Nacional de Pesquisa-CNPq for the research grant 304007/2019-6. This study was funded by FONCyT (PICT 2013-1371), ANII-CONICET, PUE 2016-CONICET-CICTERRA and SECyT-Universidad Nacional de Cordoba, Argentina (Proyecto Consolidar 2018e2021).</t>
  </si>
  <si>
    <t>10.1016/j.quascirev.2020.106675</t>
  </si>
  <si>
    <t>PA9JD</t>
  </si>
  <si>
    <t>WOS:000595943100010</t>
  </si>
  <si>
    <t>Xia, ZY; Oppedal, LT; Van der Putten, N; Bakke, J; Yu, ZC</t>
  </si>
  <si>
    <t>Xia, Zhengyu; Oppedal, Lea Toska; Van der Putten, Nathalie; Bakke, Jostein; Yu, Zicheng</t>
  </si>
  <si>
    <t>Ecological response of a glacier-fed peatland to late Holocene climate and glacier changes on subantarctic South Georgia</t>
  </si>
  <si>
    <t>South Georgia; Late Holocene; Glaciers; Peatlands; Meltwater; Brown mosses; Stable isotopes</t>
  </si>
  <si>
    <t>Sedimentary deposits from glacier-fed peatlands provide records of past glacier variability, but the dynamics of these peat-forming ecosystems have rarely been investigated. Through multi-proxy analyses of a 204-cm peat core, we reconstructed the ecological response of a glacier-fed peatland on subantarctic South Georgia to climate and glacier variability over the last 4300 years. A stable peatland with rapid carbon accumulations and dynamic turnovers between brown mosses and monocots persisted between 4300 and 2550 cal yr BP when the up-valley cirque glacier was small under a regional hypsithermal climate. Carbon accumulation rates showed two peak periods driven by climate warming, reaching 140 g C m(-2) yr(-1) at 4000-3500 cal yr BP and 70 g C m(-2) yr(-1) at 3200-2700 cal yr BP. Paired delta C-13 and delta O-18 data from brown moss cellulose reveal several intervals of glacial meltwater inundation that caused short-term disturbances of the peatland vegetation, indicating that glacial meltwater potentially still affected the peatland ecosystem during this warm period. Moss-dominated vegetation was disrupted and peatland carbon accumulation rates decreased to 15 g C m(-2) yr(-1) after around 2550 cal yr BP when a cooling-driven glacier advance shifted the erosion and meltwater regime enhancing the glacial sediment influx onto the peatland. Although this enhanced regime of meltwater disturbance has continued since this transition, the brown moss habitat was gradually re-established during the medieval climate warming between 1200 and 600 cal yr BP and then became dominant shortly after that. This reestablishment of brown mosses might have benefited from a period of increased carbon accumulation rates up to 100 g C m(-2) yr(-1) at 1200-900 cal yr BP that built up the organic matter matrix and stabilized the habitat. We conclude that the ecosystem dynamics of glacier-fed peatlands is strongly shaped by the interplay between regional climate and glacier activity. This study also demonstrates the potential of stable isotope analysis in studying the paleohydrology of non -Sphagnum peatlands. (C) 2020 Elsevier Ltd. All rights reserved.</t>
  </si>
  <si>
    <t>[Xia, Zhengyu; Yu, Zicheng] Lehigh Univ, Dept Earth &amp; Environm Sci, Bethlehem, PA 18015 USA; [Oppedal, Lea Toska; Bakke, Jostein] Univ Bergen, Dept Earth Sci, Bergen, Norway; [Oppedal, Lea Toska; Bakke, Jostein] Univ Bergen, Bjerknes Ctr Climate Res, Bergen, Norway; [Van der Putten, Nathalie] Vrije Univ Amsterdam, Dept Earth Sci, Amsterdam, Netherlands; [Yu, Zicheng] Northeast Normal Univ, Inst Peat &amp; Mire Res, Sch Geog Sci, Changchun, Peoples R China; [Xia, Zhengyu] Univ Massachusetts Amherst, Dept Geosci, Amherst, MA 01003 USA</t>
  </si>
  <si>
    <t>Lehigh University; University of Bergen; Bjerknes Centre for Climate Research; University of Bergen; Vrije Universiteit Amsterdam; Northeast Normal University - China; University of Massachusetts System; University of Massachusetts Amherst</t>
  </si>
  <si>
    <t>Xia, ZY (corresponding author), Lehigh Univ, Dept Earth &amp; Environm Sci, Bethlehem, PA 18015 USA.;Xia, ZY (corresponding author), Univ Massachusetts Amherst, Dept Geosci, Amherst, MA 01003 USA.</t>
  </si>
  <si>
    <t>zhengyuxia@umass.edu</t>
  </si>
  <si>
    <t>Xia, Zhengyu/GRS-7101-2022</t>
  </si>
  <si>
    <t>Van der Putten, Nathalie/0000-0002-0271-9321; Xia, Zhengyu/0000-0001-9792-6536; Yu, Zicheng/0000-0003-2358-2712</t>
  </si>
  <si>
    <t>Lehigh University's College of Arts and Sciences; Lehigh University's Department of Earth and Environmental Sciences; U.S. National Science Foundation [ERA-150289]</t>
  </si>
  <si>
    <t>Lehigh University's College of Arts and Sciences; Lehigh University's Department of Earth and Environmental Sciences; U.S. National Science Foundation(National Science Foundation (NSF))</t>
  </si>
  <si>
    <t>We thank the British Antarctic Survey crew at King Edward Point and Anne Elisabeth Bjune, Asmund Bakke, and Sunniva Solheim Vatne for help during the field work. We also thank Gunhild Rosqvist for providing updated Block Lake data, and two reviewers for helpful comments that have improved the manuscript. This study was supported by Lehigh University's College of Arts and Sciences and Department of Earth and Environmental Sciences through a summer research fellowship and a research grant to Z. Xia, and a U.S. National Science Foundation grant ERA-150289 to Z. Yu.</t>
  </si>
  <si>
    <t>10.1016/j.quascirev.2020.106679</t>
  </si>
  <si>
    <t>PA9IO</t>
  </si>
  <si>
    <t>WOS:000595941500006</t>
  </si>
  <si>
    <t>Cody, E; Anderson, BM; McColl, ST; Fuller, IC; Purdie, HL</t>
  </si>
  <si>
    <t>Cody, Emma; Anderson, Brian M.; McColl, Samuel T.; Fuller, Ian C.; Purdie, Heather L.</t>
  </si>
  <si>
    <t>Paraglacial adjustment of sediment slopes during and immediately after glacial debuttressing</t>
  </si>
  <si>
    <t>Sediment slope failure; Paraglacial; Time-lapse imagery photography; Glacier retreat; Proglacial geomorphology</t>
  </si>
  <si>
    <t>LATERAL-MORAINE; ROCK AVALANCHES; MANTLED SLOPES; CLIMATE-CHANGE; NATIONAL-PARK; FOX GLACIERS; FRANZ JOSEF; LANDSLIDES; CONNECTIVITY; DEFORMATION</t>
  </si>
  <si>
    <t>Daily time lapse imagery and pixel tracking was used to monitor and track spatial and temporal changes in sediment-mantled hillslopes, during and immediately after glacier retreat in the Fox Glacier/Te Moeka o Tuawe valley, New Zealand. Observations from 2014 to 2018 of the Fox Glacier and surrounding hillslopes show hillslope failure is primarily coincident with, and triggered by, glacier retreat with rainfall accelerating movement of the hillslope. During glacier retreat, failure of the hillslope primarily occurred through sediment sliding, internal deformation of the sediment and occasional surficial debris falls, flows and avalanches delivering approximately 9.2 M m3 of sediment directly to the underside of the glacier over the study period with a maxi-mum daily averaged movement of 0.4 m per day of the main sediment mass. Following debuttressing, hillslope failure became dominated by localised rainfall-induced debris flows which initiated gullying of the sediment mantled slope. Ongoing instability of the slope and associated movement is maintained by toe erosion from the Fox River and melting dead ice, while continued rapid failure is facilitated through localised debris flows. The tracking of temporal and spatial changes of sediment-mantled hillslopes during glacier retreat has shown broad-scale hillslope response to occur quickly within days of rainfall or accelerated glacier retreat, particularly during summer. Debris flows, commonly thought to be a dominant erosion process within paraglacial environments, only occur following complete debuttressing and are supply-limited, only occurring after sediment sliding has occurred. Unlike many other case studies, sediment connectivity immediately following glacier retreat is high due to a lack of storage space and high rainfall inducing mass movements, efficiently delivering hillslope sediments to the proglacial stream channel. Attempts to quantify displaced volumes of sediment from paraglacial systems are likely underestimated due to a) a lack of focus on the early and latter stages of debuttressing b) a reliance on debris flows being a primary transport mechanism, and c) sediment being delivered sub-glacially rather than supra-glacially, further enhancing connectivity. (c) 2020 Elsevier B.V. All rights reserved.</t>
  </si>
  <si>
    <t>[Cody, Emma; McColl, Samuel T.; Fuller, Ian C.] Massey Univ, Sch Agr &amp; Environm, Geosci Grp, Palmerston North, New Zealand; [Anderson, Brian M.] Victoria Univ Wellington, Antarctic Res Ctr, Wellington, New Zealand; [Purdie, Heather L.] Univ Canterbury, Dept Geog, Christchurch, New Zealand</t>
  </si>
  <si>
    <t>Massey University; Victoria University Wellington; University of Canterbury</t>
  </si>
  <si>
    <t>Cody, E (corresponding author), Massey Univ, Sch Agr &amp; Environm, Geosci Grp, Palmerston North, New Zealand.</t>
  </si>
  <si>
    <t>emma.cody@hotmail.co.nz</t>
  </si>
  <si>
    <t>McColl, Sam/AFO-5198-2022</t>
  </si>
  <si>
    <t>McColl, Sam/0000-0002-2805-1761; Fuller, Ian/0000-0002-5123-1648</t>
  </si>
  <si>
    <t>10.1016/j.geomorph.2020.107411</t>
  </si>
  <si>
    <t>OU7BN</t>
  </si>
  <si>
    <t>WOS:000591680500001</t>
  </si>
  <si>
    <t>Navarro, JM; Détrée, C; Morley, SA; Cardenas, L; Ortiz, A; Vargas-Chacoff, L; Paschke, K; Gallardo, P; Guillemin, ML; Gonzalez-Wevar, C</t>
  </si>
  <si>
    <t>Navarro, Jorge M.; Detree, Camille; Morley, Simon A.; Cardenas, Leyla; Ortiz, Alejandro; Vargas-Chacoff, Luis; Paschke, Kurt; Gallardo, Pablo; Guillemin, Marie-Laure; Gonzalez-Wevar, Claudio</t>
  </si>
  <si>
    <t>Evaluating the effects of ocean warming and freshening on the physiological energetics and transcriptomic response of the Antarctic limpet Nacella concinna</t>
  </si>
  <si>
    <t>Warming; Freshening; Acclimation; Physiology; Gene expression; Nacella concinna</t>
  </si>
  <si>
    <t>TEMPERATURE-DEPENDENT BIOGEOGRAPHY; THERMAL TOLERANCE; CLIMATE-CHANGE; TRADE-OFFS; STRESS; LIMITS; METABOLISM; SALINITY; STREBEL; GROWTH</t>
  </si>
  <si>
    <t>In the Southern Ocean, warming and freshening are expected to be prominent signals of climate change and the reduced ability of Antarctic marine organisms to cope with changing environmental conditions could challenge their future survival. The Antarctic limpet Nacella concinna is amacroinvertebrate of rocky ecosystems, which occurs in high densities in the shallow subtidal zone. Subtidal individuals were exposed to a combination of temperatures (1, 4, 8, 11, 14 degrees C) and salinities ( 20 and 30 psu) for a 60-day period. A drastic increment in mortality was observed with seawater warming, showing that N. concinna is highly stenothermal, with limited ability to survive at temperatures warmer than 4 degrees C, although there was some degree of acclimation at 4 degrees C and ambient salinity (30 psu). This study confirmed the stenohaline characteristic of this species, with mortality reaching 50% and lower scope for growth at low salinity (20 psu) even at the control temperature (1 degrees C). At the sub-cellular level, limpets' lowtolerance to out-of range salinity is illustrated by the activation of cell remodelling processes whereas the down-regulation of chaperones proteins and plasma membrane ATPase suggest that under the combination of warming and freshening N. concinna experiences a severe level of stress and devote much of its energy to somatic maintenance and survival. The drastic effect observed can be explained by its subtidal origin, an environmentwith more stable conditions. The surviving individuals at 1 degrees C and lowered salinity (20 psu) were either more tolerant or showing signs of acclimation after 60 days, but the combination of warming and freshening have a greater combined stress. Projections of climate change for end of the century for this part of the Antarctic can, therefore, result in a significant diminution of the subtidal population of N. concinna, affecting ecological interactions and diversity of the food web. (c) 2020 Elsevier B.V. All rights reserved.</t>
  </si>
  <si>
    <t>[Navarro, Jorge M.; Detree, Camille; Ortiz, Alejandro; Vargas-Chacoff, Luis; Gonzalez-Wevar, Claudio] Univ Austral Chile, Inst Ciencias Marinas &amp; Limnol, Fac Ciencias, Valdivia, Chile; [Navarro, Jorge M.; Detree, Camille; Cardenas, Leyla; Ortiz, Alejandro; Vargas-Chacoff, Luis; Paschke, Kurt; Guillemin, Marie-Laure; Gonzalez-Wevar, Claudio] Ctr FONDAP Invest Ecosistemas Marinos Altas Latit, Valdivia, Chile; [Morley, Simon A.] British Antarctic Survey, Nat Environm Res Council, Cambridge, England; [Cardenas, Leyla; Guillemin, Marie-Laure] Univ Austral Chile, Inst Ciencias Ambientales &amp; Evolut, Fac Ciencias, Valdivia, Chile; [Paschke, Kurt] Univ Austral Chile, Inst Acuicultura, Puerto Montt, Chile; [Gallardo, Pablo] Univ Magallanes, Dept Ciencias Agr &amp; Acuicolas, Ctr Cult Marinos Bahia Laredo, Punta Arenas, Chile; [Guillemin, Marie-Laure] Univ Austral Chile, Pontificia Univ Catolica Chile, Sorbonne Univ, CNRS,UMI Evolutionary Biol &amp; Ecol Algae 3614, Roscoff, France</t>
  </si>
  <si>
    <t>Universidad Austral de Chile; UK Research &amp; Innovation (UKRI); Natural Environment Research Council (NERC); NERC British Antarctic Survey; Universidad Austral de Chile; Universidad Austral de Chile; Universidad de Magallanes; Centre National de la Recherche Scientifique (CNRS); Universidad Austral de Chile; Sorbonne Universite</t>
  </si>
  <si>
    <t>Navarro, JM (corresponding author), Univ Austral Chile, Inst Ciencias Marinas &amp; Limnol, Fac Ciencias, Valdivia, Chile.</t>
  </si>
  <si>
    <t>jnavarro@uach.cl</t>
  </si>
  <si>
    <t>Cardenas, Leyla/AAY-5671-2020; Gallardo-Ojeda, Pablo/Q-4545-2017; Vargas-Chacoff, Luis LVCh/A-5855-2012; González-Wevar, Claudio Alejandro/AAD-6513-2021</t>
  </si>
  <si>
    <t>Cardenas, Leyla/0000-0003-0676-6704; Gallardo-Ojeda, Pablo/0000-0002-8368-9055; ORTIZ, ALEJANDRO/0000-0001-5413-0503; Guillemin, Marie-Laure/0000-0001-5703-7662; Detree, Camille/0000-0001-5518-2380</t>
  </si>
  <si>
    <t>Center FONDAPIDEAL - ANID Chile [15150003]; NERC [bas0100036] Funding Source: UKRI</t>
  </si>
  <si>
    <t>Center FONDAPIDEAL - ANID Chile; NERC(UK Research &amp; Innovation (UKRI)Natural Environment Research Council (NERC))</t>
  </si>
  <si>
    <t>Many thanks to the logistic team (crews and divers) that provided the biological material. Thanks to the Instituto Antartico Chileno (INACh) for their permanent support at the Base Professor Julio Escudero, Antarctica, Chile. Funding was provided by Center FONDAPIDEAL 15150003 awarded by ANID Chile.</t>
  </si>
  <si>
    <t>10.1016/j.scitotenv.2020.142448</t>
  </si>
  <si>
    <t>OF2MX</t>
  </si>
  <si>
    <t>WOS:000581049800129</t>
  </si>
  <si>
    <t>Sun, YY; Lu, ZB; Xiao, KY; Zeng, LY; Wang, J; Gabrielsen, GW</t>
  </si>
  <si>
    <t>Sun, Yayue; Lu, Zhibo; Xiao, Kaiyan; Zeng, Lingyun; Wang, Juan; Gabrielsen, Geir Wing</t>
  </si>
  <si>
    <t>Antarctic Adelie penguin feathers as bio-indicators of geographic and temporal variations in heavy metal concentrations in their habitats</t>
  </si>
  <si>
    <t>ECOTOXICOLOGY AND ENVIRONMENTAL SAFETY</t>
  </si>
  <si>
    <t>Adelie penguin; Feathers; Heavy metals; Antarctic</t>
  </si>
  <si>
    <t>TRACE-ELEMENT CONCENTRATIONS; MERCURY CONCENTRATIONS; ENVIRONMENTAL RISK; EUDYPTULA-MINOR; STABLE-ISOTOPES; COASTAL; CONTAMINATION; EXPOSURE; POLLUTION; SEDIMENTS</t>
  </si>
  <si>
    <t>Seabird feathers are effective indicators of heavy metal contamination. To propose a biological detection method suitable for the long-term monitoring of heavy metals in the Antarctic environment, eight heavy metals (As, Cd, Cr, Cu, Hg, Ni, Pb, and Zn) in Adelie penguin feathers from different body parts, years, and molting grounds in the Antarctic were investigated in this study. It is found that the concentrations of heavy metals in the feathers showed differences among the body part of origin. The levels of the eight elements in the abdomen and back feathers were approximately the same, but some elements of them were significantly higher than those in the tail feathers. The Hg and Cd concentrations in the abdomen and back feathers increased from root to tip, regardless of the sampling year or molting ground. Based on a structural analysis of the feathers, Hg and Cd were mainly distributed in the feather vane rather than the shaft. The methylmercury content accounted for 83%-97% of the total mercury content in all feather samples, regardless of location, year, or body part, thereby supporting the assumption that mercury entering the feather was predominantly methylated and indicating that a relatively toxic form of Hg is excreted through the feathers. The heavy metals in feathers from the same molting ground showed significant differences over the sampling years. The average concentrations of As, Cr, Cu, Ni, and Zn increased significantly from 2015 to 2019, whereas those of Cd, Hg, and Pb tended to decrease. The concentrations of the eight elements in Adelie feathers from three molting grounds varied greatly, possibly in relation to their living areas and dietary structures. Feathers from the Ross Sea site had the highest Cd, Cu, Hg, Ni, and Zn concentrations, the highest As and Cr concentrations were detected in feathers from the Zhongshan site, and feathers from the Great Wall site showed higher Pb concentrations than those from the other two sites. This study established a long-term, nondestructive, and efficient method for monitoring heavy metal contamination in the polar environment in the future.</t>
  </si>
  <si>
    <t>[Sun, Yayue; Lu, Zhibo; Xiao, Kaiyan; Zeng, Lingyun; Wang, Juan] Tongji Univ, State Key Lab Pollut Control &amp; Resources Reuse, Shanghai 200092, Peoples R China; [Sun, Yayue; Lu, Zhibo; Xiao, Kaiyan; Zeng, Lingyun; Wang, Juan] Tongji Univ, Coll Environm Sci &amp; Engn, Shanghai 200092, Peoples R China; [Gabrielsen, Geir Wing] Norwegian Polar Res Inst, Ecotoxicol Sect, Tromso, Norway</t>
  </si>
  <si>
    <t>Tongji University; Tongji University; Norwegian Polar Institute</t>
  </si>
  <si>
    <t>Sun, YY; Lu, ZB (corresponding author), Tongji Univ, State Key Lab Pollut Control &amp; Resources Reuse, Shanghai 200092, Peoples R China.</t>
  </si>
  <si>
    <t>15072303971@163.com; luzhibo@tongji.edu.cn</t>
  </si>
  <si>
    <t>ZHIBO, LU/HHS-4083-2022; Gabrielsen, Geir Wing/JDC-6415-2023</t>
  </si>
  <si>
    <t>National Natural Science Foundation of China [41406213]; Ministry of natural resources of China [2019YFC1408201]</t>
  </si>
  <si>
    <t>National Natural Science Foundation of China(National Natural Science Foundation of China (NSFC)); Ministry of natural resources of China</t>
  </si>
  <si>
    <t>This work was partially supported by the National Natural Science Foundation of China (41406213) and Ministry of natural resources of China (2019YFC1408201).</t>
  </si>
  <si>
    <t>0147-6513</t>
  </si>
  <si>
    <t>1090-2414</t>
  </si>
  <si>
    <t>ECOTOX ENVIRON SAFE</t>
  </si>
  <si>
    <t>Ecotox. Environ. Safe.</t>
  </si>
  <si>
    <t>10.1016/j.ecoenv.2020.111135</t>
  </si>
  <si>
    <t>OG9VK</t>
  </si>
  <si>
    <t>WOS:000582222400009</t>
  </si>
  <si>
    <t>Wang, YL; Liu, YZ; Ma, L; Li, H; Wang, ZP; Xu, J; Xue, CH</t>
  </si>
  <si>
    <t>Wang, Yuliu; Liu, Yanzi; Ma, Lei; Li, He; Wang, Zhipeng; Xu, Jie; Xue, Changhu</t>
  </si>
  <si>
    <t>The oxidation mechanism of phospholipids in Antarctic krill oil promoted by metal ions</t>
  </si>
  <si>
    <t>Phospholipids; Oxidation; Metal ions; Antarctic krill oil; Triacylglycerol</t>
  </si>
  <si>
    <t>LIPID OXIDATION; ANTIOXIDANT ACTIVITY; FISH-OIL; ALPHA-TOCOPHEROL; ETHYL-ESTERS; BULK OILS; DHA-PC; HYDROLYSIS; TRIACYLGLYCEROL; NEPHROTOXICITY</t>
  </si>
  <si>
    <t>Antarctic krill oil (AKO) is an emerging dietary supplement containing metal ions that influence oil oxidation. Thus, this study focuses on the effect and mechanism of metal ions on phospholipid oxidation in AKO. Firstly, AKO containing Mg2+, Mn2+, Cu2+, Fe2+ and Fe3+ (200 mu mol/kg) were prepared separately and incubated at 60 degrees C for 6 days. Peroxide value (POV) and malondialdehyde (MDA) content showed that Fe3+ exhibited the most effective prooxidative activity, with the prooxidative activity of Fe-2(SO4)(3) (water-soluble) being stronger than that of ferric oleate (FeOl, fat-soluble). In addition, phosphatidylethanolamine (PE) oxidation degree (more than 90%) was considerably greater than phosphatidylcholine (PC) oxidation degree (about 15%) in AKO. Differences in the structure of head group hindered chelation of PC with metal ions than PE due to electrostatic repulsion and steric hindrance. Therefore, PC significantly inhibited, while PE promoted, the oxidation of polyunsaturated triacylglycerol (TAG), like fish oil (p &lt; 0.01).</t>
  </si>
  <si>
    <t>[Wang, Yuliu; Liu, Yanzi; Ma, Lei; Li, He; Wang, Zhipeng; Xu, Jie; Xue, Changhu] Ocean Univ China, Coll Food Sci &amp; Engn, 5 Yushan Rd, Qingdao 266003, Shandong, Peoples R China; [Xue, Changhu] Qingdao Natl Lab Marine Sci &amp; Technol, Qingdao 266235, Peoples R China</t>
  </si>
  <si>
    <t>Ocean University of China; Laoshan Laboratory</t>
  </si>
  <si>
    <t>Xu, J; Xue, CH (corresponding author), Ocean Univ China, Coll Food Sci &amp; Engn, 5 Yushan Rd, Qingdao 266003, Shandong, Peoples R China.</t>
  </si>
  <si>
    <t>scarlett1218@163.com; liuyanziouc2016@126.com; malei@ouc.edu.cn; heli_516@163.com; wzp1776716658@163.com; xujie9@ouc.edu.cn; xuech@ouc.edu.cn</t>
  </si>
  <si>
    <t>National Key R&amp;D Program of China [2018YFC0311206]</t>
  </si>
  <si>
    <t>This work was supported by the National Key R&amp;D Program of China (No. 2018YFC0311206).</t>
  </si>
  <si>
    <t>10.1016/j.foodchem.2020.127448</t>
  </si>
  <si>
    <t>NM0CQ</t>
  </si>
  <si>
    <t>WOS:000567773700030</t>
  </si>
  <si>
    <t>Jia, YD; Chen, XT; Wang, ZY; Meng, Z; Huang, B; Guan, CT</t>
  </si>
  <si>
    <t>Jia, Yudong; Chen, Xiatian; Wang, Zhenyong; Meng, Zhen; Huang, Bin; Guan, Changtao</t>
  </si>
  <si>
    <t>Physiological response of juvenile turbot (Scophthalmus maximus. L) during hyperthermal stress</t>
  </si>
  <si>
    <t>Thermal tolerance; Oxidative stress; Heat shock protein; Apoptosis; Turbot</t>
  </si>
  <si>
    <t>FLOUNDER-PARALICHTHYS-OLIVACEUS; ANTIOXIDANT DEFENSE SYSTEM; HEAT-SHOCK RESPONSE; OXIDATIVE STRESS; THERMAL TOLERANCE; HIGH-TEMPERATURE; ACCLIMATION TEMPERATURE; INCREASING TEMPERATURE; NOTOTHENIA-CORIICEPS; ANTARCTIC FISH</t>
  </si>
  <si>
    <t>Temperature is a critical abiotic factor in aquaculture farming. Serum cortisol, glucose, respiratory frequency, hepatic glycogen, anti-oxidant enzyme activities (superoxide dismutase [SOD], catalase [CAT], and glutathione peroxidase [GPx]), malondialdehyde (MDA) content, and expression of heat shock proteins (hsp70, 90) and apoptosis-related genes (p53, caspase3, bax, bcl2) of turbot were determined at 27 degrees C under different thermal durations (0, 6, 12, 24, 48, 72, 96 h) to illustrate the underlying physiological response mechanisms. Results showed that cortisol and glucose significantly increased at 27 degrees C from 0 h to 12 h, and then dramatically decreased from 24 h to 96 h. Respiratory frequency manifested similar results to cortisol. Hepatic glycogen content, GPx and CAT activities gradually decreased in a time-dependent manner under thermal stress. However, SOD activity significantly increased at 6, 12, 24 h and then decreased until the end of thermal stress. Hepatic MDA content significantly increased from 12 h to 96 h. In addition, the apoptosis rate of hepatocyte gradually increased under thermal stress. p53, caspase3 and bcl2 mRNAs were significantly up-regulated under thermal stress within 6 h, and down-regulated from 12 h to 96 h. bax mRNA was significantly up-regulated from 0 h to 6 h, and no significant difference was observed from 6 h to 96 h. Hepatic hsp70 and hsp90 mRNAs were significantly upregulated from 6 h to 12 h, which was similar to those of serum glucose results. These results indicate that hyperthermal stress elevates respiratory frequency, serum cortisol and glucose contents, promotes hepatic glycogenolysis, impairs hepatic antioxidant capacity and induces hepatocyte apoptosis by p53-bax-bcl2 and the caspase-dependent pathways. These findings expand the current knowledge on thermal tolerance and aid the management of turbot in captivity.</t>
  </si>
  <si>
    <t>[Jia, Yudong; Chen, Xiatian; Meng, Zhen; Huang, Bin; Guan, Changtao] Chinese Acad Fishery Sci, Yellow Sea Fisheries Res Inst, 106 Nanjing Rd, Qingdao 266071, Peoples R China; [Jia, Yudong] Qingdao Natl Lab Marine Sci &amp; Technol, Lab Marine Fisheries Sci &amp; Food Prod Proc, Qingdao 266237, Peoples R China; [Wang, Zhenyong] Shandong Agr Univ, Coll Anim Sci &amp; Vet Med, Tai An 271018, Shandong, Peoples R China</t>
  </si>
  <si>
    <t>Chinese Academy of Fishery Sciences; Yellow Sea Fisheries Research Institute, CAFS; Laoshan Laboratory; Shandong Agricultural University</t>
  </si>
  <si>
    <t>Jia, YD (corresponding author), Chinese Acad Fishery Sci, Yellow Sea Fisheries Res Inst, 106 Nanjing Rd, Qingdao 266071, Peoples R China.</t>
  </si>
  <si>
    <t>jiayd@ysfri.ac.cn</t>
  </si>
  <si>
    <t>jin, chen/KBQ-8592-2024</t>
  </si>
  <si>
    <t>Central Public-interest Scientific Institution Basal Research Fund, CAFS [20603022020008, 2020TD51]; China Agriculture Research System [CARS-47]</t>
  </si>
  <si>
    <t>Central Public-interest Scientific Institution Basal Research Fund, CAFS; China Agriculture Research System</t>
  </si>
  <si>
    <t>This research was supported by Central Public-interest Scientific Institution Basal Research Fund, CAFS (20603022020008, 2020TD51) and China Agriculture Research System (CARS-47).</t>
  </si>
  <si>
    <t>10.1016/j.aquaculture.2020.735645</t>
  </si>
  <si>
    <t>NK0YW</t>
  </si>
  <si>
    <t>WOS:000566468000004</t>
  </si>
  <si>
    <t>Krause, DW; Hoffmann, S; Rossie, JB; Hu, YM; Wible, JR; Rougier, GW; Kirk, EC; Groenke, JR</t>
  </si>
  <si>
    <t>Krause, David W.; Hoffmann, Simone; Rossie, James B.; Hu, Yaoming; Wible, John R.; Rougier, Guillermo W.; Kirk, E. Christopher; Groenke, Joseph R.</t>
  </si>
  <si>
    <t>CRANIOFACIAL MORPHOLOGY OF ADALATHERIUM HUI (MAMMALIA, GONDWANATHERIA) FROM THE LATE CRETACEOUS OF MADAGASCAR</t>
  </si>
  <si>
    <t>JOURNAL OF VERTEBRATE PALEONTOLOGY</t>
  </si>
  <si>
    <t>VINTANA-SERTICHI MAMMALIA; OSSIFIED MECKELS CARTILAGE; INNER-EAR MORPHOLOGY; SHORT-TAILED OPOSSUM; EVOLUTIONARY DEVELOPMENT; PARANASAL SINUSES; SKULL STRUCTURE; EARLY MIOCENE; MIDDLE-EAR; ANATOMY</t>
  </si>
  <si>
    <t>The cranium of Adalatherium hui, as represented in the holotype and only specimen (UA 9030), is only the second known for any gondwanatherian mammal, the other being that of the sudamericid Vintana sertichi. Both Adalatherium and Vintana were recovered from the Upper Cretaceous (Maastrichtian) Maevarano Formation of northwestern Madagascar. UA 9030 is the most complete specimen of a gondwanatherian yet known and includes, in addition to the cranium, both lower jaws and a complete postcranial skeleton. Aside from Adalatherium and Vintana, gondwanatherians are otherwise represented only by isolated teeth and lower jaw fragments, belonging to eight monotypic genera from Late Cretaceous and Paleogene horizons of Madagascar, the Indian subcontinent, Africa, South America, and the Antarctic Peninsula. Although the anterior part of the cranium is very well preserved in UA 9030, the posterior part is not. Nonetheless, comparable parts of the crania of Adalatherium and Vintana indicate some level of common ancestry through possession of several synapomorphies, primarily related to the bony composition, articular relationships, and features of the snout region. Overprinted on this shared morphology are a host of autapomorphic features in each genus, some unique among mammaliaforms and some convergent upon therian mammals. The cranium of Adalatherium is compared with the crania of other mammaliamorphs, particularly those of allotherians or purported allotherians (i.e., haramiyidans, euharamiyidans, multituberculates, Cifelliodon, and Megaconus). Particular emphasis is placed on several recently described forms: the enigmatic Cifelliodon from the Early Cretaceous of Utah and several new taxa of euharamiyidans from the Late Jurassic of China.</t>
  </si>
  <si>
    <t>[Krause, David W.] Denver Museum Nat &amp; Sci, Dept Earth Sci, Denver, CO 80205 USA; [Krause, David W.; Hu, Yaoming] SUNY Stony Brook, Dept Anat Sci, Stony Brook, NY 11794 USA; [Hoffmann, Simone] New York Inst Technol, Coll Osteopath Med, Dept Anat, Old Westbury, NY 11568 USA; [Rossie, James B.] SUNY Stony Brook, Dept Anthropol, Stony Brook, NY 11794 USA; [Wible, John R.] Carnegie Museum Nat Hist, Sect Mammals, 5800 Baum Blvd, Pittsburgh, PA 15206 USA; [Rougier, Guillermo W.] Univ Louisville, Dept Anat Sci &amp; Neurobiol, Louisville, KY 40202 USA; [Kirk, E. Christopher] Univ Texas Austin, Dept Anthropol, Jackson Sch Museum Earth Hist, Austin, TX 78712 USA; [Kirk, E. Christopher] Univ Texas Austin, Vertebrate Paleontol Lab, Jackson Sch Museum Earth Hist, Austin, TX 78712 USA; [Groenke, Joseph R.] Ohio Univ, Dept Biomed Sci, Heritage Coll Osteopath Med, Athens, OH 45701 USA</t>
  </si>
  <si>
    <t>State University of New York (SUNY) System; State University of New York (SUNY) Stony Brook; New York Institute Technology; State University of New York (SUNY) System; State University of New York (SUNY) Stony Brook; University of Louisville; University of Texas System; University of Texas Austin; University of Texas System; University of Texas Austin; University System of Ohio; Ohio University</t>
  </si>
  <si>
    <t>Krause, DW (corresponding author), Denver Museum Nat &amp; Sci, Dept Earth Sci, Denver, CO 80205 USA.;Krause, DW (corresponding author), SUNY Stony Brook, Dept Anat Sci, Stony Brook, NY 11794 USA.</t>
  </si>
  <si>
    <t>David.Krause@dmns.org; shoffm04@nyit.edu; James.Rossie@stonybrook.edu; wiblej@carnegiemnh.org; grougier@louisville.edu; eckirk@austin.utexas.edu; groenke@ohio.edu</t>
  </si>
  <si>
    <t>Wible, John/HLW-6199-2023</t>
  </si>
  <si>
    <t>Wible, John/0000-0002-0721-1228; Groenke, Joseph/0000-0002-9527-1887; Hoffmann, Simone/0000-0001-8984-0601; Kirk, Chris/0000-0001-9439-3041; Krause, David/0000-0001-7860-6828; Rougier, Guillermo W./0000-0003-3051-1373</t>
  </si>
  <si>
    <t>National Science Foundation [EAR-1528273, EAR-1664432, DEB-1501497, DEB-1654949]; Agencia Nacional de Promocion Cientifica y Tecnologica, Argentina [PICT-2016-3682]</t>
  </si>
  <si>
    <t>National Science Foundation(National Science Foundation (NSF)); Agencia Nacional de Promocion Cientifica y Tecnologica, Argentina(ANPCyT)</t>
  </si>
  <si>
    <t>We thank V. Heisey (Stony Brook University) for mechanical preparation of the cranium of UA 9030, T. Salerno (Stony Brook University) for performing the lion's share of the digital segmentation, L. Dougan and A. Tecza (Digital Research Laboratory, Denver Museum of Nature &amp; Science) for assistance in digitally investigating obscure structures, M. Colbert (University of Texas at Austin) for mu CT imaging, G. Jiang (Denver Museum of Nature &amp; Science) for photography, and L. Betti-Nash for artwork. We appreciate discussions with J. Clark, J. Hopson, A. Huttenlocker, A. Martinelli, C. Kammerer, and E. Panciroli concerning details of cynodont cranial anatomy and are additionally grateful to Clark, Kammerer, Martinelli, and Panciroli for photographs of the crania of various nonmammalian cynodonts and to Huttenlocker for mu CT data files on the cranium of Cifelliodon. We are also grateful to J. Schultz and L. Weaver for reviewing this chapter and for their constructive criticism, which improved the manuscript considerably. This research was supported by funding from the National Science Foundation (EAR-1528273 and EAR-1664432 to D.W.K., DEB-1501497 to S.H., and DEB-1654949 to J.R.W.) and the Agencia Nacional de Promocion Cientifica y Tecnologica, Argentina (grant PICT-2016-3682 to G.W.R.).</t>
  </si>
  <si>
    <t>0272-4634</t>
  </si>
  <si>
    <t>1937-2809</t>
  </si>
  <si>
    <t>J VERTEBR PALEONTOL</t>
  </si>
  <si>
    <t>J. Vertebr. Paleontol.</t>
  </si>
  <si>
    <t>DEC 14</t>
  </si>
  <si>
    <t>10.1080/02724634.2020.1808665</t>
  </si>
  <si>
    <t>PO8VI</t>
  </si>
  <si>
    <t>WOS:000605443500003</t>
  </si>
  <si>
    <t>González, ML; Chiapella, JO; Urdampilleta, JD</t>
  </si>
  <si>
    <t>Gonzalez, Maria Laura; Chiapella, Jorge O.; Urdampilleta, Juan Domingo</t>
  </si>
  <si>
    <t>The Antarctic and South American species of Deschampsia: phylogenetic relationships and cytogenetic differentiation</t>
  </si>
  <si>
    <t>SYSTEMATICS AND BIODIVERSITY</t>
  </si>
  <si>
    <t>Cytogenetics; Deschampsia; evolution; phylogeny; rDNA; South America</t>
  </si>
  <si>
    <t>POACEAE</t>
  </si>
  <si>
    <t>Deschampsia P. Beauv. is a cosmopolitan grass genus, which grows in cold and temperate regions, including about 15 species growing in South America and Antarctica. The species delimitation is difficult due to the high phenotypic plasticity and the likely occurrence of hybridization which generates species complexes with high morphological affinity. This work aims to describe the cytogenetic traits of the South American species of Deschampsia, highlighting similarities and differences in a phylogenetic context. We report the chromosome number of seven species of Deschampsia and Deyeuxia eminens for the first time, verifying that basic chromosome number x = 13 is shared by all the species. We found that the phylogenetic relationships are in agreement with the morphological affinities described in the species revisions, and the species of Deschampsia and Deyeuxia Sect. Stylagrostis form a well-supported clade. Despite the variation from x = 13 reported for populations of Deschampsia in the northern hemisphere, all the South American and Antarctic taxa studied here have a conserved basic chromosome number. Polyploids were found in several species, which suggests that genomic duplication is a recurrent process in the evolutionary history of Deschampsia. In contrast with the conserved chromosome morphology, the rDNA pattern showed high intra- and inter-specific variability and it is related to the phylogeny. Particularly, the complex of D. cespitosa is polymorphic for the distribution pattern of rDNA, as was also seen for molecular and morphological traits. Our results suggest that the common ancestor between Deschampsia and Deyeuxia sec. Stylagrostis could have had chromosomal characteristics currently shared by both. The incorporation of new chromosomal, molecular, and morphological data in Deyeuxia species will allow clarification of the close phylogenetic relationship with Deschampsia, in which reticulation and hybridization events cannot be excluded.</t>
  </si>
  <si>
    <t>[Gonzalez, Maria Laura; Urdampilleta, Juan Domingo] Univ Nacl Cordoba, Consejo Nacl Invest Cient &amp; Tecn, Inst Multidisciplinario Biol Vegetal, CC 495, Cordoba, Argentina; [Chiapella, Jorge O.] Univ Nacl Comahue, Consejo Nacl Invest Cient &amp; Tecn, Inst Invest Biodivers &amp; Medioambiente, Quintral 1250, RA-8400 San Carlos De Bariloche, Rio Negro, Argentina</t>
  </si>
  <si>
    <t>Consejo Nacional de Investigaciones Cientificas y Tecnicas (CONICET); National University of Cordoba; Universidad Nacional del Comahue; Consejo Nacional de Investigaciones Cientificas y Tecnicas (CONICET)</t>
  </si>
  <si>
    <t>Urdampilleta, JD (corresponding author), Univ Nacl Cordoba, Consejo Nacl Invest Cient &amp; Tecn, Inst Multidisciplinario Biol Vegetal, CC 495, Cordoba, Argentina.</t>
  </si>
  <si>
    <t>jurdampilleta@imbiv.unc.edu.ar</t>
  </si>
  <si>
    <t>MEZQUITA, MARIA LUZ GONZÁLEZ/GNP-0102-2022; Chiapella, Jorge O./AAI-2433-2021</t>
  </si>
  <si>
    <t>MEZQUITA, MARIA LUZ GONZÁLEZ/0000-0002-6013-7434; Chiapella, Jorge O./0000-0003-1686-1211; Urdampilleta, Juan Domingo/0000-0001-9922-2866</t>
  </si>
  <si>
    <t>CONICET [PIP-11220150100392CO]; ANPCyT-FONCyT [PICTO 2010-0095]; SECyT-UNC; International Association for Plant Taxonomy (IAPT) by 2018 Research Grants</t>
  </si>
  <si>
    <t>CONICET(Consejo Nacional de Investigaciones Cientificas y Tecnicas (CONICET)); ANPCyT-FONCyT(ANPCyTFONCyT); SECyT-UNC(Secretaria de Ciencia y Tecnologia (SECYT)); International Association for Plant Taxonomy (IAPT) by 2018 Research Grants</t>
  </si>
  <si>
    <t>We thank CONICET, ANPCyT-FONCyT, and SECyT-UNC for financial support; to Direccion Nacional del Antartico for logistic support in Antarctica. This work was supported by ANPCyT-FONCyT under project PICTO 2010-0095 (ANPCyT-DNA); International Association for Plant Taxonomy (IAPT) by 2018 Research Grants; and CONICET under project PIP-11220150100392CO.</t>
  </si>
  <si>
    <t>1477-2000</t>
  </si>
  <si>
    <t>1478-0933</t>
  </si>
  <si>
    <t>SYST BIODIVERS</t>
  </si>
  <si>
    <t>Syst. Biodivers.</t>
  </si>
  <si>
    <t>JUL 4</t>
  </si>
  <si>
    <t>10.1080/14772000.2020.1860151</t>
  </si>
  <si>
    <t>Biodiversity Conservation; Biology</t>
  </si>
  <si>
    <t>Biodiversity &amp; Conservation; Life Sciences &amp; Biomedicine - Other Topics</t>
  </si>
  <si>
    <t>SO9MG</t>
  </si>
  <si>
    <t>WOS:000607241300001</t>
  </si>
  <si>
    <t>Jovane, L; Florindo, F; Wilson, G; Leone, SDPS; Bin Hassan, M; Rodelli, D; Cortese, G</t>
  </si>
  <si>
    <t>Jovane, Luigi; Florindo, Fabio; Wilson, Gary; Leone, Stephanie de Almeida Pecchiai Saldanha; Bin Hassan, Muhammad; Rodelli, Daniel; Cortese, Giuseppe</t>
  </si>
  <si>
    <t>Magnetostratigraphic Chronology of a Cenozoic Sequence From DSDP Site 274, Ross Sea, Antarctica</t>
  </si>
  <si>
    <t>FRONTIERS IN EARTH SCIENCE</t>
  </si>
  <si>
    <t>magnetostratigraphy; grain size; Ross Sea Antarctica; circumpolar current; Oligocene-Early Miocene</t>
  </si>
  <si>
    <t>ENVIRONMENTAL MAGNETIC RECORD; OLIGOCENE RADIOLARIAN BIOSTRATIGRAPHY; STABLE-ISOTOPE RECORDS; MIDDLE MIOCENE CLIMATE; ICE-SHEET SENSITIVITY; VICTORIA LAND BASIN; SOUTHERN-OCEAN; ACQUISITION CURVES; LATE EOCENE; SEDIMENTS</t>
  </si>
  <si>
    <t>New paleomagnetic results from the late Eocene-Middle Miocene samples from Deep Sea Drilling Project Site 274, cored during Leg 28 on the continental rise off Victoria Land, Ross Sea, provide a chronostratigraphic framework for an existing paleoclimate archive during a key period of Antarctic climate and ice sheet evolution. Based on this new age model, the cored late Eocene-Middle Miocene sequence covers an interval of almost 20 Myr (from similar to 35 to similar to 15 Ma). Biostratigraphic constraints allow a number of possible correlations with the Geomagnetic Polarity Time Scale. Regardless of correlation, average interval sediment accumulation rates above 260 mbsf are similar to 6 cm/kyr with the record punctuated by a number of unconformities. Below 260 mbsf (across the Eocene/Oligocene boundary) interval, sedimentation accumulation rates are closer to similar to 1 cm/kyr. A major unconformity identified at similar to 180 mbsf represents at least 9 Myr accounting for the late Oligocene and Early Miocene and represent non-deposition and/or erosion due to intensification of Antarctic Circumpolar Current activity. Significant fluctuations in grain size and magnetic properties observed above the unconformity at 180 mbsf, in the Early Miocene portion of this sedimentary record, reflect cyclical behavior in glacial advance and retreat from the continent. Similar glacial cyclicity has already been identified in other Miocene sequences recovered in drill cores from the Antarctic margin.</t>
  </si>
  <si>
    <t>[Jovane, Luigi; Florindo, Fabio; Leone, Stephanie de Almeida Pecchiai Saldanha; Bin Hassan, Muhammad; Rodelli, Daniel] Univ Sao Paulo, Inst Oceanog, Sao Paulo, Brazil; [Florindo, Fabio] Ist Nazl Geofis &amp; Vulcanol, Rome, Italy; [Florindo, Fabio] Inst Climate Change Solut, Pesaro E Urbino, Italy; [Wilson, Gary; Cortese, Giuseppe] GNS Sci, Lower Hutt, New Zealand; [Wilson, Gary] Univ Otago, Dept Geol &amp; Marine Sci, Dunedin, New Zealand</t>
  </si>
  <si>
    <t>Universidade de Sao Paulo; Istituto Nazionale Geofisica e Vulcanologia (INGV); GNS Science - New Zealand; University of Otago</t>
  </si>
  <si>
    <t>Jovane, L (corresponding author), Univ Sao Paulo, Inst Oceanog, Sao Paulo, Brazil.</t>
  </si>
  <si>
    <t>jovane@usp.br</t>
  </si>
  <si>
    <t>Jovane, Luigi/AAH-5438-2020; Florindo, Fabio/AAU-2548-2021; Florindo, Fabio/F-4119-2010</t>
  </si>
  <si>
    <t>Jovane, Luigi/0000-0003-4348-4714; Florindo, Fabio/0000-0002-6058-9748; Cortese, Giuseppe/0000-0003-1780-3371</t>
  </si>
  <si>
    <t>NSF [OPP 0617194]; Fundacao de Amparo a Pesquisa do Estado de Sao Paulo (FAPESP) [2016/24946-9, 2018/170616]; Coordenacao de Aperfeicoamento de Pessoal de Nivel Superior -Brasil (CAPES) [001]</t>
  </si>
  <si>
    <t>NSF(National Science Foundation (NSF)); Fundacao de Amparo a Pesquisa do Estado de Sao Paulo (FAPESP)(Fundacao de Amparo a Pesquisa do Estado de Sao Paulo (FAPESP)); Coordenacao de Aperfeicoamento de Pessoal de Nivel Superior -Brasil (CAPES)(Coordenacao de Aperfeicoamento de Pessoal de Nivel Superior (CAPES))</t>
  </si>
  <si>
    <t>We thank the editor Hagay Amit and the reviewers for useful comments and corrections which greatly improved the manuscript. The Deep Sea Drilling Project samples and data were provided by the International Ocean Discovery Program (sample requests: 043328-IODP and 069232IODP). The samples were collected at the UC Davis Paleomagnetism Laboratory as part of NSF grant OPP 0617194 to K. L. Verosub. LJ, MBH and DR acknowledge funding from Fundacao de Amparo a Pesquisa do Estado de Sao Paulo (FAPESP) grant 2016/24946-9 and 2018/170616. LJ is also financed by the Coordenacao de Aperfeicoamento de Pessoal de Nivel Superior -Brasil (CAPES)-Finance Code 001. The data are available from the authors upon request.</t>
  </si>
  <si>
    <t>2296-6463</t>
  </si>
  <si>
    <t>FRONT EARTH SC-SWITZ</t>
  </si>
  <si>
    <t>Front. Earth Sci.</t>
  </si>
  <si>
    <t>10.3389/feart.2020.563453</t>
  </si>
  <si>
    <t>PK7AN</t>
  </si>
  <si>
    <t>WOS:000602593000001</t>
  </si>
  <si>
    <t>Cárdenas, P</t>
  </si>
  <si>
    <t>Cardenas, Paco</t>
  </si>
  <si>
    <t>Surface Microornamentation of Demosponge Sterraster Spicules, Phylogenetic and Paleontological Implications</t>
  </si>
  <si>
    <t>Porifera; systematics; Geodia; Placospongia; Rhaxella; microfossils; sterrasters; selenasters</t>
  </si>
  <si>
    <t>SILICEOUS SPONGE SPICULES; DEEP-SEA; TETRACTINELLIDA PORIFERA; MARINE-INVERTEBRATES; GEODIIDAE PORIFERA; MICROSCLERES; FAUNA; ASTROPHORIDA; TAXONOMY; EOCENE</t>
  </si>
  <si>
    <t>Siliceous spicules in demosponges exist in a variety of shapes, some of which look like minute spheres of glass. They are called sterrasters when they belong to the Geodiidae family (Tetractinellida order) and selenasters when they belong to the Placospongiidae family (Clionaida order). Today, the Geodiidae represent a highly diverse sponge family with more than 340 species, occurring in shallow to deep waters worldwide, except for the Antarctic. The molecular phylogeny of Geodiidae is currently difficult to interpret because we are lacking morphological characters to support most of its clades. To fill this knowledge gap, the surface microornamentations of sterrasters were compared in different genera. Observations with scanning electron microscopy revealed four types of surfaces, which remarkably matched some of the Geodiidae genera: type I characteristic of Geodia, type II characteristic of Pachymatisma, Caminus, and some Erylus; type III characteristic of other Erylus; type IV characteristic of Caminella. Two subtypes were identified in Geodia species: warty vs. smooth rosettes. These different microornamentations were mapped on new Geodiidae COI (Folmer fragment) and 28S (C1-D2) phylogenetic trees. The monophyly of the Geodiidae was once again challenged, thereby suggesting that sterrasters have evolved independently at least three times: in the Geodiinae, in the Erylinae and in Caminella. Surface microornamentations were used to review the fossil record of sterrasters and selenasters through the paleontology literature and examination of fossils. It was concluded that rhaxes in the literature may represent mixes of sterrasters and selenasters: while Rhaxella spicules may belong to the Placospongiidae, Rhaxelloides spicules belong to the Geodiidae. The putative Geodiidae fossil genera, Geoditesia, and Geodiopsis, are reallocated to Tetractinellida incertae sedis. Isolated Miocene-Pliocene fossil sterrasters Hataina (Huang, 1967), Silicosphaera (Hughes, 1985) and Conciliaspongia (Robinson and Haslett, 1995) become junior synonyms of Geodia (Lamarck, 1815). Overall, the fossil record suggested that Geodiidae was present at least since the Middle Jurassic (163-166 Mya), while Geodia sterrasters were present since the Santonian/Campanian boundary, Late Cretaceous (83.6 Mya).</t>
  </si>
  <si>
    <t>[Cardenas, Paco] Uppsala Univ, Dept Pharmaceut Biosci, Pharmacognosy, Uppsala, Sweden</t>
  </si>
  <si>
    <t>Uppsala University</t>
  </si>
  <si>
    <t>Cárdenas, P (corresponding author), Uppsala Univ, Dept Pharmaceut Biosci, Pharmacognosy, Uppsala, Sweden.</t>
  </si>
  <si>
    <t>paco.cardenas@farmbio.uu.se</t>
  </si>
  <si>
    <t>Cardenas, Paco/0000-0003-4045-6718</t>
  </si>
  <si>
    <t>European Union's Horizon 2020 Research and Innovation Program [679849]; Inez Johanssons (Uppsala University)</t>
  </si>
  <si>
    <t>European Union's Horizon 2020 Research and Innovation Program; Inez Johanssons (Uppsala University)</t>
  </si>
  <si>
    <t>PC received support by the European Union's Horizon 2020 Research and Innovation Program under Grant Agreement No. 679849 (the SponGES project). This document reflects only the authors' view and the Executive Agency for Small and Medium-sized Enterprises (EASME) is not responsible for any use that may be made of the information it contains. Visits to the NHM and the HBOI collections were funded by Inez Johanssons travel grants to PC (Uppsala University, HT2012, and HT2014).</t>
  </si>
  <si>
    <t>10.3389/fmars.2020.613610</t>
  </si>
  <si>
    <t>PH8XD</t>
  </si>
  <si>
    <t>WOS:000600687300001</t>
  </si>
  <si>
    <t>Cimoli, E; Lucieer, V; Meiners, KM; Chennu, A; Castrisios, K; Ryan, KG; Lund-Hansen, LC; Martin, A; Kennedy, F; Lucieer, A</t>
  </si>
  <si>
    <t>Cimoli, Emiliano; Lucieer, Vanessa; Meiners, Klaus M.; Chennu, Arjun; Castrisios, Katerina; Ryan, Ken G.; Lund-Hansen, Lars Chresten; Martin, Andrew; Kennedy, Fraser; Lucieer, Arko</t>
  </si>
  <si>
    <t>Mapping the in situ microspatial distribution of ice algal biomass through hyperspectral imaging of sea-ice cores</t>
  </si>
  <si>
    <t>FROM-MOTION PHOTOGRAMMETRY; CHLOROPHYLL-A; SPATIAL VARIABILITY; LIGHT-ABSORPTION; LOW-COST; COLONIZATION; SPECTROSCOPY; COMMUNITY; SYSTEM; SCALE</t>
  </si>
  <si>
    <t>Ice-associated microalgae make a significant seasonal contribution to primary production and biogeochemical cycling in polar regions. However, the distribution of algal cells is driven by strong physicochemical gradients which lead to a degree of microspatial variability in the microbial biomass that is significant, but difficult to quantify. We address this methodological gap by employing a field-deployable hyperspectral scanning and photogrammetric approach to study sea-ice cores. The optical set-up facilitated unsupervised mapping of the vertical and horizontal distribution of phototrophic biomass in sea-ice cores at mm-scale resolution (using chlorophyll a [Chl a] as proxy), and enabled the development of novel spectral indices to be tested against extracted Chl a (R-2 &lt;= 0.84). The modelled bio-optical relationships were applied to hyperspectral imagery captured both in situ (using an under-ice sliding platform) and ex situ (on the extracted cores) to quantitatively map Chl a in mg m(-2) at high-resolution (&lt;= 2.4 mm). The optical quantification of Chl a on a per-pixel basis represents a step-change in characterising microspatial variation in the distribution of ice-associated algae. This study highlights the need to increase the resolution at which we monitor under-ice biophysical systems, and the emerging capability of hyperspectral imaging technologies to deliver on this research goal.</t>
  </si>
  <si>
    <t>[Cimoli, Emiliano; Lucieer, Vanessa; Castrisios, Katerina; Martin, Andrew; Kennedy, Fraser] Univ Tasmania, Coll Sci &amp; Engn, Inst Marine &amp; Antarctic Studies, Private Bag 129, Hobart, Tas 7001, Australia; [Meiners, Klaus M.] Australian Antarctic Div, Dept Agr Water &amp; Environm, Kingston, Tas 7050, Australia; [Meiners, Klaus M.] Univ Tasmania, Inst Marine &amp; Antarctic Studies, Australian Antarctic Program Partnership, Hobart, Tas 7001, Australia; [Chennu, Arjun] Max Planck Inst Marine Microbiol, Celsiusstr 1, D-28359 Bremen, Germany; [Chennu, Arjun] Leibinz Ctr Marine Trop Res, Fahrenheitstr 6, D-28359 Bremen, Germany; [Ryan, Ken G.] Victoria Univ Wellington, Sch Biol Sci, POB 600, Wellington, New Zealand; [Lund-Hansen, Lars Chresten] Aarhus Univ, Dept Biosci, Aquat Biol, Ole Worms Alle 1,Bldg 1134, DK-8000 Aarhus CC, Denmark; [Lund-Hansen, Lars Chresten] Aarhus Univ, Arctic Res Ctr, Ny Munkegade 116,Bldg 1540, DK-8000 Aarhus C, Denmark; [Lucieer, Arko] Univ Tasmania, Discipline Geog &amp; Spatial Sci, Sch Technol Environm &amp; Design, Coll Sci &amp; Engn, Private Bag 76, Hobart, Tas 7001, Australia</t>
  </si>
  <si>
    <t>University of Tasmania; Australian Antarctic Division; University of Tasmania; Max Planck Society; Victoria University Wellington; Aarhus University; Aarhus University; University of Tasmania</t>
  </si>
  <si>
    <t>Cimoli, E (corresponding author), Univ Tasmania, Coll Sci &amp; Engn, Inst Marine &amp; Antarctic Studies, Private Bag 129, Hobart, Tas 7001, Australia.</t>
  </si>
  <si>
    <t>emiliano.cimoli@utas.edu.au</t>
  </si>
  <si>
    <t>Lucieer, Arko/F-1247-2013; lucieer, vanessa l/D-1697-2009; Cimoli, Emiliano/H-1862-2018; Kennedy, Fraser/M-5145-2019; Lund-Hansen, Lars Chresten/J-8888-2013; Chennu, Arjun/AAV-8003-2021</t>
  </si>
  <si>
    <t>Lucieer, Arko/0000-0002-9468-4516; Cimoli, Emiliano/0000-0001-7964-2716; Kennedy, Fraser/0000-0003-1796-0764; Chennu, Arjun/0000-0002-0389-5589; Lund-Hansen, Lars Chresten/0000-0001-5925-322X</t>
  </si>
  <si>
    <t>Australian Government under Australian Research Council's Special Research Initiative for Antarctic Gateway Partnership [SR140300001]; New Zealand Antarctic Research Institute (NZARI) [K043]; University of Tasmania's Ph.D. program; Max Planck Society</t>
  </si>
  <si>
    <t>Australian Government under Australian Research Council's Special Research Initiative for Antarctic Gateway Partnership; New Zealand Antarctic Research Institute (NZARI); University of Tasmania's Ph.D. program; Max Planck Society(Max Planck Society)</t>
  </si>
  <si>
    <t>This research was supported by the Australian Government under Australian Research Council's Special Research Initiative for Antarctic Gateway Partnership (Project ID SR140300001), and the New Zealand Antarctic Research Institute (NZARI) grant under project code K043. We are grateful for the support of Antarctica New Zealand and the rest of the K043 team for field-based operation and logistics. We are also thankful to several members of the TerraLuma team for valuable advice and support. Emiliano Cimoli was supported by the Antarctic Gateway Partnership and the University of Tasmania's Ph.D. program. Arjun Chennu acknowledges support from the Max Planck Society.</t>
  </si>
  <si>
    <t>10.1038/s41598-020-79084-6</t>
  </si>
  <si>
    <t>PH0HJ</t>
  </si>
  <si>
    <t>WOS:000600104900015</t>
  </si>
  <si>
    <t>van den Berg, GL; Vermeulen, E; Valenzuela, LO; Bérubé, M; Ganswindt, A; Gröcke, DR; Hall, G; Hulva, P; Neveceralova, P; Palsboll, PJ; Carroll, EL</t>
  </si>
  <si>
    <t>van den Berg, Gideon L.; Vermeulen, Els; Valenzuela, Luciano O.; Berube, Martine; Ganswindt, Andre; Grocke, Darren R.; Hall, Grant; Hulva, Pavel; Neveceralova, Petra; Palsboll, Per J.; Carroll, Emma L.</t>
  </si>
  <si>
    <t>Decadal shift in foraging strategy of a migratory southern ocean predator</t>
  </si>
  <si>
    <t>Bayesian mixing model; cetacean; climate change; foraging ecology; indicator species; reproductive success; SIBER; Southern Ocean; southern right whale; stable isotopes</t>
  </si>
  <si>
    <t>ATLANTIC FIN WHALES; STABLE-ISOTOPES; EUBALAENA-AUSTRALIS; CLIMATE-CHANGE; TROPHIC-LEVEL; FATTY-ACID; BALAENA-MYSTICETUS; DIET ASSESSMENT; MINKE WHALES; SPERM-WHALES</t>
  </si>
  <si>
    <t>Rapid anthropogenic environmental change is expected to impact a host of ecological parameters in Southern Ocean ecosystems. Of critical concern are the consequences of these changes on the range of species that show fidelity to migratory destinations, as philopatry is hypothesized to help or hinder adaptation to climate change depending on the circumstances. Many baleen whales show philopatry to feeding grounds and are also capital breeders that meet migratory and reproductive costs through seasonal energy intake. Southern right whales (Eubalaena australis, SRWs) are capital breeders that have a strong relationship between reproductive output and foraging success. The population dynamics of South Africa's population of SRWs are characterized by two distinct periods: the 1990s, a period of high calving rates; and the late 2010s, a period associated with lowered calving rates. Here we use analyses of stable carbon (delta C-13) and nitrogen (delta N-15) isotope values from SRW biopsy samples (n = 122) collected during these two distinct periods to investigate foraging ecology of the South African population of SRWs over a time period coincident with the demographic shift. We show that South African SRWs underwent a dramatic northward shift, and diversification, in foraging strategy from 1990s to 2010s. Bayesian mixing model results suggest that during the 1990s, South African SRWs foraged on prey isotopically similar to South Georgia/Islas Georgias del Sur krill. In contrast, in the 2010s, South African SRWs foraged on prey isotopically consistent with the waters of the Subtropical Convergence, Polar Front and Marion Island. We hypothesize that this shift represents a response to changes in preferred habitat or prey, for example, the decrease in abundance and southward range contraction of Antarctic krill. By linking reproductive decline to changing foraging strategies for the first time in SRWs, we show that altering foraging strategies may not be sufficient to adapt to a changing ocean.</t>
  </si>
  <si>
    <t>[van den Berg, Gideon L.; Vermeulen, Els; Ganswindt, Andre; Hall, Grant] Univ Pretoria, Mammal Res Inst, Dept Zool &amp; Entomol, Pretoria, South Africa; [Valenzuela, Luciano O.] Univ Quequen, Consejo Nacl Invest Cient &amp; Tecn CONICET, Lab Ecol Evolut Humana LEEH, Fac Ciencias Sociales,Unidad Ensenanza,UNCPBA, Buenos Aires, DF, Argentina; [Valenzuela, Luciano O.] Univ Utah, Sch Biol Sci, Salt Lake City, UT USA; [Valenzuela, Luciano O.] Inst Conservac Ballenas, Buenos Aires, DF, Argentina; [Berube, Martine; Palsboll, Per J.] Univ Groningen, Groningen Inst Evolutionary Life Sci, Marine Evolut &amp; Conservat Grp, Groningen, Netherlands; [Berube, Martine; Palsboll, Per J.] Ctr Coastal Studies, Provincetown, MA USA; [Grocke, Darren R.] Univ Durham, Dept Earth Sci, Stable Isotope Biogeochem Lab SIBL, Durham, England; [Hulva, Pavel; Neveceralova, Petra] Charles Univ Prague, Dept Zool, Fac Sci, Prague, Czech Republic; [Hulva, Pavel] Univ Ostrava, Dept Biol &amp; Ecol, Fac Sci, Ostrava, Czech Republic; [Neveceralova, Petra] Ivanhoe Sea Safaris, Gansbaai, South Africa; [Neveceralova, Petra] Dyer Isl Conservat Trust, Great White House, Kleinbaai, South Africa; [Carroll, Emma L.] Univ Auckland, Sch Biol Sci, Auckland, New Zealand</t>
  </si>
  <si>
    <t>University of Pretoria; Consejo Nacional de Investigaciones Cientificas y Tecnicas (CONICET); Utah System of Higher Education; University of Utah; University of Groningen; Durham University; Charles University Prague; University of Ostrava; University of Auckland</t>
  </si>
  <si>
    <t>Carroll, EL (corresponding author), Univ Auckland, Sch Biol Sci, Auckland, New Zealand.</t>
  </si>
  <si>
    <t>e.carroll@auckland.ac.nz</t>
  </si>
  <si>
    <t>Carroll, Emma/U-9133-2019; Berube, Martine/IWU-4585-2023; Palsboll, Per J/G-6988-2011; Vermeulen, Els/AAW-2716-2020; Ganswindt, Andre/G-9856-2014; Neveceralova, Petra/S-7837-2017; Grocke, Darren R./F-4799-2015; Hall, Grant/J-9886-2016</t>
  </si>
  <si>
    <t>Carroll, Emma/0000-0003-3193-7288; Vermeulen, Els/0000-0002-3667-1290; Ganswindt, Andre/0000-0002-1474-7602; Neveceralova, Petra/0000-0003-0823-3311; Grocke, Darren R./0000-0003-2296-7530; Berube, Martine/0000-0002-1831-2657; Hall, Grant/0000-0002-2164-4900</t>
  </si>
  <si>
    <t>Charles University Grant Agency [1140217]; Newton International Fellowship; Royal Society of New Zealand Te Aparangi</t>
  </si>
  <si>
    <t>Charles University Grant Agency; Newton International Fellowship; Royal Society of New Zealand Te Aparangi(Royal Society of New Zealand)</t>
  </si>
  <si>
    <t>We wish to thank ExxonMobil, Total and ENI for their support in the collection of the 2019 biopsy samples. These biopsy samples were collected under South African Department of Environmental Affairs research permit (RES2019/19), Cape Nature sample collection permit (CN44-28-5255) and ethical clearance from the University of Pretoria Faculty of Natural and Agricultural Sciences Ethics Committee (NAS271/2019). Permits and ethics for the 1990s samples can be found in Carroll et al. (2015) and for the 2015/16 samples in Carroll et al. (2020). Collection of samples from 2015 to 2016 was funded by Charles University Grant Agency (1140217). Stable isotope analysis of the 1990s and 2015/16 samples was funded by a Newton International Fellowship to E.L.C. and E.L.C. was supported by a Rutherford Discovery Fellowship from the Royal Society of New Zealand Te Aparangi. Copepod, krill, and whale clipart used this manuscript were provided by Phylopic. Copepod and krill clipart were used under the Public Domain Dedication 1.0 license and the Public Domain Mark 1.0 license, respectively. Whale clipart was provided by Chris Huh, used under the Creative Commons Attribution-ShareAlike 3.0 Unported license, and only clipart colour was edited. The authors have no conflict of interest to declare.</t>
  </si>
  <si>
    <t>10.1111/gcb.15465</t>
  </si>
  <si>
    <t>Green Published, Green Accepted, Green Submitted</t>
  </si>
  <si>
    <t>WOS:000598484300001</t>
  </si>
  <si>
    <t>Moore, JC; Mettiäinen, I; Wolovick, M; Zhao, LY; Gladstone, R; Chen, Y; Kirchner, S; Koivurova, T</t>
  </si>
  <si>
    <t>Moore, John C.; Mettiainen, Ilona; Wolovick, Michael; Zhao, Liyun; Gladstone, Rupert; Chen, Ying; Kirchner, Stefan; Koivurova, Timo</t>
  </si>
  <si>
    <t>Targeted Geoengineering: Local Interventions with Global Implications</t>
  </si>
  <si>
    <t>GLOBAL POLICY</t>
  </si>
  <si>
    <t>CLIMATE; PERCEPTIONS; OCEAN; CHINA</t>
  </si>
  <si>
    <t>Targeted geoengineering aims to tackle a global scale impact of climate warming by addressing local or regional systemic interventions. We consider three examples: conserving the West Antarctic ice sheet by limiting rates of ice discharge or increasing snow accumulation, thereby reducing global sea level rise; transforming the Arctic permafrost zone into steppe grassland; raising the albedo of Arctic sea ice. There are important differences between targeted interventions and archetypal solar geoengineering, which ideally would have global governance structures, while some targeted interventions may be done entirely under the accepted purview of small numbers of nation states. For example, the West Antarctic ice sheet is governed by the consultative members of the Antarctic Treaty. Of the interventions we look at, only ice sheet conservation seems viable and efficient relative to solar geoengineering. Many important treaties and conventions rely on the precautionary approach. While at first glance this principle seems to argue against targeted interventions, we argue that it may in fact do the opposite. Given the existence of irreversible thresholds in many natural systems, the precautionary approach may be better upheld by a targeted intervention that prevents a system from changing in ways that cannot be undone.</t>
  </si>
  <si>
    <t>[Moore, John C.] Beijing Normal Univ, GCESS, Beijing, Peoples R China; [Moore, John C.] Univ Lapland, Rovaniemi, Finland; [Moore, John C.] CAS Ctr Excellence Tibetan Plateau Earth Sci, Beijing, Peoples R China; [Mettiainen, Ilona; Gladstone, Rupert; Kirchner, Stefan] Univ Lapland, Arctic Ctr, Rovaniemi, Finland; [Wolovick, Michael; Zhao, Liyun] Beijing Normal Univ, Beijing, Peoples R China; [Zhao, Liyun] Southern Marine Sci &amp; Engn Guangdong Lab Zhuhai, Zhuhai, Peoples R China; [Chen, Ying] Chinese Acad Social Sci, Res Inst Ecocivilizat RIEco, Beijing, Peoples R China; [Koivurova, Timo] Univ Lapland, Arctic Ctr, Arctic Governance Res Grp, Rovaniemi, Finland</t>
  </si>
  <si>
    <t>Beijing Normal University; University of Lapland; University of Lapland; Beijing Normal University; Southern Marine Science &amp; Engineering Guangdong Laboratory; Southern Marine Science &amp; Engineering Guangdong Laboratory (Zhuhai); Chinese Academy of Social Sciences; University of Lapland</t>
  </si>
  <si>
    <t>Moore, JC (corresponding author), Beijing Normal Univ, GCESS, Beijing, Peoples R China.;Moore, JC (corresponding author), Univ Lapland, Rovaniemi, Finland.</t>
  </si>
  <si>
    <t>john.moore.bnu@gmail.com</t>
  </si>
  <si>
    <t>Moore, John C/B-2868-2013; Wolovick, Michael/JZE-0247-2024; Koivurova, Timo/L-4458-2013; Gladstone, Rupert/C-1086-2013</t>
  </si>
  <si>
    <t>Moore, John C/0000-0001-8271-5787; Wolovick, Michael/0000-0002-9345-7039; Gladstone, Rupert/0000-0002-1582-3857; Mettiainen, Ilona/0000-0002-2985-040X; Koivurova, Timo/0000-0002-3548-5883</t>
  </si>
  <si>
    <t>National Basic Research Program of China [2016YFA0602701]</t>
  </si>
  <si>
    <t>National Basic Research Program of China(National Basic Research Program of China)</t>
  </si>
  <si>
    <t>Very helpful referee and editor comments improved the manuscript. This research was funded by the National Basic Research Program of China (2016YFA0602701).</t>
  </si>
  <si>
    <t>1758-5880</t>
  </si>
  <si>
    <t>1758-5899</t>
  </si>
  <si>
    <t>GLOB POLICY</t>
  </si>
  <si>
    <t>Glob. Policy</t>
  </si>
  <si>
    <t>10.1111/1758-5899.12867</t>
  </si>
  <si>
    <t>International Relations; Political Science</t>
  </si>
  <si>
    <t>International Relations; Government &amp; Law</t>
  </si>
  <si>
    <t>RS1HI</t>
  </si>
  <si>
    <t>WOS:000598308600001</t>
  </si>
  <si>
    <t>English, CJ; Botwright, NA; Adams, MB; Barnes, AC; Wynne, JW; Lima, PC; Cook, MT</t>
  </si>
  <si>
    <t>English, Chloe J.; Botwright, Natasha A.; Adams, Mark B.; Barnes, Andrew C.; Wynne, James W.; Lima, Paula C.; Cook, Mathew T.</t>
  </si>
  <si>
    <t>Immersion challenge of naive Atlantic salmon with cultured Nolandella sp. and Pseudoparamoeba sp. did not increase the severity of Neoparamoeba perurans-induced amoebic gill disease (AGD)</t>
  </si>
  <si>
    <t>JOURNAL OF FISH DISEASES</t>
  </si>
  <si>
    <t>aetiology; Amoebozoa; aquaculture; gill disease; histopathology</t>
  </si>
  <si>
    <t>PARAMOEBA-PERURANS; SALAR L.; RAINBOW-TROUT; VIRULENCE; INDUCTION; DIVERSITY; INFECTION; PATHOLOGY; EXPOSURE; BACTERIA</t>
  </si>
  <si>
    <t>Amoebic gill disease (AGD) is one of the main health issues impacting farmed Atlantic salmon. Neoparamoeba perurans causes AGD; however, a diversity of other amoeba species colonizes the gills and there is little understanding of whether they are commensal or potentially involved in different stages of gill disease development. Here, we conduct in vivo challenges of naive Atlantic salmon with cultured Nolandella sp. and Pseudoparamoeba sp. to investigate their pathogenicity to Atlantic salmon gills. Additionally, we assessed whether the presence of Nolandella sp. and Pseudoparamoeba sp. influences the onset and/or severity of N. perurans-induced AGD. All three strains attached and multiplied on the gills according to qPCR analysis. Furthermore, minor gross gill lesions and histological changes were observed post-exposure. While N. perurans was found associated with classical AGD lesions, Nolandella sp. and Pseudoparamoeba sp. were not found associated with lesion sites and these lesions did not meet the expected composite of histopathological changes for AGD. Moreover, the presence of these non-N. perurans species did not significantly increase the severity of AGD. This trial provides evidence that cultured Nolandella sp. and Pseudoparamoeba sp. do not induce AGD and do not influence the severity of AGD during the early stages of development.</t>
  </si>
  <si>
    <t>[English, Chloe J.; Barnes, Andrew C.] Univ Queensland, Sch Biol Sci, Brisbane, Qld 4072, Australia; [English, Chloe J.] Bribie Isl Res Ctr, Livestock &amp; Aquaculture, CSIRO, Woorim, Qld, Australia; [Botwright, Natasha A.; Lima, Paula C.; Cook, Mathew T.] CSIRO, Queensland Biosci Precinct, Livestock &amp; Aquaculture, Brisbane, Qld, Australia; [Adams, Mark B.] Univ Tasmania, Inst Marine &amp; Antarctic Studies, Launceston, Tas, Australia; [Wynne, James W.] CSIRO, Livestock &amp; Aquaculture, Hobart, Tas, Australia</t>
  </si>
  <si>
    <t>University of Queensland; Commonwealth Scientific &amp; Industrial Research Organisation (CSIRO); Queensland Department of Agriculture &amp; Fisheries; Commonwealth Scientific &amp; Industrial Research Organisation (CSIRO); University of Tasmania; Commonwealth Scientific &amp; Industrial Research Organisation (CSIRO)</t>
  </si>
  <si>
    <t>English, CJ (corresponding author), Univ Queensland, Sch Biol Sci, Brisbane, Qld 4072, Australia.</t>
  </si>
  <si>
    <t>chloe.english@uqconnect.edu.au</t>
  </si>
  <si>
    <t>Wynne, James W/H-7957-2013; Cook, Mathew T/D-9857-2012; Botwright, Natasha/Q-8690-2019; Barnes, Andrew/J-9012-2014</t>
  </si>
  <si>
    <t>Wynne, James W/0000-0001-6846-757X; Botwright, Natasha/0000-0001-9227-8226; Camargo Lima, Paula/0000-0001-6621-662X; English, Chloe/0000-0002-9904-493X; Barnes, Andrew/0000-0002-3990-8070</t>
  </si>
  <si>
    <t>CSIRO Agriculture and Food</t>
  </si>
  <si>
    <t>0140-7775</t>
  </si>
  <si>
    <t>1365-2761</t>
  </si>
  <si>
    <t>J FISH DIS</t>
  </si>
  <si>
    <t>J. Fish Dis.</t>
  </si>
  <si>
    <t>10.1111/jfd.13319</t>
  </si>
  <si>
    <t>Fisheries; Marine &amp; Freshwater Biology; Veterinary Sciences</t>
  </si>
  <si>
    <t>PR0VI</t>
  </si>
  <si>
    <t>WOS:000597757300001</t>
  </si>
  <si>
    <t>Campagna, J; Lewis, MN; Carman, VG; Campagna, C; Guinet, C; Johnson, M; Davis, RW; Rodríguez, DH; Hindell, MA</t>
  </si>
  <si>
    <t>Campagna, Julieta; Lewis, Mirtha N.; Carman, Victoria Gonzalez; Campagna, Claudio; Guinet, Christophe; Johnson, Mark; Davis, Randall W.; Rodriguez, Diego H.; Hindell, Mark A.</t>
  </si>
  <si>
    <t>Ontogenetic niche partitioning in southern elephant seals from Argentine Patagonia</t>
  </si>
  <si>
    <t>elephant seals; Mirounga leonina; niche partitioning; ontogeny; Pení nsula Valdé s; South Atlantic Ocean</t>
  </si>
  <si>
    <t>BLACK-BROWED ALBATROSSES; JUVENILE SOUTHERN; MIROUNGA-LEONINA; SOUTHWEST ATLANTIC; STABLE-ISOTOPES; FORAGING ECOLOGY; DIVING BEHAVIOR; MARINE FRONTS; AGE STRUCTURE; DEEP DIVERS</t>
  </si>
  <si>
    <t>Elephant seals, Mirounga spp., are highly dimorphic, having different energetic requirements according to age and sex, and foraging in various ecological and oceanographic contexts. Resource partitioning has been shown for the sub-Antarctic populations of southern elephant seals, M. leonina, where colonies are surrounded by narrow shelves that deepen abruptly. In contrast, seals from Peninsula Valdes (Argentina), in the northernmost extent of the breeding range, face an extended, shallow, temperate, and productive continental shelf. We integrated tracking data from 98 animals (juveniles and adults, males and females) gathered over more than two decades, and found that although all available habitats were used, individuals segregated by age and sex. Juvenile males favored shelf habitats, whereas subadult and adult males also used the shelf break. Juvenile females preferred the shelf and the more distant Argentine Basin used by postbreeding and postmolt adult females. Males showed the highest proportion of area-restricted search locations, suggesting more spatially concentrated feeding activity, and likely reflecting a preference for foraging habitat and prey. Our results are consistent with those from other populations, implying that elephant seals show remarkable similarities in habitat use by age and sex classes, despite broad differences in the offshore habitats between sub-Antarctic and temperate ecosystems.</t>
  </si>
  <si>
    <t>[Campagna, Julieta; Lewis, Mirtha N.] CENPAT CONICET, Ctr Estudio Sistemas Marinos CESIMAR, Puerto Madryn, Argentina; [Carman, Victoria Gonzalez] Consejo Nacl Invest Cient &amp; Tecn, Inst Nacl Invest &amp; Desarrollo Pesquero INIDEP, Mar Del Plata, Argentina; [Carman, Victoria Gonzalez; Rodriguez, Diego H.] Univ Nacl Mar del Plata, CONICET, Inst Invest Marinas &amp; Costeras, Mar Del Plata, Argentina; [Campagna, Claudio] Wildlife Conservat Soc, Marine Program, Buenos Aires, DF, Argentina; [Campagna, Claudio] Wildlife Conservat Soc, Argentina Program, Buenos Aires, DF, Argentina; [Guinet, Christophe] Univ La Rochelle, CNRS, Ctr Etud Biol Chize CEBC, Villiers En Bois, France; [Johnson, Mark] Univ St Andrews, Sea Mammal Res Unit, St Andrews, Fife, Scotland; [Johnson, Mark] Aarhus Univ, Dept Biol, Aarhus, Denmark; [Davis, Randall W.] Texas A&amp;M Univ, Dept Marine Biol, Galveston, TX 77553 USA; [Hindell, Mark A.] Univ Tasmania, Inst Marine &amp; Antarctic Studies, Hobart, Tas, Australia</t>
  </si>
  <si>
    <t>Consejo Nacional de Investigaciones Cientificas y Tecnicas (CONICET); Centro Nacional Patagonico (CENPAT); National Fisheries Research &amp; Development Institute (INIDEP); Consejo Nacional de Investigaciones Cientificas y Tecnicas (CONICET); Consejo Nacional de Investigaciones Cientificas y Tecnicas (CONICET); National University of Mar del Plata; Centre National de la Recherche Scientifique (CNRS); La Rochelle Universite; University of St Andrews; Aarhus University; Texas A&amp;M University System; University of Tasmania</t>
  </si>
  <si>
    <t>Campagna, J (corresponding author), CENPAT CONICET, Blvd Almirante Brown 2915,Puerto Madryn U9120ACD, Chubut, Argentina.</t>
  </si>
  <si>
    <t>jcampagna@cenpat-conicet.gob.ar</t>
  </si>
  <si>
    <t>Hindell, Mark A/K-1131-2013; Rodriguez, Diego H./L-3172-2013</t>
  </si>
  <si>
    <t>Campagna, Julieta/0000-0001-8142-5235; Rodriguez, Diego H./0000-0002-5080-3739; Johnson, Mark/0000-0001-8424-3197</t>
  </si>
  <si>
    <t>Wildlife Conservation Society; Consejo Nacional de Investigaciones Cientificas y Tecnicas (CONICET) of Argentina</t>
  </si>
  <si>
    <t>Wildlife Conservation Society; Consejo Nacional de Investigaciones Cientificas y Tecnicas (CONICET) of Argentina(Consejo Nacional de Investigaciones Cientificas y Tecnicas (CONICET))</t>
  </si>
  <si>
    <t>This is a synoptic work that integrated data collected during many years. We are grateful to all the field personnel that assisted in the deployment and recoveries of data loggers, specially to Ricardo Vera, as well as the different institutions that provided financial support, particularly the Wildlife Conservation Society and the Consejo Nacional de Investigaciones Cientificas y Tecnicas (CONICET) of Argentina. All animal handling procedures were performed in accordance with animal ethics standards and followed the guidelines approved by the American Society of Mammalogists (Gannon et al., 2007).</t>
  </si>
  <si>
    <t>10.1111/mms.12770</t>
  </si>
  <si>
    <t>RK9JH</t>
  </si>
  <si>
    <t>WOS:000597669900001</t>
  </si>
  <si>
    <t>Dalaiden, Q; Goosse, H; Lenaerts, JTM; Cavitte, MGP; Henderson, N</t>
  </si>
  <si>
    <t>Dalaiden, Quentin; Goosse, Hugues; Lenaerts, Jan T. M.; Cavitte, Marie G. P.; Henderson, Naomi</t>
  </si>
  <si>
    <t>Future Antarctic snow accumulation trend is dominated by atmospheric synoptic-scale events</t>
  </si>
  <si>
    <t>SURFACE MASS-BALANCE; ERA-INTERIM REANALYSIS; DRONNING MAUD LAND; ICE-SHEET; HYDROLOGICAL CYCLE; CLIMATE; PRECIPITATION; TEMPERATURE; RECONSTRUCTION; OCEAN</t>
  </si>
  <si>
    <t>Over the last century, the increase in snow accumulation has partly mitigated the total dynamic Antarctic Ice Sheet mass loss. However, the mechanisms behind this increase are poorly understood. Here we analyze the Antarctic Ice Sheet atmospheric moisture budget based on climate reanalysis and model simulations to reveal that the interannual variability of regional snow accumulation is controlled by both the large-scale atmospheric circulation and short-lived synoptic-scale events (i.e. storm systems). Yet, when considering the entire continent at the multi-decadal scale, only the synoptic-scale events can explain the recent and expected future snow accumulation increase. In a warmer climate induced by climate change, these synoptic-scale events transport air that can contain more humidity due to the increasing temperatures leading to more precipitation on the continent. Our findings highlight that the multi-decadal and interannual snow accumulation variability is governed by different processes, and that we thus cannot rely directly on the mechanisms driving interannual variations to predict long-term changes in snow accumulation in the future. Long-term changes in future snow accumulation in Antarctica are influenced more strongly by changes in storm systems than the large-scale circulation, according to an analysis of the Antarctic moisture budget from climate simulations and reanalysis data.</t>
  </si>
  <si>
    <t>[Dalaiden, Quentin; Goosse, Hugues; Cavitte, Marie G. P.] Univ Catholique Louvain UCLouvain, Earth &amp; Life Inst ELI, Georges Lemaitre Ctr Earth &amp; Climate Res TECLIM, Pl Louis Pasteur, B-1348 Louvain La Neuve, Belgium; [Lenaerts, Jan T. M.] Univ Colorado, Dept Atmospher &amp; Ocean Sci, Boulder, CO 80309 USA; [Henderson, Naomi] Columbia Univ, Lamont Doherty Earth Observ, Palisades, NY USA</t>
  </si>
  <si>
    <t>Dalaiden, Q (corresponding author), Univ Catholique Louvain UCLouvain, Earth &amp; Life Inst ELI, Georges Lemaitre Ctr Earth &amp; Climate Res TECLIM, Pl Louis Pasteur, B-1348 Louvain La Neuve, Belgium.</t>
  </si>
  <si>
    <t>quentin.dalaiden@uclouvain.be</t>
  </si>
  <si>
    <t>; Lenaerts, Jan/D-9423-2012</t>
  </si>
  <si>
    <t>Cavitte, Marie/0000-0002-5777-0933; Dalaiden, Quentin/0000-0002-3885-3848; Lenaerts, Jan/0000-0003-4309-4011; Henderson, Naomi/0000-0002-9531-2159</t>
  </si>
  <si>
    <t>Belgian Research Action through Interdisciplinary Networks (BRAIN-be) from Belgian Science Policy Office [BR/165/A2/Mass2Ant]; National Science Foundation [1952199]</t>
  </si>
  <si>
    <t>Belgian Research Action through Interdisciplinary Networks (BRAIN-be) from Belgian Science Policy Office; National Science Foundation(National Science Foundation (NSF))</t>
  </si>
  <si>
    <t>We acknowledge the World Climate Research Programme Working Group on Coupled Modelling, which is responsible for CMIP, and we thank the climate modeling groups for producing and making their model outputs available. This work was partly supported by the Belgian Research Action through Interdisciplinary Networks (BRAIN-be) from Belgian Science Policy Office in the framework of the project East Antarctic surface mass balance in the Anthropocene: observations and multiscale modelling (Mass2Ant) (Contrat ndegrees BR/165/A2/Mass2Ant). Q.D. is a Research Fellow with the Fonds pour la formation a la Recherche dans l'Industrie et dans l'Agronomie (FRIA-Belgium) and H.G. is research director within the F.R.S.-FNRS. J.T.M.L. was supported by the National Science Foundation under Award No. 1952199. We would like to acknowledge high-performance computing support from Cheyenne (doi:10.5065/D6RX99HX) provided by NCAR's Computational and Information Systems Laboratory, sponsored by the National Science Foundation for the moisture budget calculations based on CESM2 outputs. We also thank Richard Seager for the initial discussion on the application of the moisture budget for Antarctica and Deborah Verfaillie for her comments on the manuscript.</t>
  </si>
  <si>
    <t>DEC 11</t>
  </si>
  <si>
    <t>10.1038/s43247-020-00062-x</t>
  </si>
  <si>
    <t>UM9MW</t>
  </si>
  <si>
    <t>WOS:000693649400002</t>
  </si>
  <si>
    <t>Ai, XYE; Studer, AS; Sigman, DM; Martínez-García, A; Fripiat, F; Thöle, LM; Michel, E; Gottschalk, J; Arnold, L; Moretti, S; Schmitt, M; Oleynik, S; Jaccard, SL; Haug, GH</t>
  </si>
  <si>
    <t>Ai, Xuyuan E.; Studer, Anja S.; Sigman, Daniel M.; Martinez-Garcia, Alfredo; Fripiat, Francois; Thole, Lena M.; Michel, Elisabeth; Gottschalk, Julia; Arnold, Laura; Moretti, Simone; Schmitt, Mareike; Oleynik, Sergey; Jaccard, Samuel L.; Haug, Gerald H.</t>
  </si>
  <si>
    <t>Southern Ocean upwelling, Earth's obliquity, and glacial-interglacial atmospheric CO2 change</t>
  </si>
  <si>
    <t>SCIENCE</t>
  </si>
  <si>
    <t>MERIDIONAL OVERTURNING CIRCULATION; SURFACE TEMPERATURES; ISOTOPIC EVIDENCE; ANTARCTIC OCEAN; SEA-ICE; CLIMATE; ATLANTIC; PRODUCTIVITY; HOLOCENE; RECORD</t>
  </si>
  <si>
    <t>Previous studies have suggested that during the late Pleistocene ice ages, surface-deep exchange was somehow weakened in the Southern Ocean's Antarctic Zone, which reduced the leakage of deeply sequestered carbon dioxide and thus contributed to the lower atmospheric carbon dioxide levels of the ice ages. Here, high-resolution diatom-bound nitrogen isotope measurements from the Indian sector of the Antarctic Zone reveal three modes of change in Southern Westerly Wind-driven upwelling, each affecting atmospheric carbon dioxide. Two modes, related to global climate and the bipolar seesaw, have been proposed previously. The third mode-which arises from the meridional temperature gradient as affected by Earth's obliquity (axial tilt)-can explain the lag of atmospheric carbon dioxide behind climate during glacial inception and deglaciation. This obliquity-induced lag, in turn, makes carbon dioxide a delayed climate amplifier in the late Pleistocene glacial cycles.</t>
  </si>
  <si>
    <t>[Ai, Xuyuan E.; Sigman, Daniel M.; Oleynik, Sergey] Princeton Univ, Dept Geosci, Princeton, NJ 08544 USA; [Ai, Xuyuan E.; Martinez-Garcia, Alfredo; Moretti, Simone; Schmitt, Mareike; Haug, Gerald H.] Max Planck Inst Chem, Climate Geochem Dept, D-55128 Mainz, Germany; [Studer, Anja S.] Univ Basel, Dept Environm Sci, Basel, Switzerland; [Fripiat, Francois] Univ Libre Bruxelles, Dept Geosci Environm &amp; Soc, Brussels, Belgium; [Thole, Lena M.; Jaccard, Samuel L.] Univ Bern, Inst Geol Sci, Bern, Switzerland; [Thole, Lena M.; Jaccard, Samuel L.] Univ Bern, Oeschger Ctr Climate Change Res, Bern, Switzerland; [Thole, Lena M.] Univ Utrecht, Dept Earth Sci, Utrecht, Netherlands; [Michel, Elisabeth] Lab CNRS CEA UVSQ, Lab Sci Climat &amp; Enviromement LSCE, Gif Sur Yvette, France; [Gottschalk, Julia] Lamont Doherty Earth Observ, Palisades, NY 10964 USA; [Arnold, Laura; Moretti, Simone; Haug, Gerald H.] Swiss Fed Inst Technol, Dept Earth Sci, Zurich, Switzerland; [Gottschalk, Julia] Univ Kiel, Inst Geosci, D-24118 Kiel, Germany; [Jaccard, Samuel L.] Univ Lausanne, Inst Earth Sci, Lausanne, Switzerland</t>
  </si>
  <si>
    <t>Princeton University; Max Planck Society; University of Basel; Universite Libre de Bruxelles; University of Bern; University of Bern; Utrecht University; CEA; Universite Paris Saclay; Columbia University; Swiss Federal Institutes of Technology Domain; ETH Zurich; University of Kiel; University of Lausanne</t>
  </si>
  <si>
    <t>Ai, XYE (corresponding author), Princeton Univ, Dept Geosci, Princeton, NJ 08544 USA.;Ai, XYE (corresponding author), Max Planck Inst Chem, Climate Geochem Dept, D-55128 Mainz, Germany.</t>
  </si>
  <si>
    <t>xuyuana@princeton.edu</t>
  </si>
  <si>
    <t>Studer, Anja S/JVZ-4104-2024; Fripiat, François/ABB-8918-2021; Arnold, Laura/KDP-0467-2024; Sigman, Daniel M./IYJ-2613-2023; Martinez-Garcia, Alfredo/A-6244-2010; Sigman, Daniel M./A-2649-2008; Jaccard, Samuel/G-3447-2014</t>
  </si>
  <si>
    <t>Studer, Anja S/0000-0001-7354-8497; Martinez-Garcia, Alfredo/0000-0002-7206-5079; Sigman, Daniel M./0000-0002-7923-1973; Moretti, Simone/0000-0002-6772-7269; Thole, Lena/0000-0002-5405-3613; Jaccard, Samuel/0000-0002-5793-0896; Ai, Xuyuan/0000-0003-1353-6114; Gottschalk, Julia/0000-0002-0403-3059; Fripiat, Francois/0000-0002-2591-6301</t>
  </si>
  <si>
    <t>U.S. NSF [PLR-1401489]; ExxonMobil through Andlinger Center for Energy and the Environment at Princeton University; Swiss NSF [PBEZP2_145695, PP00P2_144811, PP00P2_172915, P1BEP2_168625]; German Research Foundation (DFG) [GO 2294/2-1]; Max Planck Society; Swiss National Science Foundation (SNF) [P1BEP2_168625, PBEZP2_145695] Funding Source: Swiss National Science Foundation (SNF)</t>
  </si>
  <si>
    <t>U.S. NSF(National Science Foundation (NSF)); ExxonMobil through Andlinger Center for Energy and the Environment at Princeton University(Exxon Mobil Corporation); Swiss NSF(Swiss National Science Foundation (SNSF)); German Research Foundation (DFG)(German Research Foundation (DFG)); Max Planck Society(Max Planck Society); Swiss National Science Foundation (SNF)(Swiss National Science Foundation (SNSF))</t>
  </si>
  <si>
    <t>This study was supported by U.S. NSF grant PLR-1401489 to D.M.S., ExxonMobil through the Andlinger Center for Energy and the Environment at Princeton University, Swiss NSF grant PBEZP2_145695 to A.S.S., Swiss NSF grants PP00P2_144811 and PP00P2_172915 to S.L.J., Swiss NSF grant P1BEP2_168625 to L.M.T., a Global Research Fellowship from the German Research Foundation (DFG grant GO 2294/2-1) to J.G., and the Max Planck Society.</t>
  </si>
  <si>
    <t>0036-8075</t>
  </si>
  <si>
    <t>1095-9203</t>
  </si>
  <si>
    <t>Science</t>
  </si>
  <si>
    <t>10.1126/science.abd2115</t>
  </si>
  <si>
    <t>PC8TH</t>
  </si>
  <si>
    <t>WOS:000597271300048</t>
  </si>
  <si>
    <t>Maggioni, MA; Merati, G; Castiglioni, P; Mendt, S; Gunga, HC; Stahn, AC</t>
  </si>
  <si>
    <t>Maggioni, Martina A.; Merati, Giampiero; Castiglioni, Paolo; Mendt, Stefan; Gunga, Hanns-Christian; Stahn, Alexander C.</t>
  </si>
  <si>
    <t>Reduced vagal modulations of heart rate during overwintering in Antarctica</t>
  </si>
  <si>
    <t>POWER SPECTRUM ANALYSIS; RATE-VARIABILITY; SIMULATED MISSION; SEX-DIFFERENCES; SLEEP; VALIDITY; RHYTHMS; STRESS; MARKER; LONG</t>
  </si>
  <si>
    <t>Long-duration Antarctic expeditions are characterized by isolation, confinement, and extreme environments. Here we describe the time course of cardiac autonomic modulation assessed by heart rate variability (HRV) during 14-month expeditions at the German Neumayer III station in Antarctica. Heart rate recordings were acquired in supine position in the morning at rest once before the expedition (baseline) and monthly during the expedition from February to October. The total set comprised twenty-five healthy crewmembers (n=15 men, 38 +/- 6 yrs, n=10 women, 32 +/- 6 yrs, mean +/- SD). High frequency (HF) power and the ratio of low to high frequency power (LF/HF) were used as indices of vagal modulation and sympathovagal balance. HF power adjusted for baseline differences decreased significantly during the expedition, indicating a gradual reduction in vagal tone. LF/HF powers ratio progressively shifted toward a sympathetic predominance reaching statistical significance in the final trimester (August to October) relative to the first trimester (February to April). This effect was particularly pronounced in women. The depression of cardio-vagal tone and the shift toward a sympathetic predominance observed throughout the overwintering suggest a long-term cardiac autonomic modulation in response to isolation and confinement during Antartic overwintering.</t>
  </si>
  <si>
    <t>[Maggioni, Martina A.; Mendt, Stefan; Gunga, Hanns-Christian; Stahn, Alexander C.] Charite Univ Med Berlin, D-10117 Berlin, Germany; [Maggioni, Martina A.; Mendt, Stefan; Gunga, Hanns-Christian; Stahn, Alexander C.] Humboldt Univ, Freie Univ Berlin, D-10117 Berlin, Germany; [Maggioni, Martina A.; Mendt, Stefan; Gunga, Hanns-Christian; Stahn, Alexander C.] Berlin Inst Hlth, Inst Physiol, Ctr Space Med &amp; Extreme Environm Berlin, D-10117 Berlin, Germany; [Maggioni, Martina A.] Univ Milan, Dept Biomed Sci Hlth, I-20133 Milan, Italy; [Merati, Giampiero; Castiglioni, Paolo] IRCCS Fdn Don Carlo Gnocchi, I-20148 Milan, Italy; [Merati, Giampiero] Univ Insubria, Dept Biotechnol &amp; Life Sci DBSV, I-21100 Varese, Italy; [Stahn, Alexander C.] Univ Penn, Perelman Sch Med, Dept Psychiat, 1016 Blockley Hall,423 Guardian Dr, Philadelphia, PA 19004 USA</t>
  </si>
  <si>
    <t>Free University of Berlin; Humboldt University of Berlin; Charite Universitatsmedizin Berlin; Humboldt University of Berlin; Free University of Berlin; Berlin Institute of Health; University of Milan; IRCCS Fondazione Don Carlo Gnocchi Onlus; University of Insubria; University of Pennsylvania</t>
  </si>
  <si>
    <t>Maggioni, MA; Stahn, AC (corresponding author), Charite Univ Med Berlin, D-10117 Berlin, Germany.;Maggioni, MA; Stahn, AC (corresponding author), Humboldt Univ, Freie Univ Berlin, D-10117 Berlin, Germany.;Maggioni, MA; Stahn, AC (corresponding author), Berlin Inst Hlth, Inst Physiol, Ctr Space Med &amp; Extreme Environm Berlin, D-10117 Berlin, Germany.;Maggioni, MA (corresponding author), Univ Milan, Dept Biomed Sci Hlth, I-20133 Milan, Italy.;Stahn, AC (corresponding author), Univ Penn, Perelman Sch Med, Dept Psychiat, 1016 Blockley Hall,423 Guardian Dr, Philadelphia, PA 19004 USA.</t>
  </si>
  <si>
    <t>martina.maggioni@charite.de; astahn@pennmedicine.upenn.edu</t>
  </si>
  <si>
    <t>Stahn, Alexander/HJI-0059-2023; Maggioni, Martina Anna/P-1351-2019; Merati, Giampiero/AAT-3854-2021</t>
  </si>
  <si>
    <t>Stahn, Alexander/0000-0002-4030-4944; Maggioni, Martina Anna/0000-0002-6319-8566; Mendt, Stefan/0000-0001-8227-9655</t>
  </si>
  <si>
    <t>DLR [50WB1030, 50WB1330, 50WB1525, 50WB1915]</t>
  </si>
  <si>
    <t>DLR(Helmholtz AssociationGerman Aerospace Centre (DLR))</t>
  </si>
  <si>
    <t>This investigation was supported by the DLR grants, 50WB1030, 50WB1330, 50WB1525, and 50WB1915. We thank the crews who participated in the study and the Alfred-Wegener-Institut, Helmholtz-Zentrum fur Polar- und Meeresforschung.</t>
  </si>
  <si>
    <t>10.1038/s41598-020-78722-3</t>
  </si>
  <si>
    <t>PG7YM</t>
  </si>
  <si>
    <t>WOS:000599946500022</t>
  </si>
  <si>
    <t>Rosa, LH; Pinto, OHB; Santl-Temkiv, T; Convey, P; Carvalho-Silva, M; Rosa, CA; Câmara, PEAS</t>
  </si>
  <si>
    <t>Rosa, Luiz Henrique; Bezerra Pinto, Otavio Henrique; Santl-Temkiv, Tina; Convey, Peter; Carvalho-Silva, Micheline; Rosa, Carlos Augusto; Camara, Paulo E. A. S.</t>
  </si>
  <si>
    <t>DNA metabarcoding of fungal diversity in air and snow of Livingston Island, South Shetland Islands, Antarctica</t>
  </si>
  <si>
    <t>HANSENIASPORA-UVARUM; COMMUNITIES; BIODIVERSITY; MACROALGAE; TAXONOMY; NOV.</t>
  </si>
  <si>
    <t>We assessed fungal diversity present in air and freshly deposited snow samples obtained from Livingston Island, Antarctica, using DNA metabarcoding through high throughput sequencing (HTS). A total of 740 m(3) of air were pumped through a 0.22 mu m membrane. Snow obtained shortly after deposition was kept at room temperature and yielded 3.760 L of water, which was filtered using Sterivex membranes of 0.22 mu m mesh size. The total DNA present was extracted and sequenced. We detected 171 fungal amplicon sequence variants (ASVs), 70 from the air and 142 from the snow. They were dominated by the phyla Ascomycota, Basidiomycota, Mortierellomycota and Mucoromycota. Pseudogymnoascus, Cladosporium, Mortierella and Penicillium sp. were the most dominant ASVs detected in the air in rank order. In snow, Cladosporium, Pseudogymnoascus, Penicillium, Meyerozyma, Lecidea, Malassezia, Hanseniaspora, Austroplaca, Mortierella, Rhodotorula, Penicillium, Thelebolus, Aspergillus, Poaceicola, Glarea and Lecanora were the dominant ASVs present. In general, the two fungal assemblages displayed high diversity, richness, and dominance indices, with the assemblage found in snow having the highest diversity indices. Of the total fungal ASVs detected, 29 were only present in the air sample and 101 in the snow sample, with only 41 present in both samples; however, when only the dominant taxa from both samples were compared none occurred only in the air and, among the rare portion, 26 taxa occurred in both air and snow. Application of HTS revealed the presence of a more diverse fungal community in the air and snow of Livingston Island in comparison with studies using traditional isolation methods. The assemblages were dominated by cold-adapted and cosmopolitan fungal taxa, including members of the genera Pseudogymnoascus, Malassezia and Rhodotorula, which include some taxa reported as opportunistic. Our results support the hypothesis that the presence of microbiota in the airspora indicates the possibility of dispersal around Antarctica in the air column. However, further aeromycology studies are required to understand the dynamics of fungal dispersal within and beyond Antarctica.</t>
  </si>
  <si>
    <t>[Rosa, Luiz Henrique; Rosa, Carlos Augusto] Univ Fed Minas Gerais, Inst Ciencias Biol, Dept Microbiol, Lab Microbiol Polar &amp; Conexoes Tropicai, POB 486, BR-31270901 Belo Horizonte, MG, Brazil; [Bezerra Pinto, Otavio Henrique] Univ Brasilia, Dept Biol Celular, Brasilia, DF, Brazil; [Santl-Temkiv, Tina] Aarhus Univ, Dept Biosci, Bldg 1540,Off 124,116 Ny Munkegade, Aarhus C, Denmark; [Convey, Peter] British Antarctic Survey, NERC, High Cross,Madingley Rd, Cambridge CB3 0ET, England; [Carvalho-Silva, Micheline; Camara, Paulo E. A. S.] Univ Brasilia, Dept Botan, Brasilia, DF, Brazil</t>
  </si>
  <si>
    <t>Universidade Federal de Minas Gerais; Universidade de Brasilia; Aarhus University; UK Research &amp; Innovation (UKRI); Natural Environment Research Council (NERC); NERC British Antarctic Survey; Universidade de Brasilia</t>
  </si>
  <si>
    <t>Rosa, LH (corresponding author), Univ Fed Minas Gerais, Inst Ciencias Biol, Dept Microbiol, Lab Microbiol Polar &amp; Conexoes Tropicai, POB 486, BR-31270901 Belo Horizonte, MG, Brazil.</t>
  </si>
  <si>
    <t>Camara, Paulo/GPP-2054-2022; Convey, Peter/AAV-5728-2020</t>
  </si>
  <si>
    <t>Camara, Paulo/0000-0002-3944-996X; Convey, Peter/0000-0001-8497-9903; Pinto, Otavio/0000-0002-8382-2987; Silva, Micheline/0000-0002-2389-3804; Santl-Temkiv, Tina/0000-0002-3446-5813</t>
  </si>
  <si>
    <t>This study received financial support from CNPq, PROANTAR, FAPEMIG, CoordenacAo de Aperfeicoamento de Pessoal de Nivel Superior-Brasil (CAPES), and INCT Criosfera 2. P. Convey is supported by NERC core funding to the British Antarctic Survey's 'Biodiversity, Evolution and Adaptation' Team. We are also grateful for the generous support of the Spanish Polar Committee and its staff at Gabriel de Castilla base. PEASC also thanks congresswoman Jo Moraes. Finally, we appreciate the valuable suggestions of anonymous reviewers.</t>
  </si>
  <si>
    <t>10.1038/s41598-020-78630-6</t>
  </si>
  <si>
    <t>WOS:000599946500005</t>
  </si>
  <si>
    <t>Sporta Caputi, S; Careddu, G; Calizza, E; Fiorentino, F; Maccapan, D; Rossi, L; Costantini, ML</t>
  </si>
  <si>
    <t>Sporta Caputi, Simona; Careddu, Giulio; Calizza, Edoardo; Fiorentino, Federico; Maccapan, Deborah; Rossi, Loreto; Costantini, Maria Letizia</t>
  </si>
  <si>
    <t>Seasonal Food Web Dynamics in the Antarctic Benthos of Tethys Bay (Ross Sea): Implications for Biodiversity Persistence Under Different Seasonal Sea-Ice Coverage</t>
  </si>
  <si>
    <t>Antarctica; climate change; food webs; keystone species; population-wide metrics; seasonal sea-ice dynamics; stable isotopes; trophic interactions</t>
  </si>
  <si>
    <t>TERRA-NOVA BAY; PARTICULATE ORGANIC-MATTER; TROPHIC STRUCTURE; STABLE-ISOTOPES; CLIMATE-CHANGE; LATE SUMMER; PACK ICE; COMMUNITIES; DELTA-C-13; CENTRALITY</t>
  </si>
  <si>
    <t>Determining food web architecture and its seasonal cycles is a precondition for making predictions about Antarctic marine biodiversity under varying climate change scenarios. However, few scientific data concerning Antarctic food web structure, the species playing key roles in web stability and the community responses to changes in sea-ice dynamics are available. Based on C and N stable isotope analysis, we describe Antarctic benthic food webs and the diet of species occurring in shallow waters (Tethys Bay, Ross Sea) before and after seasonal sea-ice break-up. We hypothesized that the increased availability of primary producers (sympagic algae) following sea-ice break-up affects the diet of species and thus food web architecture. Basal resources had distinct isotopic signatures that did not change after sea-ice break-up, enabling a robust description of consumer diets based on Bayesian mixing models. Sympagic algae had the highest delta C-13 (similar to-14 parts per thousand) and red macroalgae the lowest (similar to-37 parts per thousand). Consumer isotopic niches and signatures changed after sea-ice break-up, reflecting the values of sympagic algae. Differences in food web topology were also observed. The number of taxa and the number of links per taxon were higher before the thaw than after it. After sea-ice break-up, sympagic inputs allowed consumers to specialize on abundant resources at lower trophic levels. Foraging optimization by consumers led to a simpler food web, with lower potential competition and shorter food chains. However, basal resources and Antarctic species such as the bivalve Adamussium colbecki and the sea-urchin Sterechinus neumayeri were central and highly connected both before and after the seaice break-up, thus playing key roles in interconnecting species and compartments in the web. Any disturbance affecting these species is expected to have cascading effects on the entire food web. The seasonal break-up of sea ice in Antarctica ensures the availability of resources that are limiting for coastal communities for the rest of the year. Identification of species playing a key role in regulating food web structure in relation to seasonal sea-ice dynamics, which are expected to change with global warming, is central to understanding how these communities will respond to climate change.</t>
  </si>
  <si>
    <t>[Sporta Caputi, Simona; Careddu, Giulio; Calizza, Edoardo; Fiorentino, Federico; Maccapan, Deborah; Rossi, Loreto; Costantini, Maria Letizia] Sapienza Univ Rome, Dept Environm Biol, Rome, Italy; [Rossi, Loreto; Costantini, Maria Letizia] CoNISMa, Rome, Italy</t>
  </si>
  <si>
    <t>Sapienza University Rome; CoNISMa</t>
  </si>
  <si>
    <t>Calizza, E (corresponding author), Sapienza Univ Rome, Dept Environm Biol, Rome, Italy.</t>
  </si>
  <si>
    <t>edoardo.calizza@uniroma1.it</t>
  </si>
  <si>
    <t>Sporta Caputi, Simona/AAL-1803-2021</t>
  </si>
  <si>
    <t>Sporta Caputi, Simona/0000-0003-2878-6175</t>
  </si>
  <si>
    <t>MIUR-PNRA [PNRA-2015/AZ1.01, PNRA16_00291]; Progetti di Ricerca di Ateneo [RM11916B88AD5D75]</t>
  </si>
  <si>
    <t>MIUR-PNRA(Ministry of Education, Universities and Research (MIUR)); Progetti di Ricerca di Ateneo</t>
  </si>
  <si>
    <t>This work was supported by PNRA-2015/AZ1.01 (MLC) and PNRA16_00291 (LR) granted by MIUR-PNRA and the APC was funded by Progetti di Ricerca di Ateneo-RM11916B88AD5D75 (EC).</t>
  </si>
  <si>
    <t>10.3389/fmars.2020.594454</t>
  </si>
  <si>
    <t>PH8PF</t>
  </si>
  <si>
    <t>WOS:000600666700001</t>
  </si>
  <si>
    <t>Vorrath, ME; Müller, J; Rebolledo, L; Cárdenas, P; Shi, XX; Esper, O; Opel, T; Geibert, W; Muñoz, P; Haas, C; Kuhn, G; Lange, CB; Lohmann, G; Mollenhauer, G</t>
  </si>
  <si>
    <t>Vorrath, Maria-Elena; Mueller, Juliane; Rebolledo, Lorena; Cardenas, Paola; Shi, Xiaoxu; Esper, Oliver; Opel, Thomas; Geibert, Walter; Munoz, Praxedes; Haas, Christian; Kuhn, Gerhard; Lange, Carina B.; Lohmann, Gerrit; Mollenhauer, Gesine</t>
  </si>
  <si>
    <t>Sea ice dynamics in the Bransfield Strait, Antarctic Peninsula, during past 240 years: a multi-proxy intercomparison study</t>
  </si>
  <si>
    <t>HIGHLY BRANCHED ISOPRENOIDS; GREENHOUSE-GAS CONCENTRATIONS; NORTHWESTERN WEDDELL SEA; SOUTHERN-OCEAN; SURFACE SEDIMENTS; HBI ALKENES; INSTRUMENTAL PERIOD; GENUS RHIZOSOLENIA; ORGANIC-MATTER; CLIMATE-CHANGE</t>
  </si>
  <si>
    <t>In the last decades, changing climate conditions have had a severe impact on sea ice at the western Antarctic Peninsula (WAP), an area rapidly transforming under global warming. To study the development of spring sea ice and environmental conditions in the pre-satellite era we investigated three short marine sediment cores for their biomarker inventory with a particular focus on the sea ice proxy IPSO25 and micropaleontological proxies. The core sites are located in the Bransfield Strait in shelf to deep basin areas characterized by a complex oceanographic frontal system, coastal influence and sensitivity to large-scale atmospheric circulation patterns. We analyzed geochemical bulk parameters, biomarkers (highly branched isoprenoids, glycerol dialkyl glycerol tetraethers, sterols), and diatom abundances and diversity over the past 240 years and compared them to observational data, sedimentary and ice core climate archives, and results from numerical models. Based on biomarker results we identified four different environmental units characterized by (A) low sea ice cover and high ocean temperatures, (B) moderate sea ice cover with decreasing ocean temperatures, (C) high but variable sea ice cover during intervals of lower ocean temperatures, and (D) extended sea ice cover coincident with a rapid ocean warming. While IPSO25 concentrations correspond quite well to satellite sea ice observations for the past 40 years, we note discrepancies between the biomarker-based sea ice estimates, the long-term model output for the past 240 years, ice core records, and reconstructed atmospheric circulation patterns such as the El Nino-Southern Oscillation (ENSO) and Southern Annular Mode (SAM). We propose that the sea ice biomarker proxies IPSO25 and PIPSO25 are not linearly related to sea ice cover, and, additionally, each core site reflects specific local environmental conditions. High IPSO25 and PIPSO25 values may not be directly interpreted as referring to high spring sea ice cover because variable sea ice conditions and enhanced nutrient supply may affect the production of both the sea-ice-associated and phytoplankton-derived (open marine, pelagic) biomarker lipids. For future interpretations we recommend carefully considering individual biomarker records to distinguish between cold sea-ice-favoring and warm sea-ice-diminishing environmental conditions.</t>
  </si>
  <si>
    <t>[Vorrath, Maria-Elena; Mueller, Juliane; Shi, Xiaoxu; Esper, Oliver; Opel, Thomas; Geibert, Walter; Haas, Christian; Kuhn, Gerhard; Lohmann, Gerrit; Mollenhauer, Gesine] Helmholtz Ctr Polar &amp; Marine Res, Alfred Wegener Inst, Bremerhaven, Germany; [Mueller, Juliane; Mollenhauer, Gesine] Univ Bremen, MARUM Ctr Marine Environm Sci, Bremen, Germany; [Mueller, Juliane] Univ Bremen, Dept Geosci, Bremen, Germany; [Rebolledo, Lorena; Cardenas, Paola; Lange, Carina B.] Univ Austral Chile, Ctr Invest Dinam Ecosistemas Marinos Altas Latitu, Valdivia, Chile; [Rebolledo, Lorena] Inst Antartico Chileno INACH, Punta Arenas, Chile; [Munoz, Praxedes] Univ Catolica Norte, Fac Ciencias Mar, Coquimbo, Chile; [Lange, Carina B.] Univ Concepcion, Ctr Oceanog COPAS Sur Austral, Concepcion, Chile; [Lange, Carina B.] Univ Concepcion, Dept Oceanogratia, Concepcion, Chile; [Lange, Carina B.] Scripps Inst Oceanog, La Jolla, CA 92037 USA</t>
  </si>
  <si>
    <t>Helmholtz Association; Alfred Wegener Institute, Helmholtz Centre for Polar &amp; Marine Research; University of Bremen; University of Bremen; Universidad Austral de Chile; Universidad Catolica del Norte; Universidad de Concepcion; Universidad de Concepcion; University of California System; University of California San Diego; Scripps Institution of Oceanography</t>
  </si>
  <si>
    <t>Vorrath, ME (corresponding author), Helmholtz Ctr Polar &amp; Marine Res, Alfred Wegener Inst, Bremerhaven, Germany.</t>
  </si>
  <si>
    <t>maria-elena.vorrath@awi.de</t>
  </si>
  <si>
    <t>Geibert, Walter/ABA-9785-2020; Haas, Christian/L-5279-2016; IPO, PAGES/JXY-7546-2024; Rebolledo, Lorena/AAP-5867-2020; Vorrath, Maria-Elena/AAS-4675-2020; Mollenhauer, Gesine/AAD-8167-2019; Lange, Carina/AHC-2015-2022; Muñoz, Praxedes/P-5259-2016; Muller, Juliane/L-1875-2013; Opel, Thomas/O-9037-2014</t>
  </si>
  <si>
    <t>Geibert, Walter/0000-0001-8646-2334; Haas, Christian/0000-0002-7674-3500; Vorrath, Maria-Elena/0000-0001-7208-1186; Mollenhauer, Gesine/0000-0001-5138-564X; Lange, Carina/0000-0002-2916-4207; Muñoz, Praxedes/0000-0002-0402-681X; Muller, Juliane/0000-0003-0724-4131; Cardenas, Paola/0000-0003-1464-8046; Rebolledo, Lorena/0000-0003-0266-361X; Opel, Thomas/0000-0003-1315-8256</t>
  </si>
  <si>
    <t>Helmholtz research grant [VH-NG-1101]; IDEAL Center (FONDAP grant) [15150003]; Helmholtz Excellence Network The Polar System and its Effects on the Ocean Floor [ExNet-0001]</t>
  </si>
  <si>
    <t>Helmholtz research grant; IDEAL Center (FONDAP grant); Helmholtz Excellence Network The Polar System and its Effects on the Ocean Floor</t>
  </si>
  <si>
    <t>This research has been supported by a Helmholtz research grant (grant no. VH-NG-1101), the IDEAL Center (FONDAP grant no. 15150003), and the Helmholtz Excellence Network The Polar System and its Effects on the Ocean Floor (grant no. ExNet-0001).</t>
  </si>
  <si>
    <t>10.5194/cp-16-2459-2020</t>
  </si>
  <si>
    <t>PG1TD</t>
  </si>
  <si>
    <t>WOS:000599524400001</t>
  </si>
  <si>
    <t>Domeisen, DIV; Butler, AH</t>
  </si>
  <si>
    <t>Domeisen, Daniela I. V.; Butler, Amy H.</t>
  </si>
  <si>
    <t>Stratospheric drivers of extreme events at the Earth's surface</t>
  </si>
  <si>
    <t>QUASI-BIENNIAL OSCILLATION; NORTH-ATLANTIC OSCILLATION; MADDEN-JULIAN OSCILLATION; TROPICAL TROPOPAUSE LAYER; ANTARCTIC OZONE HOLE; COLD-AIR OUTBREAKS; CLIMATE-CHANGE; POLAR VORTEX; CIRCULATION; VARIABILITY</t>
  </si>
  <si>
    <t>The stratosphere, the layer of the atmosphere at heights between 10-50 km, is an important source of variability for the weather and climate at the Earth's surface on timescales of weeks to decades. Since the stratospheric circulation evolves more slowly than that of the troposphere below, it can contribute to predictability at the surface. Our synthesis of studies on the coupling between the stratosphere and the troposphere reveals that the stratosphere also contributes substantially to a wide range of climate-related extreme events. These extreme events include cold air outbreaks and extreme heat, air pollution, wildfires, wind extremes, and storm clusters, as well as changes in tropical cyclones and sea ice cover, and they can have devastating consequences for human health, infrastructure, and ecosystems. A better understanding of the vertical coupling in the atmosphere, along with improved representation in numerical models, is therefore expected to help predict extreme events on timescales from weeks to decades in terms of the event type, magnitude, frequency, location, and timing. With a better understanding of stratosphere-troposphere coupling, it may be possible to link more tropospheric extremes to stratospheric forcing, which will be crucial for emergency planning and management. Coupling between the stratosphere and the troposphere contributes to extreme events at the Earth's surface, and can help with predictability on timescales from weeks to decades, according to a synthesis of the influence of the stratosphere on surface climate.</t>
  </si>
  <si>
    <t>[Domeisen, Daniela I. V.] Swiss Fed Inst Technol, Inst Atmospher &amp; Climate Sci, Zurich, Switzerland; [Butler, Amy H.] NOAA, Chem Sci Lab, Boulder, CO USA</t>
  </si>
  <si>
    <t>Swiss Federal Institutes of Technology Domain; ETH Zurich; National Oceanic Atmospheric Admin (NOAA) - USA</t>
  </si>
  <si>
    <t>Domeisen, DIV (corresponding author), Swiss Fed Inst Technol, Inst Atmospher &amp; Climate Sci, Zurich, Switzerland.</t>
  </si>
  <si>
    <t>daniela.domeisen@env.ethz.ch</t>
  </si>
  <si>
    <t>Domeisen, Daniela/J-2589-2015; Butler, Amy H/K-6190-2012</t>
  </si>
  <si>
    <t>Domeisen, Daniela/0000-0002-1463-929X; Butler, Amy H/0000-0002-3632-0925</t>
  </si>
  <si>
    <t>Swiss National Science Foundation [PP00P2_170523]; NSF [1756958]; Swiss National Science Foundation (SNF) [PP00P2_170523] Funding Source: Swiss National Science Foundation (SNF); Div Atmospheric &amp; Geospace Sciences; Directorate For Geosciences [1756958] Funding Source: National Science Foundation</t>
  </si>
  <si>
    <t>Swiss National Science Foundation(Swiss National Science Foundation (SNSF)); NSF(National Science Foundation (NSF)); Swiss National Science Foundation (SNF)(Swiss National Science Foundation (SNSF)); Div Atmospheric &amp; Geospace Sciences; Directorate For Geosciences(National Science Foundation (NSF)NSF - Directorate for Geosciences (GEO))</t>
  </si>
  <si>
    <t>Support from the Swiss National Science Foundation through project PP00P2_170523 to D.D. is gratefully acknowledged. A.B. was funded in part by NSF grant #1756958.</t>
  </si>
  <si>
    <t>DEC 10</t>
  </si>
  <si>
    <t>10.1038/s43247-020-00060-z</t>
  </si>
  <si>
    <t>UM9MI</t>
  </si>
  <si>
    <t>WOS:000693647900001</t>
  </si>
  <si>
    <t>Gibbs, M; Scanes, E; Parker, L; Byrne, M; O'Connor, W; Virtue, P; Ross, P</t>
  </si>
  <si>
    <t>Gibbs, Mitchell; Scanes, Elliot; Parker, Laura; Byrne, Maria; O'Connor, Wayne; Virtue, Patti; Ross, Pauline</t>
  </si>
  <si>
    <t>Larval energetics of the Sydney rock oyster Saccostrea glomerata and Pacific oyster Magallana gigas</t>
  </si>
  <si>
    <t>Climate change; Oysters; Pacific oyster; Sydney rock oyster; Lipids; Larval energetics</t>
  </si>
  <si>
    <t>OSTREA-EDULIS L; CRASSOSTREA-GIGAS; PECTEN-MAXIMUS; BIOCHEMICAL-CHANGES; GROWTH; SURVIVAL; MORTALITY; BIVALVE; QUALITY; SCALLOP</t>
  </si>
  <si>
    <t>Larvae are a critical dispersal stage of marine invertebrates, and their survival depends on nutrition and energetics. This study compared the size, survival, metabolic rate and egg and larval lipid class profiles of larvae of the endemic Sydney rock oyster Saccostrea glomerata and the invasive Pacific oyster Magallana gigas through a period of starvation for 5 and 9 d after fertilisation. Starved larvae grew without food until 5 d of age, at which point they stopped developing, but resumed growth when fed. Egg lipids profiles comprised 78.1 and 74.5% triacylglycerol for M. gigas and S. glomerata respectively. When fed, larvae of M. gigas were significantly larger in size and had faster growth and similar survival compared to S. glomerata. When starved, larvae of M. gigas and S. glomerata grew at similar rates, and there was a trend for lower survival of M. gigas. Larval endogenous lipid reserves were deleted in the first 24 h. Larvae of M. gigas had more total lipids and comparatively more diacylglycerols, monoacylglycerols, phospholipids and cholesterol, whereas S. glomerata had more diacylglycerols and produced sterol esters. Starvation altered the patterns of lipid assimilation, and metabolic rates of larvae of M. gigas and S. glomerata differed over time. When starved, S. glomerata larvae had greater capacity to cope with starvation compared to M. gigas, perhaps due to an evolutionary history in oligotrophic estuaries. As the climate rapidly changes in this global climate-change hotspot, S. glomerata is likely to be negatively affected.</t>
  </si>
  <si>
    <t>[Gibbs, Mitchell; Scanes, Elliot; Parker, Laura; Byrne, Maria; Ross, Pauline] Univ Sydney, Sch Life &amp; Environm Sci, Camperdown, NSW 2006, Australia; [Parker, Laura] Univ New South Wales, Sch Biol Earth &amp; Environm Sci, Kensington, NSW 2052, Australia; [O'Connor, Wayne] Port Stephens Fisheries Inst, New South Wales Dept Primary Ind, Taylors Beach, NSW 2316, Australia; [Virtue, Patti] Univ Tasmania, Inst Marine &amp; Antarctic Studies, 20 Castray Esplanade, Battery Point, Tas 7004, Australia; [Virtue, Patti] CSIRO Oceans &amp; Atmosphere, Battery Point, Tas 7004, Australia</t>
  </si>
  <si>
    <t>University of Sydney; University of New South Wales Sydney; NSW Department of Primary Industries; University of Tasmania; Commonwealth Scientific &amp; Industrial Research Organisation (CSIRO)</t>
  </si>
  <si>
    <t>Ross, P (corresponding author), Univ Sydney, Sch Life &amp; Environm Sci, Camperdown, NSW 2006, Australia.</t>
  </si>
  <si>
    <t>pauline.ross@sydney.edu.au</t>
  </si>
  <si>
    <t>Byrne, Maria/K-6355-2016; Ross, Pauline Mary/GNH-4973-2022; O'Connor, Wayne/AAL-8097-2020; Scanes, Elliot/W-1244-2018</t>
  </si>
  <si>
    <t>Byrne, Maria/0000-0002-8902-9808; Ross, Pauline/0000-0002-8714-5194; Scanes, Elliot/0000-0001-7520-3804</t>
  </si>
  <si>
    <t>'GO' Foundation</t>
  </si>
  <si>
    <t>The authors acknowledge the staff at Port Stephens Fisheries Institute for the support in this study. We also acknowledge the financial support provided by the 'GO' Foundation.</t>
  </si>
  <si>
    <t>10.3354/meps13538</t>
  </si>
  <si>
    <t>QL7GX</t>
  </si>
  <si>
    <t>WOS:000621252600004</t>
  </si>
  <si>
    <t>Robinson, SA; Baker, GB; Barclay, C</t>
  </si>
  <si>
    <t>Robinson, Susan A.; Baker, G. Barry; Barclay, Candida</t>
  </si>
  <si>
    <t>Controlling the rainbow lorikeet in Tasmania: is it too late?</t>
  </si>
  <si>
    <t>EMU-AUSTRAL ORNITHOLOGY</t>
  </si>
  <si>
    <t>Invasive species; parrots; wildlife management; conservation</t>
  </si>
  <si>
    <t>Throughout the world, many parrot species have established wild populations outside their natural range through accidental escapes and deliberate releases from captivity. The Rainbow Lorikeet (Trichoglossus moluccanus), native to coastal northern and eastern continental Australia, has established viable populations in Western Australia and New Zealand from escaped or released pets and more recently have established in Tasmania. The Western Australian experience with introduced Rainbow Lorikeets, clearly shows that significant costs and impacts to agriculture, the environment and human amenities can be expected if this species is not controlled in the early stages of population increase, while in New Zealand, early intervention has proven successful in removing the species from the wild. This study examines sighting records of Rainbow Lorikeets in Tasmania which have gradually established over 20 years and we present a model to assist in determining likely population trajectories under various scenarios of control. Modelling indicates that the removal of 200 birds per year from each of the three Tasmanian sub-populations would decrease numbers to near-zero within 4.6 years. This demonstrates the opportunity to effectively control the Rainbow Lorikeet in Tasmania still exists and substantial damage to agriculture and impacts to conservation values can be avoided, resulting in significant cost savings to the Tasmanian community.</t>
  </si>
  <si>
    <t>[Robinson, Susan A.; Barclay, Candida] Biosecur Tasmania, Invas Species Branch, Newtown, Australia; [Baker, G. Barry] Univ Tasmania, Inst Marine &amp; Antarctic Studies, Hobart, Tas, Australia</t>
  </si>
  <si>
    <t>Robinson, SA (corresponding author), Biosecur Tasmania, Invas Species Branch, Newtown, Australia.</t>
  </si>
  <si>
    <t>sue.robinson@dpipwe.tas.gov.au</t>
  </si>
  <si>
    <t>Baker, G. Barry/0000-0003-4766-8182</t>
  </si>
  <si>
    <t>Tasmania's Department of Primary Industries, Parks, Water and Environment</t>
  </si>
  <si>
    <t>The authors thank M. Blythman, J. Febey, R. Gaffney, N. Hamilton, M. Holdsworth, M. Newman, A. Polkanov, R. Pickering, D. Stojanovic, M. Webb and E. Woehler for providing information on rainbow lorikeets and their expertise in numerous ways. K. Jensz and T. Priestley assisted with the preparation of figures. Past and present Wildlife Operations staff are acknowledged for their contribution. We are grateful to the many bird observers who reported sightings and to the members of the public who feed wild birds and willingly assisted in trapping efforts to control rainbow lorikeets in Tasmania. The work was supported by Tasmania's Department of Primary Industries, Parks, Water and Environment.</t>
  </si>
  <si>
    <t>TAYLOR &amp; FRANCIS AUSTRALIA</t>
  </si>
  <si>
    <t>LEVEL 2, 11 QUEENS RD, MELBOURNE, VIC 3004, AUSTRALIA</t>
  </si>
  <si>
    <t>0158-4197</t>
  </si>
  <si>
    <t>1448-5540</t>
  </si>
  <si>
    <t>EMU</t>
  </si>
  <si>
    <t>Emu</t>
  </si>
  <si>
    <t>OCT 1</t>
  </si>
  <si>
    <t>10.1080/01584197.2020.1852574</t>
  </si>
  <si>
    <t>QC9IQ</t>
  </si>
  <si>
    <t>WOS:000598499000001</t>
  </si>
  <si>
    <t>Greco, C; Andersen, DT; Hawes, I; Bowles, AMC; Yallop, ML; Barker, G; Jungblut, AD</t>
  </si>
  <si>
    <t>Greco, Carla; Andersen, Dale T.; Hawes, Ian; Bowles, Alexander M. C.; Yallop, Marian L.; Barker, Gary; Jungblut, Anne D.</t>
  </si>
  <si>
    <t>Microbial Diversity of Pinnacle and Conical Microbial Mats in the Perennially Ice-Covered Lake Untersee, East Antarctica</t>
  </si>
  <si>
    <t>16S rRNA gene; 18S rRNA gene; microbial mat; pinnacles; cones; stromatolite; lake; Antarctica</t>
  </si>
  <si>
    <t>MCMURDO DRY VALLEYS; DRONNING MAUD LAND; FILAMENTOUS CYANOBACTERIA; STROMATOLITE REEF; COMMUNITIES; GROWTH; BIODIVERSITY; ECOSYSTEM; STRATIFICATION; PHOTOSYNTHESIS</t>
  </si>
  <si>
    <t>Antarctic perennially ice-covered lakes provide a stable low-disturbance environment where complex microbially mediated structures can grow. Lake Untersee, an ultra-oligotrophic lake in East Antarctica, has the lake floor covered in benthic microbial mat communities, where laminated organo-sedimentary structures form with three distinct, sympatric morphologies: small, elongated cuspate pinnacles, large complex cones and flat mats. We examined the diversity of prokaryotes and eukaryotes in pinnacles, cones and flat microbial mats using high-throughput sequencing of 16S and 18S rRNA genes and assessed how microbial composition may underpin the formation of these distinct macroscopic mat morphologies under the same environmental conditions. Our analysis identified distinct clustering of microbial communities according to mat morphology. The prokaryotic communities were dominated by Cyanobacteria, Proteobacteria, Verrucomicrobia, Planctomycetes, and Actinobacteria. While filamentous Tychonema cyanobacteria were common in all mat types, Leptolyngbya showed an increased relative abundance in the pinnacle structures only. Our study provides the first report of the eukaryotic community structure of Lake Untersee benthic mats, which was dominated by Ciliophora, Chlorophyta, Fungi, Cercozoa, and Discicristata. The eukaryote richness was lower than for prokaryote assemblages and no distinct clustering was observed between mat morphologies. These findings suggest that cyanobacterial assemblages and potentially other bacteria and eukaryotes may influence structure morphogenesis, allowing distinct structures to form across a small spatial scale.</t>
  </si>
  <si>
    <t>[Greco, Carla; Jungblut, Anne D.] Nat Hist Museum, Dept Life Sci, London, England; [Greco, Carla; Yallop, Marian L.; Barker, Gary] Univ Bristol, Sch Biol Sci, Bristol, Avon, England; [Andersen, Dale T.] SETI Inst, Carl Sagan Ctr, Mountain View, CA USA; [Hawes, Ian] Univ Waikato, Coastal Marine Field Stn, Tauranga, New Zealand; [Bowles, Alexander M. C.] Univ Essex, Sch Life Sci, Colchester, Essex, England</t>
  </si>
  <si>
    <t>Natural History Museum London; University of Bristol; University of Waikato; University of Essex</t>
  </si>
  <si>
    <t>Greco, C; Jungblut, AD (corresponding author), Nat Hist Museum, Dept Life Sci, London, England.;Greco, C (corresponding author), Univ Bristol, Sch Biol Sci, Bristol, Avon, England.</t>
  </si>
  <si>
    <t>c.greco@nhm.ac.uk; a.jungblut@nhm.ac.uk</t>
  </si>
  <si>
    <t>, Marian/JSL-4087-2023; Bowles, Alexander/AAS-2646-2021</t>
  </si>
  <si>
    <t>Bowles, Alexander/0000-0002-7487-3811; Greco, Carla/0000-0002-7661-9825</t>
  </si>
  <si>
    <t>TAWANI Foundation of Chicago; Trottier Family Foundation; NASA's Exobiology Program [80NSSC18K1094]; Arctic and Antarctic Research Institute/Russian Antarctic Expedition; NERC GW4 C Doctoral Training Partnership studentship from the Natural Environmental Research Council [NE/L002434/1]</t>
  </si>
  <si>
    <t>TAWANI Foundation of Chicago; Trottier Family Foundation; NASA's Exobiology Program(National Aeronautics &amp; Space Administration (NASA)); Arctic and Antarctic Research Institute/Russian Antarctic Expedition; NERC GW4 C Doctoral Training Partnership studentship from the Natural Environmental Research Council(UK Research &amp; Innovation (UKRI)Natural Environment Research Council (NERC))</t>
  </si>
  <si>
    <t>This work was supported by the TAWANI Foundation of Chicago, the Trottier Family Foundation, NASA's Exobiology Program (80NSSC18K1094) and the Arctic and Antarctic Research Institute/Russian Antarctic Expedition. CG is supported by a NERC GW4 C Doctoral Training Partnership studentship from the Natural Environmental Research Council (NE/L002434/1). Logistical support was provided by the Antarctic Logistics Centre International (ALCI), Cape Town, South Africa.</t>
  </si>
  <si>
    <t>10.3389/fmicb.2020.607251</t>
  </si>
  <si>
    <t>PI9JT</t>
  </si>
  <si>
    <t>WOS:000601398700001</t>
  </si>
  <si>
    <t>Liang, X; Huang, FX; Yan, JY; Hu, JM</t>
  </si>
  <si>
    <t>Liang, Xia; Huang, Feixin; Yan, Jiyuan; Hu, Jianmin</t>
  </si>
  <si>
    <t>Last exposure process of the Larsemann Hills and adjacent area, East Antarctica, based on bedrock exposure ages</t>
  </si>
  <si>
    <t>Larsemann Hills; Exposure age; Last exposure process; Rate of glacier retreat</t>
  </si>
  <si>
    <t>The East Antarctic Ice Sheet (EAIS) is the largest glacial system in the world, and the evolution history of the EAIS strongly affects global climate change. As one of the most extensive ice-free areas in coastal East Antarctica, the Larsemann Hills represent an important site for understanding the glacial evolution of East Antarctica. Generally, the last exposure process in the Larsemann Hills was considered to occur in the last glacial period. However, the initial time of the last exposure process in the Larsemann Hills remains unclear. This study presents the Be-10 exposure ages of eight bedrock samples with glacial striae, which means that the original uneroded surfaces are preserved, from the Larsemann Hills and neighboring areas. The Be-10 exposure ages ranging from 70.7 +/- 4.7 to 13.5 +/- 1.2 ka indicate that the Larsemann Hills have become ice-free since MIS4. The Be-10 exposure ages with the characteristics of zonal distribution in the E-W direction and ages generally change from north to south, which reveals the combination of glacial retreat and topography differences. The activity of the ice sheet in the Larsemann Hills did not respond to the Last Glacial Maximum (LGM). In contrast, the deglaciation in the Larsemann Hills occurred as a diachronous process during the global last glacial periods, which began long before the LGM and lasted after the LGM. According to the exposure ages in the Larsemann Hills and the distance from the edge of the ice sheet, the average glacial retreat rate since MIS4 has been 71.57 m/ka.</t>
  </si>
  <si>
    <t>[Liang, Xia; Yan, Jiyuan; Hu, Jianmin] Chinese Acad Geol Sci, Inst Geomech, Beijing 100081, Peoples R China; [Liang, Xia; Yan, Jiyuan; Hu, Jianmin] Minist Nat Resources, Key Lab Paleomagnetism &amp; Tecton Reconstruct, Beijing 100081, Peoples R China; [Huang, Feixin] China Met Geol Bur, Inst Mineral Resources Res, Beijing 100025, Peoples R China</t>
  </si>
  <si>
    <t>China Geological Survey; Chinese Academy of Geological Sciences; Institute of Geomechanics, Chinese Academy of Geological Sciences; Ministry of Natural Resources of the People's Republic of China</t>
  </si>
  <si>
    <t>Hu, JM (corresponding author), Chinese Acad Geol Sci, Inst Geomech, Beijing 100081, Peoples R China.</t>
  </si>
  <si>
    <t>jianminhu@vip.sina.com</t>
  </si>
  <si>
    <t>National Natural Science Foundation of China [41406222, 41530209, 40872135]; Project of China Geological Survey [DD20190018]; 29th Chinese Antarctic Scientific Expedition</t>
  </si>
  <si>
    <t>National Natural Science Foundation of China(National Natural Science Foundation of China (NSFC)); Project of China Geological Survey(China Geological Survey); 29th Chinese Antarctic Scientific Expedition</t>
  </si>
  <si>
    <t>We thank Zhaoyan Gu from the Cosmogenic Nuclide Laboratory at the Institute of Geology and Geophysics, Chinese Academy of Science, Beijing, China. This research was funded by the National Natural Science Foundation of China (Grant no. 41406222, 41530209 &amp; 40872135), and the Project of China Geological Survey (Grant Number: DD20190018).; The study's field work was supported by the 29th Chinese Antarctic Scientific Expedition and Professor Zhang Beichen, the director of the Zhongshan Station. Thanks to Wang Wei, Yang Shenggao, Deng deying, Tian Zhongxiang and Yuan Lexian, members of the 29th expedition team, for their participation in the field work.</t>
  </si>
  <si>
    <t>10.1016/j.quaint.2020.10.031</t>
  </si>
  <si>
    <t>PE6ES</t>
  </si>
  <si>
    <t>WOS:000598457500002</t>
  </si>
  <si>
    <t>Wetterich, S; Kizyakov, A; Fritz, M; Wolter, J; Mollenhauer, G; Meyer, H; Fuchs, M; Aksenov, A; Matthes, H; Schirrmeister, L; Opel, T</t>
  </si>
  <si>
    <t>Wetterich, Sebastian; Kizyakov, Alexander; Fritz, Michael; Wolter, Juliane; Mollenhauer, Gesine; Meyer, Hanno; Fuchs, Matthias; Aksenov, Aleksei; Matthes, Heidrun; Schirrmeister, Lutz; Opel, Thomas</t>
  </si>
  <si>
    <t>The cryostratigraphy of the Yedoma cliff of Sobo-Sise Island (Lena delta) reveals permafrost dynamics in the central Laptev Sea coastal region during the last 52 kyr</t>
  </si>
  <si>
    <t>GRAIN-SIZE DISTRIBUTION; ICE-RICH PERMAFROST; GROUND-ICE; ORGANIC-MATTER; RIVER DELTA; PERIGLACIAL LANDSCAPE; NORTHEAST SIBERIA; RADIOCARBON AGE; EAST SIBERIA; PAST CLIMATE</t>
  </si>
  <si>
    <t>The present study examines the formation history and cryolithological properties of the late-Pleistocene Yedoma Ice Complex (IC) and its Holocene cover in the eastern Lena delta on Sobo-Sise Island. The sedimentary sequence was continuously sampled at 0.5 m resolution at a vertical Yedoma cliff starting from 24.2 m above river level (a.r.l.). The sequence differentiates into three cryostratigraphic units: Unit A, dated from ca. 52 to 28 cal kyr BP; Unit B, dated from ca. 28 to 15 cal kyr BP; Unit C, dated from ca. 7 to 0 cal kyr BP. Three chronologic gaps in the record are striking. The hiatus during the interstadial marine isotope stage (MIS) 3 (36-29 cal kyr BP) as well as during stadial MIS 2 (20-17 cal kyr BP) might be related to fluvial erosion and/or changed discharge patterns of the Lena river caused by repeated outburst floods from the glacial Lake Vitim in southern Siberia along the Lena river valley towards the Arctic Ocean. The hiatus during the MIS 2-1 transition (15-7 cal kyr BP) is a commonly observed feature in permafrost chronologies due to intense thermokarst activity of the deglacial period. The chronologic gaps of the Sobo-Sise Yedoma record are similarly found at two neighbouring Yedoma IC sites on Bykovsky Peninsula and Kurungnakh-Sise Island and are most likely of regional importance. The three cryostratigraphic units of the Sobo-Sise Yedoma exhibit distinct signatures in properties of their clastic, organic, and ice components. Higher permafrost aggradation rates of 1 m kyr(-1) with higher organic-matter (OM) stocks (29 +/- 15 kg C m(-3), 2.2 +/- 1.0 kg N m( -3); Unit A) and mainly coarse silt are found for the interstadial MIS 3 if compared to the stadial MIS 2 with 0.7 m kyr(-1) permafrost aggradation, lower OM stocks (14 +/- 8 kg C m(-3), 1.4 +/- 0.4 kg N m(-3); Unit B), and pronounced peaks in the coarse-silt and mediumsand fractions. Geochemical signatures of intra-sedimental ice reflect the differences in summer evaporation and moisture regime by higher ion content and less depleted ratios of stable delta O-18 and stable delta D isotopes but lower deuterium excess (d) values during interstadial MIS 3 if compared to stadial MIS 2. The delta O-18 and delta D composition of MIS 3 and MIS 2 ice wedges shows characteristic well-depleted values and low d values, while MIS 1 ice wedges have elevated mean d values between 11 parts per thousand and 15 parts per thousand and surprisingly low delta O-18 and delta D values. Hence, the isotopic difference between latePleistocene and Holocene ice wedges is more pronounced in d than in delta values. The present study of the permafrost exposed at the Sobo-Sise Yedoma cliff provides a comprehensive cryostrati- graphic inventory, insights into permafrost aggradation, and degradation over the last approximately 52 kyr as well as their climatic and morphodynamic controls on the regional scale of the central Laptev Sea coastal region in NE Siberia.</t>
  </si>
  <si>
    <t>[Wetterich, Sebastian; Fritz, Michael; Wolter, Juliane; Fuchs, Matthias; Schirrmeister, Lutz] Helmholtz Ctr Polar &amp; Marine Res, Alfred Wegener Inst, Permafrost Res, Potsdam, Germany; [Kizyakov, Alexander] Lomonosov Moscow State Univ, Fac Geog, Cryolithol &amp; Glaciol, Moscow, Russia; [Mollenhauer, Gesine] Helmholtz Ctr Polar &amp; Marine Res, Alfred Wegener Inst, Marine Geochem, Bremerhaven, Germany; [Meyer, Hanno; Opel, Thomas] Helmholtz Ctr Polar &amp; Marine Res, Alfred Wegener Inst, Polar Terr Environm Syst, Potsdam, Germany; [Aksenov, Aleksei] Polar Geog Arctic &amp; Antarctic Res Inst, St Petersburg, Russia; [Matthes, Heidrun] Helmholtz Ctr Polar &amp; Marine Res, Alfred Wegener Inst, Atmospher Phys, Potsdam, Germany; [Opel, Thomas] Helmholtz Ctr Polar &amp; Marine Res, Alfred Wegener Inst, PALICE, Bremerhaven, Germany</t>
  </si>
  <si>
    <t>Helmholtz Association; Alfred Wegener Institute, Helmholtz Centre for Polar &amp; Marine Research; Lomonosov Moscow State University; Helmholtz Association; Alfred Wegener Institute, Helmholtz Centre for Polar &amp; Marine Research; Helmholtz Association; Alfred Wegener Institute, Helmholtz Centre for Polar &amp; Marine Research; Helmholtz Association; Alfred Wegener Institute, Helmholtz Centre for Polar &amp; Marine Research; Helmholtz Association; Alfred Wegener Institute, Helmholtz Centre for Polar &amp; Marine Research</t>
  </si>
  <si>
    <t>Wetterich, S (corresponding author), Helmholtz Ctr Polar &amp; Marine Res, Alfred Wegener Inst, Permafrost Res, Potsdam, Germany.</t>
  </si>
  <si>
    <t>sebastian.wetterich@awi.de</t>
  </si>
  <si>
    <t>Schirrmeister, Lutz/AGW-0545-2022; Schirrmeister, Lutz/O-5584-2015; Wetterich, Sebastian/AAD-6569-2019; Matthes, Heidrun/N-1833-2018; Kizyakov, Alexander I/L-6727-2015; Mollenhauer, Gesine/AAD-8167-2019; Meyer, Hanno/AAQ-4260-2021; Аксенов, Алексей/T-5712-2017; Fuchs, Matthias/JKI-2484-2023; Fritz, Michael/AAS-4704-2020; Opel, Thomas/O-9037-2014</t>
  </si>
  <si>
    <t>Schirrmeister, Lutz/0000-0001-9455-0596; Schirrmeister, Lutz/0000-0001-9455-0596; Wetterich, Sebastian/0000-0001-9234-1192; Matthes, Heidrun/0000-0001-9913-7696; Kizyakov, Alexander I/0000-0003-4912-1850; Mollenhauer, Gesine/0000-0001-5138-564X; Meyer, Hanno/0000-0003-4129-4706; Аксенов, Алексей/0000-0002-4950-4571; Fuchs, Matthias/0000-0003-3529-8284; Fritz, Michael/0000-0003-4591-7325; Opel, Thomas/0000-0003-1315-8256</t>
  </si>
  <si>
    <t>Deutsche Forschungsgemeinschaft (DFG) [WE4390/7-1, OP217/4-1]; Horizon 2020 EU framework programme for research and innovation [773421]; NERC-BMBF project CACOON [03F0806A]; Russian Foundation for Basis Research (RFBR) [8-05-60080]; Moscow State University (MSU) research programme [AAAA-A16-116032810095-6]</t>
  </si>
  <si>
    <t>Deutsche Forschungsgemeinschaft (DFG)(German Research Foundation (DFG)); Horizon 2020 EU framework programme for research and innovation(Horizon 2020); NERC-BMBF project CACOON; Russian Foundation for Basis Research (RFBR)(Russian Foundation for Basic Research (RFBR)); Moscow State University (MSU) research programme</t>
  </si>
  <si>
    <t>This research has been supported by the Deutsche Forschungsgemeinschaft (DFG grant no. WE4390/7-1 to Sebastian Wetterich and grant no. OP217/4-1 to Thomas Opel), the Horizon 2020 EU framework programme for research and innovation (grant agreement no. 773421, NUNATARYUK project, to Michael Fritz), the NERC-BMBF project CACOON (grant no. 03F0806A to Matthias Fuchs), the Russian Foundation for Basis Research (RFBR grant no. 8-05-60080 to Alexander Kizyakov), and the Moscow State University (MSU) research programme (grant no. AAAA-A16-116032810095-6 to Alexander Kizyakov).</t>
  </si>
  <si>
    <t>10.5194/tc-14-4525-2020</t>
  </si>
  <si>
    <t>PG1OH</t>
  </si>
  <si>
    <t>WOS:000599511600001</t>
  </si>
  <si>
    <t>Turney, CSM; Jones, RT; McKay, NP; van Sebille, E; Thomas, ZA; Hillenbrand, CD; Fogwill, CJ</t>
  </si>
  <si>
    <t>Turney, Chris S. M.; Jones, Richard T.; McKay, Nicholas P.; van Sebille, Erik; Thomas, Zoe A.; Hillenbrand, Claus-Dieter; Fogwill, Christopher J.</t>
  </si>
  <si>
    <t>A global mean sea surface temperature dataset for the Last Interglacial (129-116 ka) and contribution of thermal expansion to sea level change</t>
  </si>
  <si>
    <t>ANTARCTIC ICE-SHEET; SOUTH ATLANTIC; NORTH-ATLANTIC; CLIMATE-CHANGE; OCEAN; CORE; VARIABILITY; MONSOON; MAXIMUM; PACIFIC</t>
  </si>
  <si>
    <t>A valuable analogue for assessing Earth's sensitivity to warming is the Last Interglacial (LIG; 129-116 ka), when global temperatures (0 to +2 degrees C) and mean sea level (+6 to 11m) were higher than today. The direct contribution of warmer conditions to global sea level (thermosteric) is uncertain. We report here a global network of LIG sea surface temperatures (SST) obtained from various published temperature / proxies (e.g. faunal and floral plankton assemblages, Mg / Ca ratios of calcareous organisms, and alkenone U-37(K')). We summarize the current limitations of SST reconstructions for the LIG and the spatial temperature features of a naturally warmer world. Because of local delta O-18 seawater changes, uncertainty in the age models of marine cores, and differences in sampling resolution and/or sedimentation rates, the reconstructions are restricted to mean conditions. To avoid bias towards individual LIG SSTs based on only a single (and potentially erroneous) measurement or a single interpolated data point, here we report average values across the entire LIG. Each site reconstruction is given as an anomaly relative to 1981-2010, corrected for ocean drift, and where available seasonal estimates are provided (189 annual, 99 December-February, and 92 June-August records). To investigate the sensitivity of the reconstruction to high temperatures, we also report maximum values during the first 5 millennia of the LIG (129-124 ka). We find mean global annual SST anomalies of 0.2 +/- 0.1 degrees C averaged across the LIG and an early maximum peak of 0.9 +/- 0.1 degrees C, respectively. The global dataset provides a remarkably coherent pattern of higher SST increases at polar latitudes than in the tropics (demonstrating the polar amplification of surface temperatures during the LIG), with comparable estimates between different proxies. Polewards of 45 degrees latitude, we observe annual SST anomalies averaged across the full LIG of &gt; 0.8 +/- 0.3 degrees C in both hemispheres with an early maximum peak of &gt; 2.1 +/- 0.3 degrees C. Using the reconstructed SSTs suggests a mean LIG global thermosteric sea level rise of 0.08 +/- 0.1 m and a peak contribution of 0.39 +/- 0.1 m, respectively (assuming warming penetrated to 2000 m depth). The data provide an important natural baseline for a warmer world, constraining the contributions of Greenland and Antarctic ice sheets to global sea level during a geographically widespread expression of high sea level, and can be used to test the next inter-comparison of models for projecting future climate change. The dataset described in this paper, including summary temperature and thermosteric sea level reconstructions, is available at https://doi.org/10.1594/PANGAEA.904381 (Turney et al., 2019).</t>
  </si>
  <si>
    <t>[Turney, Chris S. M.; Thomas, Zoe A.; Fogwill, Christopher J.] Univ New South Wales, Sch Biol Earth &amp; Environm Sci, Earth &amp; Sustainabil Sci Res Ctr, Sydney, NSW, Australia; [Turney, Chris S. M.; Thomas, Zoe A.] Univ New South Wales, Sch Biol Earth &amp; Environm Sci, ARC Ctr Excellence Australian Biodivers &amp; Heritag, Sydney, NSW, Australia; [Jones, Richard T.] Exeter Univ, Dept Geog, Exeter EX4 4RJ, Devon, England; [McKay, Nicholas P.] No Arizona Univ, Sch Earth &amp; Sustainabil, Flagstaff, AZ 86011 USA; [van Sebille, Erik] Imperial Coll London, Grantham Inst, London SW7 2AZ, England; [van Sebille, Erik] Imperial Coll London, Dept Phys, London SW7 2AZ, England; [van Sebille, Erik] Univ Utrecht, Inst Marine &amp; Atmospher Res Utrecht, Utrecht, Netherlands; [Hillenbrand, Claus-Dieter] British Antarctic Survey, Madingley Rd, Cambridge CB3 0ET, England; [Fogwill, Christopher J.] Keele Univ, Sch Geog Geol &amp; Environm, Keele ST5 5BG, Staffs, England</t>
  </si>
  <si>
    <t>University of New South Wales Sydney; University of New South Wales Sydney; University of Exeter; Northern Arizona University; Imperial College London; Imperial College London; Utrecht University; UK Research &amp; Innovation (UKRI); Natural Environment Research Council (NERC); NERC British Antarctic Survey; Keele University</t>
  </si>
  <si>
    <t>Turney, CSM (corresponding author), Univ New South Wales, Sch Biol Earth &amp; Environm Sci, Earth &amp; Sustainabil Sci Res Ctr, Sydney, NSW, Australia.;Turney, CSM (corresponding author), Univ New South Wales, Sch Biol Earth &amp; Environm Sci, ARC Ctr Excellence Australian Biodivers &amp; Heritag, Sydney, NSW, Australia.</t>
  </si>
  <si>
    <t>c.turney@unsw.edu.au</t>
  </si>
  <si>
    <t>van Sebille, Erik/F-6781-2010; Fogwill, Christopher/HPF-1150-2023; McKay, Nicholas Paul/JYQ-5440-2024; Thomas, Zoe/D-1656-2016; Turney, Chris/P-8701-2018</t>
  </si>
  <si>
    <t>Thomas, Zoe/0000-0002-2323-4366; van Sebille, Erik/0000-0003-2041-0704; Turney, Chris/0000-0001-6733-0993; McKay, Nicholas/0000-0003-3598-5113; Fogwill, Christopher/0000-0002-6471-1106</t>
  </si>
  <si>
    <t>Australian Research Council [FL100100195, FT120100004, DE200100907]; Australian Research Council [DE200100907] Funding Source: Australian Research Council; NERC [bas0100030] Funding Source: UKRI</t>
  </si>
  <si>
    <t>Australian Research Council(Australian Research Council); Australian Research Council(Australian Research Council); NERC(UK Research &amp; Innovation (UKRI)Natural Environment Research Council (NERC))</t>
  </si>
  <si>
    <t>This research has been supported by the Australian Research Council (grant nos. FL100100195, FT120100004, and DE200100907).</t>
  </si>
  <si>
    <t>10.5194/essd-12-3341-2020</t>
  </si>
  <si>
    <t>PG1OB</t>
  </si>
  <si>
    <t>WOS:000599511000001</t>
  </si>
  <si>
    <t>Napoleoni, F; Jamieson, SSR; Ross, N; Bentley, MJ; Rivera, A; Smith, AM; Siegert, MJ; Paxman, GJG; Gacitúa, G; Uribe, JA; Zamora, R; Brisbourne, AM; Vaughan, DG</t>
  </si>
  <si>
    <t>Napoleoni, Felipe; Jamieson, Stewart S. R.; Ross, Neil; Bentley, Michael J.; Rivera, Andres; Smith, Andrew M.; Siegert, Martin J.; Paxman, Guy J. G.; Gacitua, Guisella; Uribe, Jose A.; Zamora, Rodrigo; Brisbourne, Alex M.; Vaughan, David G.</t>
  </si>
  <si>
    <t>Subglacial lakes and hydrology across the Ellsworth Subglacial Highlands, West Antarctica</t>
  </si>
  <si>
    <t>BENEATH THWAITES GLACIER; PINE ISLAND GLACIER; ICE STREAM C; RADAR ATTENUATION; WATER-SYSTEM; SIPLE DOME; SHEET; FLOW; MODEL; BED</t>
  </si>
  <si>
    <t>Subglacial water plays an important role in ice sheet dynamics and stability. Subglacial lakes are often located at the onset of ice streams and have been hypothesised to enhance ice flow downstream by lubricating the ice- bed interface. The most recent subglacial-lake inventory of Antarctica mapped nearly 400 lakes, of which similar to 14 % are found in West Antarctica. Despite the potential importance of subglacial water for ice dynamics, there is a lack of detailed subglacial-water characterisation in West Antarctica. Using radio-echo sounding data, we analyse the ice-bed interface to detect subglacial lakes. We report 33 previously uncharted subglacial lakes and present a systematic analysis of their physical properties. This represents a similar to 40 % increase in subglacial lakes in West Antarctica. Additionally, a new digital elevation model of basal topography of the Ellsworth Subglacial Highlands was built and used to create a hydropotential model to simulate the subglacial hydrological network. This allows us to characterise basal hydrology, determine subglacial water catchments and assess their connectivity. We show that the simulated subglacial hydrological catchments of the Rutford Ice Stream, Pine Island Glacier and Thwaites Glacier do not correspond to their ice surface catchments.</t>
  </si>
  <si>
    <t>[Napoleoni, Felipe; Jamieson, Stewart S. R.; Bentley, Michael J.; Paxman, Guy J. G.] Univ Durham, Dept Geog, Durham DH1 3LE, England; [Ross, Neil] Newcastle Univ, Sch Geog Polit &amp; Sociol, Newcastle Upon Tyne NE1 7RU, Tyne &amp; Wear, England; [Rivera, Andres] Univ Chile, Dept Geog, Portugal 84, Santiago, Chile; [Rivera, Andres] Univ Austral Chile, Fac Ciencias Forestales &amp; Recursos Nat, Inst Conservac Biodiversidad &amp; Terr, Valdivia, Chile; [Smith, Andrew M.; Brisbourne, Alex M.; Vaughan, David G.] British Antarctic Survey, Madingley Rd, Cambridge CB3 0ET, England; [Siegert, Martin J.] Imperial Coll London, Grantham Inst, Dept Earth Sci &amp; Engn, London SW7 2AZ, England; [Paxman, Guy J. G.] Columbia Univ, Lamont Doherty Earth Observ, Palisades, NY USA; [Gacitua, Guisella] Univ Austral Chile, Fac Ciencias, Inst Ciencias Fis &amp; Matemat, Valdivia, Chile; [Uribe, Jose A.; Zamora, Rodrigo] Ctr Estudios Cient, Arturo Prat 514, Valdivia, Chile</t>
  </si>
  <si>
    <t>Durham University; Newcastle University - UK; Universidad de Chile; Universidad Austral de Chile; UK Research &amp; Innovation (UKRI); Natural Environment Research Council (NERC); NERC British Antarctic Survey; Imperial College London; Columbia University; Universidad Austral de Chile</t>
  </si>
  <si>
    <t>Napoleoni, F (corresponding author), Univ Durham, Dept Geog, Durham DH1 3LE, England.</t>
  </si>
  <si>
    <t>felipe.a.napoleoni@durham.ac.uk</t>
  </si>
  <si>
    <t>Brisbourne, Alex/E-6198-2013; Bentley, Michael J/F-7386-2011; Siegert, Martin/M-9939-2019; Vaughan, David/C-8348-2011; Jamieson, Stewart/B-8330-2013</t>
  </si>
  <si>
    <t>Bentley, Michael J/0000-0002-2048-0019; Siegert, Martin/0000-0002-0090-4806; Rivera, Andres/0000-0002-2779-4192; Paxman, Guy/0000-0003-1787-7442; SMITH, ANDREW/0000-0001-8577-482X; Jamieson, Stewart/0000-0002-9036-2317; Uribe Parada, Jose Andres/0000-0002-5281-2719</t>
  </si>
  <si>
    <t>Natural Environment Research Council (NERC) UK [NE/J008176/1]; Agencia Nacional de Investigacion y Desarrollo (ANID) Programa Becas de Doctorado en el Extranjero, Beca Chile [72180535]; NERC [bas0100034, bas010011, NE/G00336X/1, NE/G00465X/3] Funding Source: UKRI</t>
  </si>
  <si>
    <t>Natural Environment Research Council (NERC) UK(UK Research &amp; Innovation (UKRI)Natural Environment Research Council (NERC)); Agencia Nacional de Investigacion y Desarrollo (ANID) Programa Becas de Doctorado en el Extranjero, Beca Chile; NERC(UK Research &amp; Innovation (UKRI)Natural Environment Research Council (NERC))</t>
  </si>
  <si>
    <t>This research has been supported by the Natural Environment Research Council (NERC) UK (grant no. NE/J008176/1) and by the Agencia Nacional de Investigacion y Desarrollo (ANID) Programa Becas de Doctorado en el Extranjero, Beca Chile (numero folio 72180535).</t>
  </si>
  <si>
    <t>10.5194/tc-14-4507-2020</t>
  </si>
  <si>
    <t>PG1HZ</t>
  </si>
  <si>
    <t>WOS:000599494900001</t>
  </si>
  <si>
    <t>Mac-lean, C; Vargas, LS; Uribe, G; Aldea, C; Lares, L; Mercado, O</t>
  </si>
  <si>
    <t>Mac-lean, Claudia; Vargas, Luis Santiago; Uribe, Gonzalo; Aldea, Cristian; Lares, Lorna; Mercado, Oscar</t>
  </si>
  <si>
    <t>Sustainability governing entities in higher education throughout Chile</t>
  </si>
  <si>
    <t>INTERNATIONAL JOURNAL OF SUSTAINABILITY IN HIGHER EDUCATION</t>
  </si>
  <si>
    <t>University; Governance; Sustainability; Higher education; Sustainability office; Sustainability governing entities</t>
  </si>
  <si>
    <t>CHANGE MANAGEMENT; GOVERNANCE</t>
  </si>
  <si>
    <t>Purpose The purpose of this paper is to provide a panoramic and systematic view of 10 Sustainable Campus Network (SCN) universities' internal entities in charge of the sustainability effort - such as offices, committees, units, programs, or other, showing how some institutions have gained increasing deployment and momentum. However, their appearance and growth pathways have had significant disparities. Design/methodology/approach Global and local agendas have had a strong influence on Chilean higher education institutions. A relevant signal has been the creation of the SCN, formed by 21 Chilean universities, whose vision is to help shape a fair and environmentally healthy civilization contributing from the higher education realm. This work adopts a survey design methodological approach. It describes the following resulting components obtained from the aggregated data: (a) emergence processes and environments, (b) governance models and operational mechanisms, (c) networks and collaboration, and (d) final products generated, for sustainability governing entities within universities in Chile. Findings The main findings indicate that at the institutional level, the Cleaner Production Agreement for higher education institutions and the creation of the SCN have been key drivers in the formalization of several entities leading the sustainability efforts within Chilean universities. Also, regarding the degree of commitment to sustainability, the most active internal stakeholder corresponds to students. Originality/value The present work represents a pioneering effort in the Chilean context to identify and systematize the challenges, organizational structures, and key accomplishments of sustainability governing entities in higher education nationwide.</t>
  </si>
  <si>
    <t>[Mac-lean, Claudia; Aldea, Cristian] Univ Magallanes, GAIA Antarctic Res Ctr, Punta Arenas, Chile; [Vargas, Luis Santiago] Univ Chile, Dept Elect Engn, Santiago, Chile; [Vargas, Luis Santiago] Inst Sistemas Complejos Ingn ISCI, Santiago, Chile; [Uribe, Gonzalo] Univ Magallanes, Outreach, Punta Arenas, Chile; [Aldea, Cristian] Univ Magallanes, Dept Sci &amp; Nat Resources, Punta Arenas, Chile; [Lares, Lorna] Univ Chile, Ind Design Dept, Santiago, Chile; [Mercado, Oscar] Metropolitan Technol Univ, Sustainabil Program, Santiago, Chile</t>
  </si>
  <si>
    <t>Universidad de Magallanes; Universidad de Chile; Universidad de Magallanes; Universidad de Magallanes; Universidad de Chile; Universidad Tecnologica Metropolitana</t>
  </si>
  <si>
    <t>Mac-lean, C (corresponding author), Univ Magallanes, GAIA Antarctic Res Ctr, Punta Arenas, Chile.</t>
  </si>
  <si>
    <t>clau.maclean.b@gmail.com; lvargasd@ing.uchile.cl; gonzalo.uribe@umag.cl; cristian.aldea@umag.cl; lolares@uchilefau.cl; omercado@utem.cl</t>
  </si>
  <si>
    <t>Aldea, Cristian/J-5391-2013; vargas, luis/A-2109-2011</t>
  </si>
  <si>
    <t>vargas, Luis/0000-0001-6539-1768; Aldea, Cristian/0000-0002-4473-6509</t>
  </si>
  <si>
    <t>CONICYT PIA/BASAL [AFB180003]</t>
  </si>
  <si>
    <t>CONICYT PIA/BASAL(Comision Nacional de Investigacion Cientifica y Tecnologica (CONICYT)CONICYT PIA/BASAL)</t>
  </si>
  <si>
    <t>The authors gratefully acknowledge financial support from CONICYT PIA/BASAL AFB180003.</t>
  </si>
  <si>
    <t>EMERALD GROUP PUBLISHING LTD</t>
  </si>
  <si>
    <t>BINGLEY</t>
  </si>
  <si>
    <t>HOWARD HOUSE, WAGON LANE, BINGLEY BD16 1WA, W YORKSHIRE, ENGLAND</t>
  </si>
  <si>
    <t>1467-6370</t>
  </si>
  <si>
    <t>1758-6739</t>
  </si>
  <si>
    <t>INT J SUST HIGHER ED</t>
  </si>
  <si>
    <t>Int. J. Sustain. High. Educ.</t>
  </si>
  <si>
    <t>10.1108/IJSHE-04-2020-0119</t>
  </si>
  <si>
    <t>Green &amp; Sustainable Science &amp; Technology; Education &amp; Educational Research</t>
  </si>
  <si>
    <t>Science &amp; Technology - Other Topics; Education &amp; Educational Research</t>
  </si>
  <si>
    <t>PZ7RR</t>
  </si>
  <si>
    <t>WOS:000599180700001</t>
  </si>
  <si>
    <t>Veytia, D; Corney, S; Meiners, KM; Kawaguchi, S; Murphy, EJ; Bestley, S</t>
  </si>
  <si>
    <t>Veytia, Devi; Corney, Stuart; Meiners, Klaus M.; Kawaguchi, So; Murphy, Eugene J.; Bestley, Sophie</t>
  </si>
  <si>
    <t>Circumpolar projections of Antarctic krill growth potential (vol 10, pg 568, 2020)</t>
  </si>
  <si>
    <t>NATURE CLIMATE CHANGE</t>
  </si>
  <si>
    <t>An amendment to this paper has been published and can be accessed via a link at the top of the paper.</t>
  </si>
  <si>
    <t>Devi.Veytia@utas.edu.au</t>
  </si>
  <si>
    <t>Bestley, Sophie/AAN-2483-2021; Kawaguchi, So/N-1795-2017; murphy, eugene/GZL-1620-2022</t>
  </si>
  <si>
    <t>Bestley, Sophie/0000-0001-9342-669X; Kawaguchi, So/0000-0002-2042-5095; Veytia, Devi/0000-0001-6268-1508; Murphy, Eugene/0000-0002-7369-9196; Corney, Stuart/0000-0002-8293-0863</t>
  </si>
  <si>
    <t>1758-678X</t>
  </si>
  <si>
    <t>1758-6798</t>
  </si>
  <si>
    <t>NAT CLIM CHANGE</t>
  </si>
  <si>
    <t>Nat. Clim. Chang.</t>
  </si>
  <si>
    <t>10.1038/s41558-020-00978-4</t>
  </si>
  <si>
    <t>Environmental Sciences; Environmental Studies; Meteorology &amp; Atmospheric Sciences</t>
  </si>
  <si>
    <t>PO7AR</t>
  </si>
  <si>
    <t>WOS:000597433000001</t>
  </si>
  <si>
    <t>Williams, BA; Watson, JEM; Butchart, SHM; Ward, M; Brooks, TM; Butt, N; Bolam, FC; Stuart, SN; Mair, L; McGowan, PJK; Gregory, R; Hilton-Taylor, C; Mallon, D; Harrison, I; Simmonds, JS</t>
  </si>
  <si>
    <t>Williams, Brooke A.; Watson, James E. M.; Butchart, Stuart H. M.; Ward, Michelle; Brooks, Thomas M.; Butt, Nathalie; Bolam, Friederike C.; Stuart, Simon N.; Mair, Louise; McGowan, Philip J. K.; Gregory, Richard; Hilton-Taylor, Craig; Mallon, David; Harrison, Ian; Simmonds, Jeremy S.</t>
  </si>
  <si>
    <t>A robust goal is needed for species in the Post-2020 Global Biodiversity Framework</t>
  </si>
  <si>
    <t>Aichi targets; biodiversity; conservation; Convention on Biological Diversity; extinction; Global Biodiversity Framework; IUCN Red List; Post‐ 2020; Zero Draft</t>
  </si>
  <si>
    <t>RED LIST INDEXES; TRENDS; CONSERVATION; EXTINCTION; BIRDS</t>
  </si>
  <si>
    <t>In 2010, Parties to the Convention on Biological Diversity (CBD) adopted the Strategic Plan for Biodiversity 2011-2020 to address the loss and degradation of nature. Subsequently, most biodiversity indicators continued to decline. Nevertheless, conservation actions can make a positive difference for biodiversity. The emerging Post-2020 Global Biodiversity Framework has potential to catalyze efforts to bend the curve of biodiversity loss. Thus, the inclusion of a goal on species, articulated as Goal B in the Zero Draft of the Post-2020 Framework, is essential. However, as currently formulated, this goal is inadequate for preventing extinctions, and reversing population declines; both of which are required to achieve the CBD's 2030 Mission. We contend it is unacceptable that Goal B could be met while most threatened species deteriorated in status and many avoidable species extinctions occurred. We examine the limitations of the current wording and propose an articulation with robust scientific basis. A goal for species that strives to end extinctions and recover populations of all species that have experienced population declines, and especially those at risk of extinction, would help to align actors toward the transformative actions and interventions needed for humans to live in harmony with nature.</t>
  </si>
  <si>
    <t>[Williams, Brooke A.; Watson, James E. M.; Ward, Michelle; Butt, Nathalie; Simmonds, Jeremy S.] Univ Queensland, Sch Earth &amp; Environm Sci, St Lucia, Qld 4072, Australia; [Williams, Brooke A.; Watson, James E. M.; Ward, Michelle; Butt, Nathalie; Simmonds, Jeremy S.] Univ Queensland, Ctr Biodivers &amp; Conservat Sci, St Lucia, Qld, Australia; [Watson, James E. M.] Wildlife Conservat Soc, Global Conservat Program, Bronx, NY USA; [Butchart, Stuart H. M.] BirdLife Int, Cambridge, England; [Butchart, Stuart H. M.] Univ Cambridge, Dept Zool, Cambridge, England; [Brooks, Thomas M.; Harrison, Ian] IUCN, Gland, Switzerland; [Brooks, Thomas M.] Univ Philippines Los Banos, World Agroforestry Ctr ICRAF, Laguna, Philippines; [Brooks, Thomas M.] Univ Tasmania, Inst Marine &amp; Antarctic Studies, Hobart, Tas, Australia; [Bolam, Friederike C.; Mair, Louise; McGowan, Philip J. K.] Newcastle Univ, Sch Nat &amp; Environm Sci, Newcastle Upon Tyne, Tyne &amp; Wear, England; [Stuart, Simon N.] Synchronic Earth, London, England; [Stuart, Simon N.] A Rocha Int, London, England; [Gregory, Richard] Lodge, RSPB Ctr Conservat Sci, Sandy, Beds, England; [Gregory, Richard] UCL, Ctr Biodivers &amp; Environm Res, Dept Genet Evolut &amp; Environm, London, England; [Hilton-Taylor, Craig] IUCN, Cambridge, England; [Mallon, David] Manchester Metropolitan Univ, Div Biol &amp; Conservat Ecol, Manchester, Lancs, England; [Harrison, Ian] Conservat Int, Arlington, VA USA</t>
  </si>
  <si>
    <t>University of Queensland; University of Queensland; Wildlife Conservation Society; BirdLife International; University of Cambridge; CGIAR; World Agroforestry (ICRAF); University of the Philippines System; University of the Philippines Los Banos; University of Tasmania; Newcastle University - UK; Royal Society for Protection of Birds; University of London; University College London; Manchester Metropolitan University; Conservation International</t>
  </si>
  <si>
    <t>Williams, BA (corresponding author), Univ Queensland, Sch Earth &amp; Environm Sci, St Lucia, Qld 4072, Australia.</t>
  </si>
  <si>
    <t>brooke.williams@uq.edu.au; Stuart.Butchart@birdlife.org</t>
  </si>
  <si>
    <t>Mair, Louise/AAL-4986-2020; Simmonds, Jeremy/AAC-1182-2019; Butchart, Stuart/AAJ-1852-2021; Watson, James Edward Maxwell/D-8779-2013; Ward, Michelle/HGA-8862-2022; Butt, Nathalie/B-3558-2014</t>
  </si>
  <si>
    <t>Mair, Louise/0000-0002-7419-7200; Simmonds, Jeremy/0000-0002-1662-5908; Butchart, Stuart/0000-0002-1140-4049; Watson, James Edward Maxwell/0000-0003-4942-1984; Bolam, Friederike/0000-0002-2021-0828; Ward, Michelle/0000-0002-0658-855X; Butt, Nathalie/0000-0003-1517-6191; McGowan, Philip/0000-0001-8674-7444; Williams, Brooke/0000-0002-0692-7507; Brooks, Thomas/0000-0001-8159-3116</t>
  </si>
  <si>
    <t>BAW and MSW are supported by an Australian Government Research Training Program Scholarship. The views expressed in this publication do not necessarily reflect those of IUCN.</t>
  </si>
  <si>
    <t>e12778</t>
  </si>
  <si>
    <t>10.1111/conl.12778</t>
  </si>
  <si>
    <t>WOS:000597059300001</t>
  </si>
  <si>
    <t>Perren, BB; Hodgson, DA; Roberts, SJ; Sime, L; Van Nieuwenhuyze, W; Verleyen, E; Vyverman, W</t>
  </si>
  <si>
    <t>Perren, Bianca B.; Hodgson, Dominic A.; Roberts, Stephen J.; Sime, Louise; Van Nieuwenhuyze, Wim; Verleyen, Elie; Vyverman, Wim</t>
  </si>
  <si>
    <t>Southward migration of the Southern Hemisphere westerly winds corresponds with warming climate over centennial timescales</t>
  </si>
  <si>
    <t>WINTER RAINFALL ZONE; ANTARCTIC ICE-SHEET; ANNULAR MODE; PRECIPITATION VARIABILITY; AUSTRALIAN RAINFALL; TRENDS; OCEAN; TEMPERATURE; AGE; PATAGONIA</t>
  </si>
  <si>
    <t>Recent changes in the strength and location of the Southern Hemisphere westerly winds (SHW) have been linked to continental droughts and wildfires, changes in the Southern Ocean carbon sink, sea ice extent, ocean circulation, and ice shelf stability. Despite their critical role, our ability to predict their impacts under future climates is limited by a lack of data on SHW behaviour over centennial timescales. Here, we present a 700-year record of changes in SHW intensity from sub-Antarctic Marion Island using diatom and geochemical proxies and compare it with paleoclimate records and recent instrumental data. During cool periods, such as the Little Ice Age (c. 1400-1870 CE), the winds weakened and shifted towards the equator, and during warm periods they intensified and migrated poleward. These results imply that changes in the latitudinal temperature gradient drive century-scale SHW migrations, and that intensification of impacts can be anticipated in the coming century. Warmer periods correspond with poleward migration of the Southern Hemisphere westerly winds over the past 700 years and vice versa, according to multi-proxy records from a lake sediment core on sub-Antarctic Marion Island.</t>
  </si>
  <si>
    <t>[Perren, Bianca B.; Hodgson, Dominic A.; Roberts, Stephen J.; Sime, Louise] British Antarctic Survey, High Cross,Madingley Rd, Cambridge CB3 0ET, England; [Hodgson, Dominic A.] Univ Durham, Dept Geog, Durham DH1 3LE, England; [Van Nieuwenhuyze, Wim; Verleyen, Elie; Vyverman, Wim] Univ Ghent, Dept Biol, Protistol &amp; Aquat Ecol, Krijgslaan 281 S8, B-9000 Ghent, Belgium</t>
  </si>
  <si>
    <t>UK Research &amp; Innovation (UKRI); Natural Environment Research Council (NERC); NERC British Antarctic Survey; Durham University; Ghent University</t>
  </si>
  <si>
    <t>Perren, BB (corresponding author), British Antarctic Survey, High Cross,Madingley Rd, Cambridge CB3 0ET, England.</t>
  </si>
  <si>
    <t>biaper@bas.ac.uk</t>
  </si>
  <si>
    <t>Perren, Bianca/0000-0001-6089-6468; Roberts, Stephen/0000-0003-3407-9127; Sime, Louise/0000-0002-9093-7926; Vyverman, Wim/0000-0003-0850-2569</t>
  </si>
  <si>
    <t>UK Natural Environment Research Council [NEK0045141]; Research Foundation-Flanders; Antarctic Circumnavigation Expedition (ACE) grant from the Swiss Polar Institute; NERC [bas0100030, NE/P013279/1, bas0100034] Funding Source: UKRI</t>
  </si>
  <si>
    <t>UK Natural Environment Research Council(UK Research &amp; Innovation (UKRI)Natural Environment Research Council (NERC)); Research Foundation-Flanders(FWO); Antarctic Circumnavigation Expedition (ACE) grant from the Swiss Polar Institute; NERC(UK Research &amp; Innovation (UKRI)Natural Environment Research Council (NERC))</t>
  </si>
  <si>
    <t>This project was funded by UK Natural Environment Research Council Grant NEK0045141 to DAH, a Research Foundation-Flanders travel bursary to EV, and an Antarctic Circumnavigation Expedition (ACE) grant from the Swiss Polar Institute. The research on Marion Island was facilitated by Prof. Steven Chown, University of Monash, Australia, with logistical support provided by the South African National Antarctic Programme. Bernard Coetzee, Mashudu Mashau, Rashawi Kgopong assisted with field sampling and Prof. Valdon Smith, John Cooper, Prof Marthan Bester and members of the M69 and M70 teams provided support and practical advice on Marion Island. Field sampling was supported by the South African Department of Environmental Affairs, permit 01/2013.</t>
  </si>
  <si>
    <t>DEC 9</t>
  </si>
  <si>
    <t>10.1038/s43247-020-00059-6</t>
  </si>
  <si>
    <t>UM9LC</t>
  </si>
  <si>
    <t>WOS:000693644700001</t>
  </si>
  <si>
    <t>Capponi, G; Montomoli, C; Casale, S; Simonetti, M</t>
  </si>
  <si>
    <t>Capponi, Giovanni; Montomoli, Chiara; Casale, Stefano; Simonetti, Matteo</t>
  </si>
  <si>
    <t>Geology of the northern Convoy Range, Victoria Land, Antarctica</t>
  </si>
  <si>
    <t>JOURNAL OF MAPS</t>
  </si>
  <si>
    <t>Geological mapping; Convoy Range; Victoria Land; Antarctica</t>
  </si>
  <si>
    <t>FERRAR</t>
  </si>
  <si>
    <t>In this paper, we supply a geological map of the area between 76 degrees-76 degrees 30 ' S and 159 degrees-163 degrees E, that was the only missing portion to complete an entire coverage of Victoria Land, filling the gap between the GIGAMAP program (to the north) and the maps by the New Zealand Antarctic program (to the south). The mapped area encompasses an early Paleozoic basement, and a flat-lying cover of sedimentary and igneous rocks, Permo-Triassic to Jurassic in age. The basement consists of large bodies of the Granite Harbour Igneous Complex, a granitic complex linked to the Ross Orogeny. After the early Paleozoic Ross Orogeny, the area was uplifted and eroded, and the sandstones of the Beacon Supergroup were deposited on the resulting erosion surface. The Beacon Supergroup sandstones were in turn covered and in most cases incorporated into the volcanic and sub-volcanic rocks of the Jurassic Ferrar Group.</t>
  </si>
  <si>
    <t>[Capponi, Giovanni] Univ Genoa, DISTAV, Corso Europa 32, I-16132 Genoa, Italy; [Montomoli, Chiara; Simonetti, Matteo] Univ Turin, Dipartimento Sci Terra, Turin, Italy; [Casale, Stefano] Univ Pisa, Dipartimento Sci Terra, Pisa, Italy</t>
  </si>
  <si>
    <t>University of Genoa; University of Turin; University of Pisa</t>
  </si>
  <si>
    <t>Capponi, G (corresponding author), Univ Genoa, DISTAV, Corso Europa 32, I-16132 Genoa, Italy.</t>
  </si>
  <si>
    <t>capponig@gmail.com</t>
  </si>
  <si>
    <t>Simonetti, Matteo/ISR-9683-2023</t>
  </si>
  <si>
    <t>Simonetti, Matteo/0000-0002-8843-7615; Montomoli, Chiara/0000-0002-0364-5395; CAPPONI, Giovanni/0000-0002-9237-3212</t>
  </si>
  <si>
    <t>Italian Programma Nazionale di Ricerche in Antartide [PNRA16_00042]</t>
  </si>
  <si>
    <t>Italian Programma Nazionale di Ricerche in Antartide(Ministry of Education, Universities and Research (MIUR))</t>
  </si>
  <si>
    <t>This work benefited from the logistical and financial support of the Italian Programma Nazionale di Ricerche in Antartide [grant number PNRA16_00042, responsible G. Capponi].</t>
  </si>
  <si>
    <t>1744-5647</t>
  </si>
  <si>
    <t>J MAPS</t>
  </si>
  <si>
    <t>J. Maps</t>
  </si>
  <si>
    <t>10.1080/17445647.2020.1822218</t>
  </si>
  <si>
    <t>Geography; Geography, Physical</t>
  </si>
  <si>
    <t>Geography; Physical Geography</t>
  </si>
  <si>
    <t>NZ1SV</t>
  </si>
  <si>
    <t>WOS:000576873600001</t>
  </si>
  <si>
    <t>Monteiro, T; Kerr, R; Machado, ED</t>
  </si>
  <si>
    <t>Monteiro, Thiago; Kerr, Rodrigo; da Costa Machado, Eunice</t>
  </si>
  <si>
    <t>Seasonal variability of net sea-air CO2 fluxes in a coastal region of the northern Antarctic Peninsula (vol 10, 14875, 2020)</t>
  </si>
  <si>
    <t>thiagomonteiro@furg.br</t>
  </si>
  <si>
    <t>Monteiro, Thiago/AAJ-7902-2020; da Machado, Eunice/AAB-9405-2021; Kerr, Rodrigo/I-2494-2012</t>
  </si>
  <si>
    <t>Monteiro, Thiago/0000-0001-7643-0646; da Machado, Eunice/0000-0002-3764-0787; Kerr, Rodrigo/0000-0002-2632-3137</t>
  </si>
  <si>
    <t>10.1038/s41598-020-79111-6</t>
  </si>
  <si>
    <t>PT9VR</t>
  </si>
  <si>
    <t>WOS:000608957900001</t>
  </si>
  <si>
    <t>Leihy, RI; Chown, SL</t>
  </si>
  <si>
    <t>Leihy, Rachel I.; Chown, Steven L.</t>
  </si>
  <si>
    <t>Wind plays a major but not exclusive role in the prevalence of insect flight loss on remote islands</t>
  </si>
  <si>
    <t>flightlessness; sub-Antarctic; natural selection; speciation; island biogeography; functional diversity</t>
  </si>
  <si>
    <t>LONG-DISTANCE DISPERSAL; INVERTEBRATE FAUNA; CLIMATE-CHANGE; TRADE-OFF; EVOLUTION; FLIGHTLESSNESS; POLYMORPHISM; TERRESTRIAL; ECOLOGY; HISTORY</t>
  </si>
  <si>
    <t>Terrestrial species on islands often show reduced dispersal abilities. For insects, the generality of explanations for island flight loss remains contentious. Although habitat stability is considered the most plausible explanation, others are frequently highlighted. Adopting a strong inference approach, we examined the hypotheses proposed to account for the prevalence of flightlessness in island insect assemblages, for a region long suspected to be globally unusual in this regard-the Southern Ocean Islands (SOIs). Combining comprehensive faunal inventories, species' morphological information, and environmental variables from 28 SOIs, we provide the first quantitative evidence that flightlessness is exceptionally prevalent among indigenous SOI insect species (47%). Prevalence among species which have evolved elsewhere is much lower: Arctic island species (8%), species introduced to the SOIs (17%), and globally (estimated as approx. 5%). Variation in numbers of flightless species and genera across islands is best explained by variation in wind speed, although habitat stability (thermal seasonality proxy) may play a role. Variables associated with insularity, such as island size, are generally poor predictors of flightlessness. The outcomes redirect attention to Darwin's wind hypothesis. They suggest, however, that wind selects for flightlessness through an energy trade-off between flight and reproduction, instead of by displacement from suitable habitats.</t>
  </si>
  <si>
    <t>[Leihy, Rachel I.; Chown, Steven L.] Monash Univ, Sch Biol Sci, Clayton, Vic 3800, Australia</t>
  </si>
  <si>
    <t>Monash University</t>
  </si>
  <si>
    <t>Leihy, RI (corresponding author), Monash Univ, Sch Biol Sci, Clayton, Vic 3800, Australia.</t>
  </si>
  <si>
    <t>leihy.rachel@gmail.com</t>
  </si>
  <si>
    <t>Chown, Steven/ABD-7646-2021; Chown, Steven/H-3347-2011</t>
  </si>
  <si>
    <t>Leihy, Rachel/0000-0001-9672-625X; Chown, Steven/0000-0001-6069-5105</t>
  </si>
  <si>
    <t>Antarctic Circumnavigation Expedition; Sir James McNeill Foundation Postgraduate Research Scholarship</t>
  </si>
  <si>
    <t>This work was supported by the Antarctic Circumnavigation Expedition and a Sir James McNeill Foundation Postgraduate Research Scholarship to R.I.L.</t>
  </si>
  <si>
    <t>10.1098/rspb.2020.2121</t>
  </si>
  <si>
    <t>PF1OS</t>
  </si>
  <si>
    <t>WOS:000598832500005</t>
  </si>
  <si>
    <t>McCormack, SA; Melbourne-Thomas, J; Trebilco, R; Blanchard, JL; Raymond, B; Constable, A</t>
  </si>
  <si>
    <t>McCormack, Stacey A.; Melbourne-Thomas, Jessica; Trebilco, Rowan; Blanchard, Julia L.; Raymond, Ben; Constable, Andrew</t>
  </si>
  <si>
    <t>Decades of dietary data demonstrate regional food web structures in the Southern Ocean</t>
  </si>
  <si>
    <t>ecosystem management; food web structure; network analysis; Southern Ocean</t>
  </si>
  <si>
    <t>CLIMATE-CHANGE; SCALE DISTRIBUTION; MARINE ECOSYSTEM; ADELIE PENGUINS; ROSS SEA; MODEL; KRILL; FISH; CONSERVATION; UNCERTAINTY</t>
  </si>
  <si>
    <t>Understanding regional-scale food web structure in the Southern Ocean is critical to informing fisheries management and assessments of climate change impacts on Southern Ocean ecosystems and ecosystem services. Historically, a large component of Southern Ocean ecosystem research has focused on Antarctic krill, which provide a short, highly efficient food chain, linking primary producers to higher trophic levels. Over the last 15 years, the presence of alternative energy pathways has been identified and hypotheses on their relative importance in different regions raised. Using the largest circumpolar dietary database ever compiled, we tested these hypotheses using an empirical circumpolar comparison of food webs across the four major regions/sectors of the Southern Ocean (defined as south of 40 degrees S) within the austral summer period. We used network analyses and generalizations of taxonomic food web structure to confirm that while Antarctic krill are dominant as the mid-trophic level for the Atlantic and East Pacific food webs (including the Scotia Arc and Western Antarctic Peninsula), mesopelagic fish and other krill species are dominant contributors to predator diets in the Indian and West Pacific regions (East Antarctica and the Ross Sea). We also highlight how tracking data and habitat modeling for mobile top predators in the Southern Ocean show that these species integrate food webs over large regional scales. Our study provides a quantitative assessment, based on field observations, of the degree of regional differentiation in Southern Ocean food webs and the relative importance of alternative energy pathways between regions.</t>
  </si>
  <si>
    <t>[McCormack, Stacey A.; Blanchard, Julia L.; Raymond, Ben] Univ Tasmania, Inst Marine &amp; Antarctic Studies, Hobart, Tas, Australia; [Melbourne-Thomas, Jessica; Trebilco, Rowan] CSIRO Commonwealth Sci &amp; Ind Res Org Oceans &amp; Atm, Hobart, Tas, Australia; [Melbourne-Thomas, Jessica; Trebilco, Rowan; Blanchard, Julia L.; Constable, Andrew] Univ Tasmania, Ctr Marine Socioecol, Hobart, Tas, Australia; [Raymond, Ben; Constable, Andrew] Dept Agr Water &amp; Environm, Australian Antarctic Div, Kingston, Tas, Australia; [Blanchard, Julia L.; Raymond, Ben] Univ Tasmania, Australian Antarctic Program Partnership, Hobart, Tas, Australia</t>
  </si>
  <si>
    <t>University of Tasmania; Commonwealth Scientific &amp; Industrial Research Organisation (CSIRO); University of Tasmania; Australian Antarctic Division; University of Tasmania</t>
  </si>
  <si>
    <t>McCormack, SA (corresponding author), Inst Marine &amp; Antarctic Studies, 20 Castray Esplanade, Battery Point, Tas 7001, Australia.</t>
  </si>
  <si>
    <t>stacey.mccormack@utas.edu.au</t>
  </si>
  <si>
    <t>Melbourne-Thomas, Jess/N-2437-2019; Blanchard, Julia L/E-4919-2010; Trebilco, Rowan/I-5311-2012</t>
  </si>
  <si>
    <t>Melbourne-Thomas, Jess/0000-0001-6585-876X; Trebilco, Rowan/0000-0001-9712-8016; Blanchard, Julia/0000-0003-0532-4824; McCormack, Stacey/0000-0002-8949-4793</t>
  </si>
  <si>
    <t>Australian government's Cooperative Research Centre Program; Antarctic Climate and Ecosystems Cooperative Research Centre; Australian Antarctic Science Program [4347, 4366]; AAD-UTAS Quantitative Antarctic Science Program; Australian Research Training Program; RJL Hawke Postdoctoral Fellowship</t>
  </si>
  <si>
    <t>Australian government's Cooperative Research Centre Program(Australian GovernmentDepartment of Industry, Innovation and ScienceCooperative Research Centres (CRC) Programme); Antarctic Climate and Ecosystems Cooperative Research Centre(Australian GovernmentDepartment of Industry, Innovation and ScienceCooperative Research Centres (CRC) Programme); Australian Antarctic Science Program; AAD-UTAS Quantitative Antarctic Science Program; Australian Research Training Program; RJL Hawke Postdoctoral Fellowship</t>
  </si>
  <si>
    <t>Australian government's Cooperative Research Centre Program; Antarctic Climate and Ecosystems Cooperative Research Centre; Australian Antarctic Science Program, Grant/Award Number: 4347 and 4366; AAD-UTAS Quantitative Antarctic Science Program; Australian Research Training Program; RJL Hawke Postdoctoral Fellowship</t>
  </si>
  <si>
    <t>10.1002/ece3.7017</t>
  </si>
  <si>
    <t>WOS:000596571900001</t>
  </si>
  <si>
    <t>Golikov, AV; Ceia, FR; Sabirov, RM; Batalin, GA; Blicher, ME; Gareev, BI; Gudmundsson, G; Jorgensen, LL; Mingazov, GZ; Zakharov, DV; Xavier, JC</t>
  </si>
  <si>
    <t>Golikov, Alexey, V; Ceia, Filipe R.; Sabirov, Rushan M.; Batalin, Georgii A.; Blicher, Martin E.; Gareev, Bulat, I; Gudmundsson, Gudmundur; Jorgensen, Lis L.; Mingazov, Gazinur Z.; Zakharov, Denis, V; Xavier, Jose C.</t>
  </si>
  <si>
    <t>Diet and life history reduce interspecific and intraspecific competition among three sympatric Arctic cephalopods</t>
  </si>
  <si>
    <t>STABLE-ISOTOPE RATIOS; MARINE FOOD WEBS; TROPHIC ECOLOGY; SPATIAL VARIABILITY; ROSSIA-PALPEBROSA; ONTOGENIC CHANGES; GONATUS-FABRICII; INCLUDING GIANT; MIXING MODELS; NICHE OVERLAP</t>
  </si>
  <si>
    <t>Trophic niche and diet comparisons among closely sympatric marine species are important to understand complex food webs, particularly in regions most affected by climate change. Using stable isotope analyses, all ontogenetic stages of three sympatric species of Arctic cephalopods (genus Rossia) were studied to assess inter- and intraspecific competition with niche and diet overlap and partitioning in West Greenland and the Barents Sea. Seven traits related to resource and habitat utilization were identified in Rossia: no trait was shared by all three species. High boreal R. megaptera and Arctic endemic R. moelleri shared three traits with each other, while both R. megaptera and R. moelleri shared only two unique traits each with widespread boreal-Arctic R. palpebrosa. Thus all traits formed fully uncrossing pattern with each species having unique strategy of resource and habitat utilization. Predicted climate changes in the Arctic would have an impact on competition among Rossia with one potential 'winner' (R. megaptera in the Barents Sea) but no potential 'losers'.</t>
  </si>
  <si>
    <t>[Golikov, Alexey, V; Sabirov, Rushan M.] Kazan Fed Univ, Dept Zool, Kazan 420008, Russia; [Ceia, Filipe R.; Xavier, Jose C.] Univ Coimbra, Marine &amp; Environm Sci Ctr, Dept Life Sci, P-3000456 Coimbra, Portugal; [Batalin, Georgii A.; Gareev, Bulat, I; Mingazov, Gazinur Z.] Kazan Fed Univ, Lab Isotop &amp; Elemental Anal, Kazan 420111, Russia; [Blicher, Martin E.] Greenland Inst Nat Resources, Greenland Climate Res Ctr, Nuuk 3900, Greenland; [Gudmundsson, Gudmundur] Iceland Inst Nat Hist, Collect &amp; Systemat Dept, IS-210 Gardabaer, Iceland; [Jorgensen, Lis L.] Inst Marine Res, Tromso Branch, N-9294 Tromso, Norway; [Zakharov, Denis, V] All Russian Res Inst Fisheries &amp; Oceanog, Lab Hydrobiol, Polar Branch, Murmansk 183038, Russia; [Zakharov, Denis, V] Murmansk Marine Biol Inst, Lab Zoobenthos, Murmansk 183010, Russia; [Xavier, Jose C.] NERC, British Antarctic Survey, Cambridge CB3 0ET, England</t>
  </si>
  <si>
    <t>Kazan Federal University; Universidade de Coimbra; Kazan Federal University; Greenland Institute of Natural Resources; Institute of Marine Research - Norway; Russian Academy of Sciences; UK Research &amp; Innovation (UKRI); Natural Environment Research Council (NERC); NERC British Antarctic Survey</t>
  </si>
  <si>
    <t>Golikov, AV (corresponding author), Kazan Fed Univ, Dept Zool, Kazan 420008, Russia.</t>
  </si>
  <si>
    <t>golikov.ksu@gmail.com</t>
  </si>
  <si>
    <t>Gareev, Bulat/N-1758-2014; Ceia, Filipe R./A-2196-2012; Gareev, Bulat/S-9061-2019; Golikov, Alexey/T-3504-2019; Mingazov, Gazinur/AAQ-8273-2021; Xavier, José/KFB-6739-2024; Batalin, Georgii/N-1757-2014</t>
  </si>
  <si>
    <t>Gareev, Bulat/0000-0002-7346-3722; Ceia, Filipe R./0000-0002-5470-5183; Gareev, Bulat/0000-0002-7346-3722; Golikov, Alexey/0000-0002-1596-2857; Batalin, Georgii/0000-0001-7763-2389; /0000-0002-9621-6660; Mingazov, Gazinur/0000-0003-4012-334X</t>
  </si>
  <si>
    <t>Greenland Institute of Natural Resources; North Atlantic Cooperation [510-151]; Sustainable Fisheries Greenland; Ministry for Research in Greenland (IKIIN); Environmental Protection Agency (Dancea) of the Ministry of Environment and Food of Denmark [mst-112-00272]; BIOICE program; Fundacao para a Ciencia e Tecnologia (FCT; Portugal); FCT [SFRH/BPD/95372/2013]; European Social Fund (POPH; EU); [UID/MAR/04292/2020]</t>
  </si>
  <si>
    <t>Greenland Institute of Natural Resources; North Atlantic Cooperation; Sustainable Fisheries Greenland; Ministry for Research in Greenland (IKIIN); Environmental Protection Agency (Dancea) of the Ministry of Environment and Food of Denmark; BIOICE program; Fundacao para a Ciencia e Tecnologia (FCT; Portugal)(Fundacao para a Ciencia e a Tecnologia (FCT)); FCT(Fundacao para a Ciencia e a Tecnologia (FCT)); European Social Fund (POPH; EU);</t>
  </si>
  <si>
    <t>We are grateful to `PINRO-IMR Ecosystem Survey in the Barents Sea' project and `Initiating North Atlantic Benthos Monitoring (INAMon)' project for providing parts of the samples and contextual information, to BIOICE program for providing contextual information, to the scientific groups and crews of the mentioned RVs, especially Pavel A. Lubin, Olga L. Zimina (also provided photo of Rossia moelleri) and Igor E. Manushin for help onboard, to Zara F. Teixeira and Claudia S. Moreira for help with stable isotope analysis, to Joana G. Calado for help with modeling. INAMon was financially supported by the Greenland Institute of Natural Resources, North Atlantic Cooperation (nora.fo; J. nr. 510-151), Sustainable Fisheries Greenland, the Ministry for Research in Greenland (IKIIN) and the Environmental Protection Agency (Dancea) of the Ministry of Environment and Food of Denmark (J. nr. mst-112-00272). This research is also part of the Danish Presidency project in Nordic Council of Ministers, mapping seabed biodiversity and vulnerability in the Arctic and North Atlantic. This research is also co-sponsored by the strategic project UID/MAR/04292/2020, granted to MARE. A.V.G. and G.G. acknowledge the financial support received from the BIOICE program; J.C.X. acknowledges the financial support received from Fundacao para a Ciencia e Tecnologia (FCT; Portugal); and F.R.C. acknowledges the financial support via a postdoctoral grant (SFRH/BPD/95372/2013) from FCT and the European Social Fund (POPH; EU).</t>
  </si>
  <si>
    <t>10.1038/s41598-020-78645-z</t>
  </si>
  <si>
    <t>PT9UA</t>
  </si>
  <si>
    <t>WOS:000608953600015</t>
  </si>
  <si>
    <t>Newall, JCH; Dymova, T; Serra, E; Blomdin, R; Fredin, O; Glasser, NF; Suganuma, Y; Harbor, JM; Stroeven, AP</t>
  </si>
  <si>
    <t>Newall, J. C. H.; Dymova, T.; Serra, E.; Blomdin, R.; Fredin, O.; Glasser, N. F.; Suganuma, Y.; Harbor, J. M.; Stroeven, A. P.</t>
  </si>
  <si>
    <t>The glacial geomorphology of western Dronning Maud Land, Antarctica</t>
  </si>
  <si>
    <t>Antarctica; Glacial geomorphology; Nunatak; Paleoglaciology; WorldView</t>
  </si>
  <si>
    <t>BLUE-ICE AREA; MOUNTAINS; LANDSCAPE; SHEET; SCHARFFENBERGBOTNEN; MORAINES</t>
  </si>
  <si>
    <t>Reconstructing the response of present-day ice sheets to past global climate change is important for constraining and refining the numerical models which forecast future contributions of these ice sheets to sea-level change. Mapping landforms is an essential step in reconstructing glacial histories. Here we present a new map of glacial landforms and deposits on nunataks in western Dronning Maud Land, Antarctica. Nunataks are mountains or ridges that currently protrude through the ice sheet and may provide evidence that they have been wholly or partly covered by ice, thus indicating a formerly more extensive (thicker) ice sheet. The map was produced through a combination of mapping from Worldview satellite imagery and ground validation. The sub-metre spatial resolution of the satellite imagery enabled mapping with unprecedented detail. Ten landform categories have been mapped, and the landform distributions provide evidence constraining spatial patterns of a previously thicker ice sheet.</t>
  </si>
  <si>
    <t>[Newall, J. C. H.; Dymova, T.; Serra, E.; Blomdin, R.; Harbor, J. M.; Stroeven, A. P.] Stockholm Univ, Dept Phys Geog, Geomorphol &amp; Glaciol, Stockholm, Sweden; [Newall, J. C. H.; Blomdin, R.; Harbor, J. M.; Stroeven, A. P.] Stockholm Univ, Bolin Ctr Climate Res, Stockholm, Sweden; [Newall, J. C. H.; Harbor, J. M.] Purdue Univ, Dept Earth Atmospher &amp; Planetary Sci, W Lafayette, IN 47907 USA; [Serra, E.] Univ Bern, Inst Geol Sci, Bern, Switzerland; [Serra, E.] Univ Bern, Oeschger Ctr Climate Change Res, Bern, Switzerland; [Fredin, O.] Geol Survey Norway, Trondheim, Norway; [Fredin, O.] Norwegian Univ Sci &amp; Technol, Dept Geog, Trondheim, Norway; [Glasser, N. F.] Aberystwyth Univ, Ctr Glaciol, Dept Geog &amp; Earth Sci, Aberystwyth, Dyfed, Wales; [Suganuma, Y.] Natl Inst Polar Res, Tokyo, Japan; [Suganuma, Y.] SOKENDAI, Tokyo, Japan; [Harbor, J. M.] Univ Montana, Dept Geog, Missoula, MT 59812 USA; [Harbor, J. M.] Univ Montana, Dept Geosci, Missoula, MT USA</t>
  </si>
  <si>
    <t>Stockholm University; Purdue University System; Purdue University; University of Bern; University of Bern; Geological Survey of Norway; Norwegian University of Science &amp; Technology (NTNU); Aberystwyth University; Research Organization of Information &amp; Systems (ROIS); National Institute of Polar Research (NIPR) - Japan; Graduate University for Advanced Studies - Japan; University of Montana System; University of Montana; University of Montana System; University of Montana</t>
  </si>
  <si>
    <t>Newall, JCH (corresponding author), Stockholm Univ, Dept Phys Geog, Geomorphol &amp; Glaciol, Stockholm, Sweden.;Newall, JCH (corresponding author), Stockholm Univ, Bolin Ctr Climate Res, Stockholm, Sweden.;Newall, JCH (corresponding author), Purdue Univ, Dept Earth Atmospher &amp; Planetary Sci, W Lafayette, IN 47907 USA.</t>
  </si>
  <si>
    <t>jennifer.newall@natgeo.su.se</t>
  </si>
  <si>
    <t>Dymova, Taisiya/ABF-9358-2020; Fredin, Ola/ACJ-2359-2022; Stroeven, Arjen/I-7330-2013</t>
  </si>
  <si>
    <t>Dymova, Taisiya/0000-0002-2574-9013; Harbor, Jonathan/0000-0001-5129-0229; Glasser, Neil/0000-0002-8245-2670; Serra, Elena/0000-0002-3049-8570; suganuma, yusuke/0000-0003-3516-1317; Fredin, Ola/0000-0002-0803-3312; Stroeven, Arjen/0000-0001-8812-2253</t>
  </si>
  <si>
    <t>MAGIC-DML consortium - Stockholm University; Norwegian Polar Institute/NARE under Grant 'MAGIC-DML'; US National Science Foundation [PLR-1542930]; Swedish Research Council [2016-04422]; German Research Foundation (DFG), Priority Programme 1158 'Antarctic Research' [365737614]; Swedish Research Council [2016-04422] Funding Source: Swedish Research Council</t>
  </si>
  <si>
    <t>MAGIC-DML consortium - Stockholm University; Norwegian Polar Institute/NARE under Grant 'MAGIC-DML'; US National Science Foundation(National Science Foundation (NSF)); Swedish Research Council(Swedish Research Council); German Research Foundation (DFG), Priority Programme 1158 'Antarctic Research'(German Research Foundation (DFG)); Swedish Research Council(Swedish Research Council)</t>
  </si>
  <si>
    <t>This work has been funded through the MAGIC-DML consortium which is supported by Stockholm University (Stroeven), Norwegian Polar Institute/NARE under Grant 'MAGIC-DML' (Fredin), the US National Science Foundation under grant number PLR-1542930 (Harbor &amp; Lifton), Swedish Research Council under grant number 2016-04422 (Harbor &amp; Stroeven), and the German Research Foundation (DFG), Priority Programme 1158 'Antarctic Research' under grant number 365737614 (Rogozhina &amp; Prange).</t>
  </si>
  <si>
    <t>10.1080/17445647.2020.1761464</t>
  </si>
  <si>
    <t>ME1YD</t>
  </si>
  <si>
    <t>WOS:000544456100001</t>
  </si>
  <si>
    <t>Lamsters, K; Karuss, J; Krievans, M; Jeskins, J</t>
  </si>
  <si>
    <t>Lamsters, Kristaps; Karuss, Janis; Krievans, Maris; Jeskins, Jurijs</t>
  </si>
  <si>
    <t>High-resolution orthophoto map and digital surface models of the largest Argentine Islands (the Antarctic) from unmanned aerial vehicle photogrammetry</t>
  </si>
  <si>
    <t>Ice caps; orthomosaic; unmanned aerial vehicle (UAV); Wilhelm Archipelago; West Antarctica</t>
  </si>
  <si>
    <t>STRUCTURE-FROM-MOTION; GLACIAL GEOMORPHOLOGY; UAV; PENINSULA; DYNAMICS; OCEAN; EXPEDITION; LANDFORMS; ICELAND; LAND</t>
  </si>
  <si>
    <t>This study presents the first high-resolution orthophoto maps and digital surface models (DSMs) of the largest Argentine Islands, West Antarctica. Aerial surveys with small unmanned aerial vehicle (UAV) were performed in Austral summer, 2018, taking 10,041 aerial photographs. Accuracy requirements were ensured using ground control points (GCPs). A resolution of 3.4 and 6.8 cm/px of orthomosaics and DSMs is reached on average, and the RMS reprojection error is 0.22 m on average. We report the morphometric parameters of surveyed islands and discuss issues related to accuracy and the usage of UAVs in polar conditions. This study demonstrates that small and low cost UAVs can be successfully used in harsh polar conditions to obtain accurate orthomosaics and DSMs of mainly glaciated terrain. We provide all generated materials in full resolution available in a scientific data repository that could be used for the monitoring of ice cap changes, vegetation cover, and wildlife populations.</t>
  </si>
  <si>
    <t>[Lamsters, Kristaps; Karuss, Janis; Krievans, Maris; Jeskins, Jurijs] Univ Latvia, Fac Geog &amp; Earth Sci, Jelgavas St 1, LV-1004 Riga, Latvia</t>
  </si>
  <si>
    <t>University of Latvia</t>
  </si>
  <si>
    <t>Lamsters, K (corresponding author), Univ Latvia, Fac Geog &amp; Earth Sci, Jelgavas St 1, LV-1004 Riga, Latvia.</t>
  </si>
  <si>
    <t>kristaps.lamsters@gmail.com</t>
  </si>
  <si>
    <t>Ješkins, Jurijs/JNS-9777-2023; Lamsters, Kristaps/AAW-2254-2020; Krievans, Maris/HPD-9633-2023; Karušs, Jānis/AHI-7900-2022; Lamsters, Kristaps/CAI-8643-2022; Karušs, Jānis/ITT-0500-2023; Lamsters, Kristaps/AAB-3601-2022</t>
  </si>
  <si>
    <t>Krievans, Maris/0000-0001-7199-1030; Karušs, Jānis/0000-0003-0590-4888; Lamsters, Kristaps/0000-0002-4523-1537; Karušs, Jānis/0000-0003-0590-4888; Lamsters, Kristaps/0000-0002-4523-1537; Jeskins, Jurijs/0000-0003-4457-0016</t>
  </si>
  <si>
    <t>University of Latvia within the 'Climate change and sustainable use of natural resources'; specific support objective activity 1.1.1.2. 'Post-doctoral Research Aid' of the Republic of Latvia - European Regional Development Fund [1.1.1.2/16/I/001, 1.1.1.2/VIAA/1/16/118]; Mikrotik; company 'Celu buvniecibas sabiedriba Igate' Ltd (IGATE)</t>
  </si>
  <si>
    <t>University of Latvia within the 'Climate change and sustainable use of natural resources'; specific support objective activity 1.1.1.2. 'Post-doctoral Research Aid' of the Republic of Latvia - European Regional Development Fund(European Union (EU)); Mikrotik; company 'Celu buvniecibas sabiedriba Igate' Ltd (IGATE)</t>
  </si>
  <si>
    <t>This work was supported by the performance-based funding of University of Latvia within the `Climate change and sustainable use of natural resources' and by the specific support objective activity 1.1.1.2. `Post-doctoral Research Aid' (Project id. 1.1.1.2/16/I/001) of the Republic of Latvia, funded by the European Regional Development Fund, Kristaps Lamsters research Project No. 1.1.1.2/VIAA/1/16/118. The expedition to Antarctica was partially financed also by the donation of Mikrotik (administered by the University of Latvia Foundation) and company `Celu buvniecibas sabiedriba Igate' Ltd (IGATE).</t>
  </si>
  <si>
    <t>10.1080/17445647.2020.1748130</t>
  </si>
  <si>
    <t>LE0TQ</t>
  </si>
  <si>
    <t>WOS:000526437800001</t>
  </si>
  <si>
    <t>Grebennikov, AV; Khanchuk, AI</t>
  </si>
  <si>
    <t>Grebennikov, Andrei, V; Khanchuk, Alexander, I</t>
  </si>
  <si>
    <t>Pacific-type transform and convergent margins: igneous rocks, geochemical contrasts and discriminant diagrams</t>
  </si>
  <si>
    <t>INTERNATIONAL GEOLOGY REVIEW</t>
  </si>
  <si>
    <t>Tectonic settings; slab tear; slab window; subslab asthenosphere; adakite; geochemistry; discriminant diagrams</t>
  </si>
  <si>
    <t>PAPUA-NEW-GUINEA; CHILE-TRIPLE-JUNCTION; TORRES-DEL-PAINE; ACTIVE SPREADING RIDGE; PATAGONIAN PLATEAU LAVAS; CALC-ALKALINE VOLCANISM; SLAB-WINDOW MAGMATISM; GULF-OF-CALIFORNIA; LAGO BUENOS-AIRES; BAJA-CALIFORNIA</t>
  </si>
  <si>
    <t>Transform margins represent lithospheric plate boundaries with horizontal sliding of the oceanic plate, which in time and space replaced the subduction-related convergent margins. This happened due to the following: ridge-crest-trench intersection or ridge death along a continental margin (recent California and Baja California, Queen Charlotte-Northern Cordilleran, west of the Antarctic Peninsula, and probably Late Miocene-Pleistocene southernmost South America); change in the direction of oceanic plate movement (western Aleutian-Komandorsk and southernmost tip of the Andes); and island arc-continent collision (New Guinea Island). Post-subduction magmatism is related to a slab window that resulted from the spreading ridge collision (subduction) with a continental margin or slab tear formation after subduction cessation. Igneous magmatic series formed above the slab window or slab tear are similar in composition and show diversity of tholeiitic (sub-alkaline), alkaline, or even calc-alkaline and peraluminous rocks. The comprehensive geochemical dataset for igneous rocks (more than 2400 analyses) from the recent model geodynamic settings allowed us to build discriminant diagrams for the petrogenic oxides TiO2 x 10-Fe2O3 (Tot)-MgO and trace elements Nb*5-Ba/La-Yb*10, which show distinctive rock features present on both convergent and Pacific-type transform margins. The author's diagrams are capable of distinguishing volcanic and plutonic rocks formed above the subduction zones at an island arc and continental margin (related to convergent margins), from those formed in the strike-slip tectonic setting of transform margins along continents or island arcs.</t>
  </si>
  <si>
    <t>[Grebennikov, Andrei, V; Khanchuk, Alexander, I] Russian Acad Sci, Far East Geol Inst, Far Eastern Branch, Pr 100 Letiya Vladivostoku 159, Vladivostok 690022, Russia</t>
  </si>
  <si>
    <t>Grebennikov, AV (corresponding author), Russian Acad Sci, Far East Geol Inst, Far Eastern Branch, Pr 100 Letiya Vladivostoku 159, Vladivostok 690022, Russia.</t>
  </si>
  <si>
    <t>greandr@hotmail.com</t>
  </si>
  <si>
    <t>Khanchuk, Alexander/W-7653-2019; Tsay, Oksana/HTT-0713-2023; Grebennikov, Andrei/D-7854-2011</t>
  </si>
  <si>
    <t>Khanchuk, Alexander/0000-0003-0226-1493; Grebennikov, Andrei/0000-0002-7780-3632</t>
  </si>
  <si>
    <t>0020-6814</t>
  </si>
  <si>
    <t>1938-2839</t>
  </si>
  <si>
    <t>INT GEOL REV</t>
  </si>
  <si>
    <t>Int. Geol. Rev.</t>
  </si>
  <si>
    <t>MAR 24</t>
  </si>
  <si>
    <t>10.1080/00206814.2020.1848646</t>
  </si>
  <si>
    <t>QZ2ZE</t>
  </si>
  <si>
    <t>WOS:000597731700001</t>
  </si>
  <si>
    <t>Welti, A; Bigg, EK; DeMott, PJ; Gong, XD; Hartmann, M; Harvey, M; Henning, S; Herenz, P; Hill, TCJ; Hornblow, B; Leck, C; Löffler, M; McCluskey, CS; Rauker, AM; Schmale, J; Tatzelt, C; van Pinxteren, M; Stratmann, F</t>
  </si>
  <si>
    <t>Welti, Andre; Bigg, E. Keith; DeMott, Paul J.; Gong, Xianda; Hartmann, Markus; Harvey, Mike; Henning, Silvia; Herenz, Paul; Hill, Thomas C. J.; Hornblow, Blake; Leck, Caroline; Loeffler, Mareike; McCluskey, Christina S.; Rauker, Anne Marie; Schmale, Julia; Tatzelt, Christian; van Pinxteren, Manuela; Stratmann, Frank</t>
  </si>
  <si>
    <t>Ship-based measurements of ice nuclei concentrations over the Arctic, Atlantic, Pacific and Southern oceans</t>
  </si>
  <si>
    <t>NUCLEATING PARTICLES; FORMING NUCLEI; MARINE AIR; AEROSOL; WATER</t>
  </si>
  <si>
    <t>Ambient concentrations of ice-forming particles measured during ship expeditions are collected and summarised with the aim of determining the spatial distribution and variability in ice nuclei in oceanic regions. The presented data from literature and previously unpublished data from over 23 months of ship-based measurements stretch from the Arctic to the Southern Ocean and include a circumnavigation of Antarctica. In comparison to continental observations, ship-based measurements of ambient ice nuclei show 1 to 2 orders of magnitude lower mean concentrations. To quantify the geographical variability in oceanic areas, the concentration range of potential ice nuclei in different climate zones is analysed by meridionally dividing the expedition tracks into tropical, temperate and polar climate zones. We find that concentrations of ice nuclei in these meridional zones follow temperature spectra with similar slopes but vary in absolute concentration. Typically, the frequency with which specific concentrations of ice nuclei are observed at a certain temperature follows a log-normal distribution. A consequence of the log-normal distribution is that the mean concentration is higher than the most frequently measured concentration. Finally, the potential contribution of ship exhaust to the measured ice nuclei concentration on board research vessels is analysed as function of temperature. We find a sharp onset of the influence at approximately -36 degrees C but none at warmer temperatures that could bias ship-based measurements.</t>
  </si>
  <si>
    <t>[Welti, Andre; Gong, Xianda; Hartmann, Markus; Henning, Silvia; Herenz, Paul; Loeffler, Mareike; Tatzelt, Christian; van Pinxteren, Manuela; Stratmann, Frank] Leibniz Inst Tropospher Res TROPOS, Leipzig, Germany; [Schmale, Julia] Paul Scherrer Inst, Lab Atmospher Chem, Villigen, Switzerland; [DeMott, Paul J.; Hill, Thomas C. J.; McCluskey, Christina S.; Rauker, Anne Marie] Colorado State Univ, Dept Atmospher Sci, Ft Collins, CO 80523 USA; [Leck, Caroline] Stockholm Univ, Dept Meteorol, Stockholm, Sweden; [Welti, Andre] Finnish Meteorol Inst, Helsinki, Finland; [Loeffler, Mareike] Ctr Agrometeorol Res, Deutsch Wetterdienst, Braunschweig, Germany; [Harvey, Mike] Natl Inst Water &amp; Atmospher Res NIWA, Wellington, New Zealand; [Hornblow, Blake] Natl Inst Water &amp; Atmospher Res NIWA, BLAKE NIWA Ambassador Programme, Wellington, New Zealand; [McCluskey, Christina S.] Natl Ctr Atmospher Res, Boulder, CO 80307 USA; [Schmale, Julia] Ecole Polytech Fed Lausanne, Sch Architecture Civil &amp; Environm Engn, Lausanne, Switzerland</t>
  </si>
  <si>
    <t>Leibniz Institut fur Tropospharenforschung (TROPOS); Swiss Federal Institutes of Technology Domain; Paul Scherrer Institute; Colorado State University; Stockholm University; Finnish Meteorological Institute; National Institute of Water &amp; Atmospheric Research (NIWA) - New Zealand; National Institute of Water &amp; Atmospheric Research (NIWA) - New Zealand; National Center Atmospheric Research (NCAR) - USA; Swiss Federal Institutes of Technology Domain; Ecole Polytechnique Federale de Lausanne</t>
  </si>
  <si>
    <t>Welti, A (corresponding author), Leibniz Inst Tropospher Res TROPOS, Leipzig, Germany.;Welti, A (corresponding author), Finnish Meteorol Inst, Helsinki, Finland.</t>
  </si>
  <si>
    <t>andre.welti@fmi.fi</t>
  </si>
  <si>
    <t>amplification, ³ - Arctic/AAU-6640-2020; DeMott, Paul J/C-4389-2011; Henning, Silvia/C-1114-2014; Schmale, Julia Yvonne/Q-3942-2019; Gong, Xianda/O-1650-2014; Hartmann, Markus/AAC-4151-2019; Harvey, Mike/A-5354-2010; Welti, Andre/J-8425-2013</t>
  </si>
  <si>
    <t>DeMott, Paul J/0000-0002-3719-1889; Henning, Silvia/0000-0001-9267-7825; Schmale, Julia Yvonne/0000-0002-1048-7962; Gong, Xianda/0000-0001-7274-0639; Hartmann, Markus/0000-0001-9700-1701; Harvey, Mike/0000-0002-0979-0227; Welti, Andre/0000-0002-3549-1212; McCluskey, Christina/0000-0003-3778-4112; Hill, Thomas/0000-0002-5293-3959</t>
  </si>
  <si>
    <t>European Union's Seventh Framework Programme under the BACCHUS project [603445]; DFG (German Research Foundation) [268020496-TRR 172]; Swiss Polar Institute; ACE Foundation; Ferring Pharmaceuticals; Leibniz Association Senate Competition Committee (SAW) under the project Marine biological production, organic aerosol particles and marine clouds: a Process Chain (MarParCloud) [SAW-2016-TROPOS-2]; EPFL, the Swiss Polar Institute and Ferring Pharmaceuticals; DFG within the priority programme of Antarctic Research with Comparative Investigations in Arctic Ice Areas [STR 453/12-1]; German Federal Ministry of Education and Research (BMBF) [01LK1601B]; U.S. National Science Foundation [1358495, TAN1502, AGS-1450760, AGS-1660486]; U.S. Department of Energy's Atmospheric System Research, an Office of Science, Office of Biological and Environmental Research program [DE-SC0014354, DE-SC0018929]; Antarctica New Zealand [TAN1502]; Australian Antarctic Division; National Institute of Water and Atmospheric Research (NIWA); New Zealand Ministry for Business, Innovation and Employment; NIWA Ocean-Climate Interactions programme; U.S. Department of Energy (DOE) [DE-SC0018929, DE-SC0014354] Funding Source: U.S. Department of Energy (DOE); Div Atmospheric &amp; Geospace Sciences; Directorate For Geosciences [1358495] Funding Source: National Science Foundation</t>
  </si>
  <si>
    <t>European Union's Seventh Framework Programme under the BACCHUS project(European Union (EU)); DFG (German Research Foundation)(German Research Foundation (DFG)); Swiss Polar Institute; ACE Foundation; Ferring Pharmaceuticals(Ferring Pharmaceuticals); Leibniz Association Senate Competition Committee (SAW) under the project Marine biological production, organic aerosol particles and marine clouds: a Process Chain (MarParCloud); EPFL, the Swiss Polar Institute and Ferring Pharmaceuticals(Ferring Pharmaceuticals); DFG within the priority programme of Antarctic Research with Comparative Investigations in Arctic Ice Areas; German Federal Ministry of Education and Research (BMBF)(Federal Ministry of Education &amp; Research (BMBF)); U.S. National Science Foundation(National Science Foundation (NSF)); U.S. Department of Energy's Atmospheric System Research, an Office of Science, Office of Biological and Environmental Research program(United States Department of Energy (DOE)); Antarctica New Zealand; Australian Antarctic Division; National Institute of Water and Atmospheric Research (NIWA); New Zealand Ministry for Business, Innovation and Employment(New Zealand Ministry of Business, Innovation and Employment (MBIE)); NIWA Ocean-Climate Interactions programme; U.S. Department of Energy (DOE)(United States Department of Energy (DOE)); Div Atmospheric &amp; Geospace Sciences; Directorate For Geosciences(National Science Foundation (NSF)NSF - Directorate for Geosciences (GEO))</t>
  </si>
  <si>
    <t>This research has been supported by the European Union's Seventh Framework Programme under the BACCHUS project (FP7/2007-2013; grant no. 603445) and the DFG (German Research Foundation; grant no. 268020496-TRR 172) within the Transregional Collaborative Research Center project of ArctiC Amplification: Climate Relevant Atmospheric and SurfaCe Processes, and Feedback Mechanisms (AC3). ACE was a scientific expedition carried out under the auspices of the Swiss Polar Institute, supported by funding from the ACE Foundation and Ferring Pharmaceuticals. Manuela van Pinxteren was supported by the Leibniz Association Senate Competition Committee (SAW) under the project Marine biological production, organic aerosol particles and marine clouds: a Process Chain (MarParCloud) (grant no. SAW-2016-TROPOS-2). ACE-SPACE and Julia Schmale were supported by EPFL, the Swiss Polar Institute and Ferring Pharmaceuticals. Christian Tatzelt was supported by the DFG within the priority programme of Antarctic Research with Comparative Investigations in Arctic Ice Areas (grant no. STR 453/12-1). Frank Stratmann was supported by the German Federal Ministry of Education and Research (BMBF; project no. 01LK1601B). Paul J. DeMott and Thomas C. J. Hill were supported by the U.S. National Science Foundation (grant nos. 1358495 for SHIPPO and TAN1502 and AGS-1450760 and AGS-1660486 for CAPRICORN) and by the U.S. Department of Energy's Atmospheric System Research, an Office of Science, Office of Biological and Environmental Research program (grant nos. DE-SC0014354 for ACAPEX and DE-SC0018929 for TAN1502). The New Zealand-Australian Antarctic Ecosystems voyage (TAN1502) was jointly supported by Antarctica New Zealand, the Australian Antarctic Division, the National Institute of Water and Atmospheric Research (NIWA) and the New Zealand Ministry for Business, Innovation and Employment and the NIWA Ocean-Climate Interactions programme.</t>
  </si>
  <si>
    <t>DEC 8</t>
  </si>
  <si>
    <t>10.5194/acp-20-15191-2020</t>
  </si>
  <si>
    <t>PF6PQ</t>
  </si>
  <si>
    <t>gold, Green Accepted, Green Submitted</t>
  </si>
  <si>
    <t>WOS:000599174200002</t>
  </si>
  <si>
    <t>Jakob, KA; Wilson, PA; Pross, J; Ezard, THG; Fiebig, J; Repschläger, J; Friedrich, O</t>
  </si>
  <si>
    <t>Jakob, Kim A.; Wilson, Paul A.; Pross, Joerg; Ezard, Thomas H. G.; Fiebig, Jens; Repschlaeger, Janne; Friedrich, Oliver</t>
  </si>
  <si>
    <t>A new sea-level record for the Neogene/Quaternary boundary reveals transition to a more stable East Antarctic Ice Sheet</t>
  </si>
  <si>
    <t>East Antarctic Ice Sheet; sea level; ocean-cryosphere interaction; intensification of Northern Hemisphere Glaciation</t>
  </si>
  <si>
    <t>FORAMINIFERAL MG/CA-PALEOTHERMOMETRY; NORTH-ATLANTIC; CLIMATE-CHANGE; PLIOCENE; OCEAN; VOLUME; TEMPERATURE; DRIVEN; CO2; CONSTRAINTS</t>
  </si>
  <si>
    <t>Sea-level rise resulting from the instability of polar continental ice sheets represents a major socioeconomic hazard arising from anthropogenic warming, but the response of the largest component of Earth's cryosphere, the East Antarctic Ice Sheet (EAIS), to global warming is poorly understood. Here we present a detailed record of North Atlantic deep-ocean temperature, global sea-level, and ice-volume change for similar to 2.75 to 2.4 Ma ago, when atmospheric partial pressure of carbon dioxide (pCO(2)) ranged from presentday (&gt;400 parts per million volume, ppmv) to preindustrial (&lt;280 ppmv) values. Our data reveal clear glacial-interglacial cycles in global ice volume and sea level largely driven by the growth and decay of ice sheets in the Northern Hemisphere. Yet, sea-level values during Marine Isotope Stage (MIS) 101 (similar to 2.55 Ma) also signal substantial melting of the EAIS, and peak sea levels during MIS G7 (similar to 2.75 Ma) and, perhaps, MIS G1 (similar to 2.63 Ma) are also suggestive of EAIS instability. During the succeeding glacial-interglacial cycles (MIS 100 to 95), sea levels were distinctly lower than before, strongly suggesting a link between greater stability of the EAIS and increased land-ice volumes in the Northern Hemisphere. We propose that lower sea levels driven by ice-sheet growth in the Northern Hemisphere decreased EAIS susceptibility to ocean melting. Our findings have implications for future EAIS vulnerability to a rapidly warming world.</t>
  </si>
  <si>
    <t>[Jakob, Kim A.; Pross, Joerg; Friedrich, Oliver] Heidelberg Univ, Inst Earth Sci, D-69120 Heidelberg, Germany; [Wilson, Paul A.; Ezard, Thomas H. G.] Univ Southampton, Natl Oceanog Ctr, Waterfront Campus, Southampton SO14 3ZH, Hants, England; [Fiebig, Jens] Goethe Univ Frankfurt, Inst Geosci, D-60438 Frankfurt, Germany; [Repschlaeger, Janne] Max Planck Inst Chem, Climate Geochem Dept, D-55128 Mainz, Germany</t>
  </si>
  <si>
    <t>Ruprecht Karls University Heidelberg; NERC National Oceanography Centre; University of Southampton; Goethe University Frankfurt; Max Planck Society</t>
  </si>
  <si>
    <t>Jakob, KA (corresponding author), Heidelberg Univ, Inst Earth Sci, D-69120 Heidelberg, Germany.</t>
  </si>
  <si>
    <t>kim.jakob@geow.uni-heidelberg.de</t>
  </si>
  <si>
    <t>Wilson, Paul/0000-0001-6425-8906; Ezard, Thomas/0000-0001-8305-6605; Friedrich, Oliver/0000-0002-6046-7513</t>
  </si>
  <si>
    <t>German Research Foundation [FR2544/2, FR2544/6, JA2803/2-1, PR651/15]; European Union; European Consortium for Ocean Research Drilling; Natural Environment Research Council [NE/D006465/1]; Royal Society Wolfson Merit Award; NERC [NE/K014137/1, NE/T012382/1] Funding Source: UKRI</t>
  </si>
  <si>
    <t>German Research Foundation(German Research Foundation (DFG)); European Union(European Union (EU)); European Consortium for Ocean Research Drilling; Natural Environment Research Council(UK Research &amp; Innovation (UKRI)Natural Environment Research Council (NERC)); Royal Society Wolfson Merit Award(Royal Society); NERC(UK Research &amp; Innovation (UKRI)Natural Environment Research Council (NERC))</t>
  </si>
  <si>
    <t>We thank M. Cooper, J. O. Herrle, S. Hofmann, J. A. Milton and B. Schminke for laboratory assistance and M. Burchard for his support in statistical analyses. This research used samples provided by the Integrated Ocean Drilling Program. Funding for this study was provided by the German Research Foundation (grants FR2544/2 and FR2544/6 to O.F., JA2803/2-1 to K.A.J., and PR651/15 to J.P.), the European Union via a Marie Curie Fellowship to O.F. (Project PLIO-CLIMATE), and the European Consortium for Ocean Research Drilling to K.A.J. via a research grant. P.A.W. acknowledges funding from the Natural Environment Research Council (grant NE/D006465/1) and a Royal Society Wolfson Merit Award.</t>
  </si>
  <si>
    <t>10.1073/pnas.2004209117</t>
  </si>
  <si>
    <t>PF3SB</t>
  </si>
  <si>
    <t>Bronze, Green Accepted, Green Published</t>
  </si>
  <si>
    <t>WOS:000598977500022</t>
  </si>
  <si>
    <t>Delgado, MD; Roslin, T; Tikhonov, G; Meyke, E; Lo, C; Gurarie, E; Abadonova, M; Abduraimov, O; Adrianova, O; Akimova, T; Akkiev, M; Ananin, A; Andreeva, E; Andriychuk, N; Antipin, M; Arzamascev, K; Babina, S; Babushkin, M; Bakin, O; Barabancova, A; Basilskaja, I; Belova, N; Belyaeva, N; Bespalova, T; Bisikalova, E; Bobretsov, A; Bobrov, V; Bobrovskyi, V; Bochkareva, E; Bogdanov, G; Bolshakov, V; Bondarchuk, S; Bukharova, E; Butunina, A; Buyvolov, Y; Buyvolova, A; Bykov, Y; Chakhireva, E; Chashchina, O; Cherenkova, N; Chistjakov, S; Chuhontseva, S; Davydov, EA; Demchenko, V; Diadicheva, E; Dobrolyubov, A; Dostoyevskaya, L; Drovnina, S; Drozdova, Z; Dubanaev, A; Dubrovsky, Y; Elsukov, S; Epova, L; Ermakova, OS; Ermakova, O; Esengeldenova, A; Evstigneev, O; Fedchenko, I; Fedotova, V; Filatova, T; Gashev, S; Gavrilov, A; Gaydysh, I; Golovcov, D; Goncharova, N; Gorbunova, E; Gordeeva, T; Grishchenko, V; Gromyko, L; Hohryakov, V; Hritankov, A; Ignatenko, E; Igosheva, S; Ivanova, U; Ivanova, N; Kalinkin, Y; Kaygorodova, E; Kazansky, F; Kiseleva, D; Knorre, A; Kolpashikov, L; Korobov, E; Korolyova, H; Korotkikh, N; Kosenkov, G; Kossenko, S; Kotlugalyamova, E; Kozlovsky, E; Kozsheechkin, V; Kozurak, A; Kozyr, I; Krasnopevtseva, A; Kruglikov, S; Kuberskaya, O; Kudryavtsev, A; Kulebyakina, E; Kulsha, Y; Kupriyanova, M; Kurbanbagamaev, M; Kutenkov, A; Kutenkova, N; Kuyantseva, N; Kuznetsov, A; Larin, E; Lebedev, P; Litvinov, K; Luzhkova, N; Mahmudov, A; Makovkina, L; Mamontov, V; Mayorova, S; Megalinskaja, I; Meydus, A; Minin, A; Mitrofanov, O; Motruk, M; Myslenkov, A; Nasonova, N; Nemtseva, N; Nesterova, I; Nezdoliy, T; Niroda, T; Novikova, T; Panicheva, D; Pavlov, A; Pavlova, K; Van, P; Podolski, S; Polikarpova, N; Polyanskaya, T; Pospelov, I; Pospelova, E; Prokhorov, I; Prokosheva, I; Puchnina, L; Putrashyk, I; Raiskaya, J; Rozhkov, Y; Rozhkova, O; Rudenko, M; Rybnikova, I; Rykova, S; Sahnevich, M; Samoylov, A; Sanko, V; Sapelnikova, I; Sazonov, S; Selyunina, Z; Shalaeva, K; Shashkov, M; Shcherbakov, A; Shevchyk, V; Shubin, S; Shujskaja, E; Sibgatullin, R; Sikkila, N; Sitnikova, E; Sivkov, A; Skok, N; Skorokhodova, S; Smirnova, E; Sokolova, G; Sopin, V; Spasovski, Y; Stepanov, S; Stratiy, V; Strekalovskaya, V; Sukhov, A; Suleymanova, G; Sultangareeva, L; Teleganova, V; Teplov, V; Teplova, V; Tertitsa, T; Timoshkin, V; Tirski, D; Tolmachev, A; Tomilin, A; Tselishcheva, L; Turgunov, M; Tyukh, Y; Van, V; Ershkova, E; Vasin, A; Vasina, A; Vekliuk, A; Vetchinnikova, L; Vinogradov, V; Volodchenkov, N; Voloshina, I; Xoliqov, T; Yablonovska-Grishchenko, E; Yakovlev, V; Yakovleva, M; Yantser, O; Yarema, Y; Zahvatov, A; Zakharov, V; Zelenetskiy, N; Zheltukhin, A; Zubina, T; Kurhinen, J; Ovaskainen, O</t>
  </si>
  <si>
    <t>Delgado, Maria del Mar; Roslin, Tomas; Tikhonov, Gleb; Meyke, Evgeniy; Lo, Coong; Gurarie, Eliezer; Abadonova, Marina; Abduraimov, Ozodbek; Adrianova, Olga; Akimova, Tatiana; Akkiev, Muzhigit; Ananin, Aleksandr; Andreeva, Elena; Andriychuk, Natalia; Antipin, Maxim; Arzamascev, Konstantin; Babina, Svetlana; Babushkin, Miroslav; Bakin, Oleg; Barabancova, Anna; Basilskaja, Inna; Belova, Nina; Belyaeva, Natalia; Bespalova, Tatjana; Bisikalova, Evgeniya; Bobretsov, Anatoly; Bobrov, Vladimir; Bobrovskyi, Vadim; Bochkareva, Elena; Bogdanov, Gennady; Bolshakov, Vladimir; Bondarchuk, Svetlana; Bukharova, Evgeniya; Butunina, Alena; Buyvolov, Yuri; Buyvolova, Anna; Bykov, Yuri; Chakhireva, Elena; Chashchina, Olga; Cherenkova, Nadezhda; Chistjakov, Sergej; Chuhontseva, Svetlana; Davydov, Evgeniy A.; Demchenko, Viktor; Diadicheva, Elena; Dobrolyubov, Aleksandr; Dostoyevskaya, Ludmila; Drovnina, Svetlana; Drozdova, Zoya; Dubanaev, Akynaly; Dubrovsky, Yuriy; Elsukov, Sergey; Epova, Lidia; Ermakova, Olga S.; Ermakova, Olga; Esengeldenova, Aleksandra; Evstigneev, Oleg; Fedchenko, Irina; Fedotova, Violetta; Filatova, Tatiana; Gashev, Sergey; Gavrilov, Anatoliy; Gaydysh, Irina; Golovcov, Dmitrij; Goncharova, Nadezhda; Gorbunova, Elena; Gordeeva, Tatyana; Grishchenko, Vitaly; Gromyko, Ludmila; Hohryakov, Vladimir; Hritankov, Alexander; Ignatenko, Elena; Igosheva, Svetlana; Ivanova, Uliya; Ivanova, Natalya; Kalinkin, Yury; Kaygorodova, Evgeniya; Kazansky, Fedor; Kiseleva, Darya; Knorre, Anastasia; Kolpashikov, Leonid; Korobov, Evgenii; Korolyova, Helen; Korotkikh, Natalia; Kosenkov, Gennadiy; Kossenko, Sergey; Kotlugalyamova, Elvira; Kozlovsky, Evgeny; Kozsheechkin, Vladimir; Kozurak, Alla; Kozyr, Irina; Krasnopevtseva, Aleksandra; Kruglikov, Sergey; Kuberskaya, Olga; Kudryavtsev, Aleksey; Kulebyakina, Elena; Kulsha, Yuliia; Kupriyanova, Margarita; Kurbanbagamaev, Murad; Kutenkov, Anatoliy; Kutenkova, Nadezhda; Kuyantseva, Nadezhda; Kuznetsov, Andrey; Larin, Evgeniy; Lebedev, Pavel; Litvinov, Kirill; Luzhkova, Natalia; Mahmudov, Azizbek; Makovkina, Lidiya; Mamontov, Viktor; Mayorova, Svetlana; Megalinskaja, Irina; Meydus, Artur; Minin, Aleksandr; Mitrofanov, Oleg; Motruk, Mykhailo; Myslenkov, Aleksandr; Nasonova, Nina; Nemtseva, Natalia; Nesterova, Irina; Nezdoliy, Tamara; Niroda, Tatyana; Novikova, Tatiana; Panicheva, Darya; Pavlov, Alexey; Pavlova, Klara; Van, Polina; Podolski, Sergei; Polikarpova, Natalja; Polyanskaya, Tatiana; Pospelov, Igor; Pospelova, Elena; Prokhorov, Ilya; Prokosheva, Irina; Puchnina, Lyudmila; Putrashyk, Ivan; Raiskaya, Julia; Rozhkov, Yuri; Rozhkova, Olga; Rudenko, Marina; Rybnikova, Irina; Rykova, Svetlana; Sahnevich, Miroslava; Samoylov, Alexander; Sanko, Valeri; Sapelnikova, Inna; Sazonov, Sergei; Selyunina, Zoya; Shalaeva, Ksenia; Shashkov, Maksim; Shcherbakov, Anatoliy; Shevchyk, Vasyl; Shubin, Sergej; Shujskaja, Elena; Sibgatullin, Rustam; Sikkila, Natalia; Sitnikova, Elena; Sivkov, Andrei; Skok, Nataliya; Skorokhodova, Svetlana; Smirnova, Elena; Sokolova, Galina; Sopin, Vladimir; Spasovski, Yurii; Stepanov, Sergei; Stratiy, Vitaliy; Strekalovskaya, Violetta; Sukhov, Alexander; Suleymanova, Guzalya; Sultangareeva, Lilija; Teleganova, Viktorija; Teplov, Viktor; Teplova, Valentina; Tertitsa, Tatiana; Timoshkin, Vladislav; Tirski, Dmitry; Tolmachev, Andrej; Tomilin, Aleksey; Tselishcheva, Ludmila; Turgunov, Mirabdulla; Tyukh, Yurij; Van, Vladimir; Ershkova, Elena; Vasin, Aleksander; Vasina, Aleksandra; Vekliuk, Anatoliy; Vetchinnikova, Lidia; Vinogradov, Vladislav; Volodchenkov, Nikolay; Voloshina, Inna; Xoliqov, Tura; Yablonovska-Grishchenko, Eugenia; Yakovlev, Vladimir; Yakovleva, Marina; Yantser, Oksana; Yarema, Yurij; Zahvatov, Andrey; Zakharov, Valery; Zelenetskiy, Nicolay; Zheltukhin, Anatolii; Zubina, Tatyana; Kurhinen, Juri; Ovaskainen, Otso</t>
  </si>
  <si>
    <t>Differences in spatial versus temporal reaction norms for spring and autumn phenological events</t>
  </si>
  <si>
    <t>chilling; climate change; heating; phenology; plasticity</t>
  </si>
  <si>
    <t>TEMPERATURE-MEDIATED SHIFTS; 1ST FLOWERING DATES; PHENOTYPIC PLASTICITY; CLIMATE-CHANGE; EVOLUTIONARY SIGNIFICANCE; ECOLOGICAL RESPONSES; LOCAL ADAPTATION; PLANT; COUNTERGRADIENT; METAANALYSIS</t>
  </si>
  <si>
    <t>For species to stay temporally tuned to their environment, they use cues such as the accumulation of degree-days. The relationships between the timing of a phenological event in a population and its environmental cue can be described by a population-level reaction norm. Variation in reaction norms along environmental gradients may either intensify the environmental effects on timing (cogradient variation) or attenuate the effects (countergradient variation). To resolve spatial and seasonal variation in species' response, we use a unique dataset of 91 taxa and 178 phenological events observed across a network of 472 monitoring sites, spread across the nations of the former Soviet Union. We show that compared to local rates of advancement of phenological events with the advancement of temperature-related cues (i.e., variation within site over years), spatial variation in reaction norms tend to accentuate responses in spring (cogradient variation) and attenuate them in autumn (countergradient variation). As a result, among-population variation in the timing of events is greater in spring and less in autumn than if all populations followed the same reaction norm regardless of location. Despite such signs of local adaptation, overall phenotypic plasticity was not sufficient for phenological events to keep exact pace with their cues-the earlier the year, the more did the timing of the phenological event lag behind the timing of the cue. Overall, these patterns suggest that differences in the spatial versus temporal reaction norms will affect species' response to climate change in opposite ways in spring and autumn.</t>
  </si>
  <si>
    <t>[Delgado, Maria del Mar] Univ Oviedo, Res Unit Biodivers, Mieres 33600, Spain; [Roslin, Tomas] Swedish Univ Agr Sci, Dept Ecol, SE-75007 Uppsala, Sweden; [Tikhonov, Gleb; Lo, Coong; Kurhinen, Juri; Ovaskainen, Otso] Univ Helsinki, Helsinki 00014, Finland; [Meyke, Evgeniy] EarthCape, Helsinki 00790, Finland; [Gurarie, Eliezer] Univ Maryland, College Pk, MD 20742 USA; [Abadonova, Marina] Natl Pk Orlovskoe Polesie, Zhuderskiy Village 303943, Orel Region, Russia; [Abduraimov, Ozodbek; Mahmudov, Azizbek; Turgunov, Mirabdulla] Acad Sci Uzbek, Inst Bot, 232 V, Tashkent 100053, Uzbekistan; [Adrianova, Olga; Gaydysh, Irina; Sikkila, Natalia] Kostomuksha Nat Reserve, Karelia Republic 186930, Kostomuksha, Russia; [Akimova, Tatiana; Chuhontseva, Svetlana; Gorbunova, Elena; Kalinkin, Yury; Korolyova, Helen; Mitrofanov, Oleg; Sahnevich, Miroslava; Yakovlev, Vladimir; Zubina, Tatyana] Altai State Nat Biosphere Reserve, Altai Republic 649000, Gorno Altaysk, Russia; [Akkiev, Muzhigit] Kabardino Balkarski Nat Reserve, Kabardino Balkaria 360000, Cherek District, Russia; [Ananin, Aleksandr; Bukharova, Evgeniya; Luzhkova, Natalia] Federal State Enterprise Zapovednoe Podlemorye, Republic Buryatia 671623, Ust Bargizin, Russia; [Ananin, Aleksandr] Russian Acad Sci, Siberian Dept, Inst Gen &amp; Expt Biol, Republic Buryatia 670047, Ulan Ude, Russia; [Andreeva, Elena; Goncharova, Nadezhda; Hritankov, Alexander; Knorre, Anastasia; Kozsheechkin, Vladimir; Timoshkin, Vladislav; Vinogradov, Vladislav] State Nat Reserve Stolby, Krasnoyarsk 660006, Krasnoyarsk Reg, Russia; [Andriychuk, Natalia; Kozurak, Alla; Vekliuk, Anatoliy] Carpathian Biosphere Reserve, UA-90600 Rakhiv, Zakarpatska Obl, Ukraine; [Antipin, Maxim] Nizhne Svirsky State Nat Reserve, Lodeinoe Pole 18700, Leningrad Regio, Russia; [Arzamascev, Konstantin] State Nat Reserve Prisursky, Cheboksary 428034, Russia; [Babina, Svetlana] Pribajkalsky Natl Pk, Zapovednoe Pribajkalje, Bajkalo Lensky State Nat Reserve, Irkutsk 664050, Russia; [Babushkin, Miroslav; Kuznetsov, Andrey; Nemtseva, Natalia; Rybnikova, Irina; Zelenetskiy, Nicolay] Darwin Nat Biosphere Reserve, Borok 162723, Vologda Region, Russia; [Bakin, Oleg; Chakhireva, Elena; Pavlov, Alexey] Volzhsko Kamsky Natl Nat Biosphere Rezerve, Tatarstan Republic 422537, Zelenodolsk Dis, Russia; [Barabancova, Anna; Tolmachev, Andrej] Fed State Budget Inst Natl Pk Shushenskiy Bor, Shushenskoe 662710, Krasnoyarsk Reg, Russia; [Basilskaja, Inna; Sapelnikova, Inna] Voronezhsky Nat Biosphere Reserve, Voronezh 394080, Russia; [Belova, Nina; Ermakova, Olga; Kozyr, Irina; Krasnopevtseva, Aleksandra; Volodchenkov, Nikolay] Baikalsky State Nat Biosphere Reserve, Buryatia Republic 671220, Kabansky Distri, Russia; [Belyaeva, Natalia; Sibgatullin, Rustam] Visimsky Nat Biosphere Reserve, Kirovgrad 624140, Russia; [Bespalova, Tatjana; Butunina, Alena; Esengeldenova, Aleksandra; Korotkikh, Natalia; Larin, Evgeniy] Kondinskie Lakes Natl Pk, City Sovietsky 628240, Russia; [Bisikalova, Evgeniya] Fed State Budget Inst, United Adm Kedrovaya Pad State Biosphere Nat Rese, Vladivostok 690068, Russia; [Bobretsov, Anatoly; Kurbanbagamaev, Murad; Megalinskaja, Irina; Teplov, Viktor; Teplova, Valentina; Tertitsa, Tatiana] Pechoro Ilych State Nat Reserve, Yaksha 169436, Trinity Pechora, Russia; [Bobrov, Vladimir] AN Severtsov Inst Ecol &amp; Evolut, Moscow 119071, Russia; [Bobrovskyi, Vadim; Kuberskaya, Olga; Van, Polina; Van, Vladimir] FGBU Zapovednoye Priamurye, Komsomolskiy Dept, Khabarovskyi Krai 681000, Komsomolsk On A, Russia; [Bochkareva, Elena; Davydov, Evgeniy A.] Tigirek State Nat Reserve, Barnaul 656043, Russia; [Bochkareva, Elena] Russian Acad Sci, Siberian Branch, Inst Systemat &amp; Ecol Anim, Novosibirsk 930091, Russia; [Bogdanov, Gennady] State Nat Reserve Bolshaya Kokshaga, Mary El Republic, Yoshkar Ola, Russia; [Bolshakov, Vladimir] Russian Acad Sci, Ural Branch, Inst Plant &amp; Anim Ecol, Ekaterinburg 620100, Russia; [Bondarchuk, Svetlana; Elsukov, Sergey; Gromyko, Ludmila; Nesterova, Irina; Smirnova, Elena] Sikhote Alin State Nat Biosphere Reserve, Primorsky Krai 692150, Terney, Russia; [Buyvolov, Yuri; Sokolova, Galina] FSBI Prioksko Terrasniy State Reserve, Danky 142200, Moscow Region, Russia; [Buyvolova, Anna; Prokhorov, Ilya] Lomonosov Moscow State Univ, Moscow 119991, Leninskie Gory, Russia; [Bykov, Yuri; Drozdova, Zoya; Mayorova, Svetlana] Natl Pk Meshchera, Gus Hrustalnyi 601501, Vladimir Region, Russia; [Chashchina, Olga; Kuyantseva, Nadezhda; Zakharov, Valery] Russian Acad Sci, Ural Branch, South Urals Fed Res Ctr Mineral &amp; Geoecol, Ilmeny State Reserve, Miass 456317, Chelyabinskaya, Russia; [Cherenkova, Nadezhda; Drovnina, Svetlana; Samoylov, Alexander] FGBU Natl Pk Kenozersky, Embankment Northern Dvina, Arkhangelsk 163000, Russia; [Chistjakov, Sergej] FGBU GPZ Kologrivskij MG Sinicina, Kologriv 157440, Kostromskaja Ob, Russia; [Davydov, Evgeniy A.] Altai State Univ, Barnaul 656049, Russia; [Demchenko, Viktor; Diadicheva, Elena; Sanko, Valeri] Pryazovskyi Natl Nat Pk, UA-72312 Melitopol, Zaporizka Oblas, Ukraine; [Dobrolyubov, Aleksandr; Kudryavtsev, Aleksey] State Nat Reserve Privolzhskaya Lesostep, Penza 440031, Russia; [Dostoyevskaya, Ludmila; Fedotova, Violetta; Lebedev, Pavel] Russian Acad Sci, Komarov Bot Inst, St Petersburg 197376, Russia; [Dubanaev, Akynaly] Sary Chelek State Nat Reserve, Arkyt Village 715705, Dzalal Abad Reg, Russia; [Dubrovsky, Yuriy] Natl Acad Sci Ukraine, Inst Evolutionary Ecol, UA-03143 Kiev, Ukraine; [Epova, Lidia] FGBU State Nat Reserve Kuznetsk Alatau, Mezhdurechensk 652888, Kemerovo Region, Russia; [Ermakova, Olga S.] Kerzhenskiy State Nat Biosphere Reserve, Nizhnii Novgorod 603001, Russia; [Evstigneev, Oleg; Kaygorodova, Evgeniya; Kossenko, Sergey; Kruglikov, Sergey; Sitnikova, Elena] Bryansk Forest Nat Reserve, Suzemka Dist 242180, Bryansk Region, Russia; [Fedchenko, Irina; Puchnina, Lyudmila; Rykova, Svetlana; Sivkov, Andrei] Pinezhsky State Nat Reserve, Pinega 164610, Arhangel Region, Russia; [Filatova, Tatiana] Cent Chernozem State Biosphere Nat Reserve, Kurskiy Dist 305528, Kurskiy Region, Russia; [Gashev, Sergey] Tyumen State Univ, Tyumen 625043, Russia; [Gavrilov, Anatoliy; Kolpashikov, Leonid; Pospelov, Igor; Pospelova, Elena; Strekalovskaya, Violetta] Reserves Taimyr, Norilsk 666300, Russia; [Golovcov, Dmitrij] Chatkalski Natl Pk, Toshkent 100059, Uzbekistan; [Gordeeva, Tatyana; Teleganova, Viktorija] Natl Pk Ugra, Kaluga 248007, Russia; [Grishchenko, Vitaly; Kulsha, Yuliia; Shevchyk, Vasyl; Yablonovska-Grishchenko, Eugenia] Kaniv Nat Reserve, UA-19000 Kaniv, Ukraine; [Hohryakov, Vladimir; Kosenkov, Gennadiy; Shalaeva, Ksenia] Smolenskoe Poozerje Natl Pk, Przhevalskoe 216270, Smolensk Region, Russia; [Ignatenko, Elena; Pavlova, Klara; Podolski, Sergei] FSBI Zeya State Nat Reserve, Zeya 676246, Amurskaya Oblas, Russia; [Igosheva, Svetlana; Novikova, Tatiana] Polistovsky State Nat Reserve, Bezhanitsy Dist 182840, Pskov Region, Russia; [Ivanova, Uliya; Kupriyanova, Margarita; Nezdoliy, Tamara; Skok, Nataliya; Yantser, Oksana] Ural State Pedag Univ, Ekaterinburg 620017, Russia; [Ivanova, Natalya; Shashkov, Maksim] Russian Acad Sci, Branch Keldysh Inst Appl Math, Inst Math Problems Biol, Pushchino 142290, Moscow Region, Russia; [Kazansky, Fedor; Panicheva, Darya] Kronotsky Fed Nat Biosphere Reserve, Yelizovo 684000, Kamchatka Regio, Russia; [Kiseleva, Darya] Zhiguli Nat Reserve, Bakhilova Polyana 445362, Samara Region, Russia; [Knorre, Anastasia] Siberian Fed Univ, Inst Ecol &amp; Geog, Krasnoyarsk 660041, Russia; [Korobov, Evgenii; Shujskaja, Elena; Zheltukhin, Anatolii] Cent Forest State Nat Biosphere Reserve, Zapovedniy Village 172521, Tver Region, Russia; [Kotlugalyamova, Elvira; Sultangareeva, Lilija] Natl Pk Bashkirija, Meleuzovskiy Dist 453870, Nurgush, Russia; [Kozlovsky, Evgeny] State Nat Reserve Kurilsky, Sakhalin 694500, Juzhno Kurilsk, Russia; [Kulebyakina, Elena; Mamontov, Viktor] Vodlozersky Natl Pk, Petrozavodsk 185002, Russia; [Kutenkov, Anatoliy; Kutenkova, Nadezhda; Shcherbakov, Anatoliy; Skorokhodova, Svetlana; Sukhov, Alexander; Yakovleva, Marina] State Nat Reserve Kivach, Kondopoga Dist 186220, Republic Of Kar, Russia; [Kuyantseva, Nadezhda] South Ural Fed Univ, Miass 4563304, Chelyabinskaya, Russia; [Lebedev, Pavel] St Petersburg State Forest Tech Univ, St Petersburg 194021, Russia; [Litvinov, Kirill] Astrakhan Biosphere Reserve, Astrakhan, Russia; [Makovkina, Lidiya; Myslenkov, Aleksandr; Voloshina, Inna] FSBI United Adm Lazovsky State Reserve &amp; Natl Pk, Lazovskiy Dist 692980, Lazo, Russia; [Meydus, Artur; Raiskaya, Julia; Sopin, Vladimir] State Nat Reserve Tungusskiy, Krasnoyarsk 660028, Krasnoyarsk Reg, Russia; [Meydus, Artur] Krasnoyarsk State Pedag Univ, Krasnoyarsk 660049, Russia; [Minin, Aleksandr] Russian Acad Sci, Inst Geog, Moscow 119017, Russia; [Minin, Aleksandr] Russian Acad Sci, Koltzov Inst Dev Biol, Moscow 119334, Russia; [Motruk, Mykhailo] Carpathian Natl Nat Pk, UA-78500 Yaremche, Ivano Frankivsk, Ukraine; [Nasonova, Nina] State Environm Inst, Natl Pk Braslav Lakes, Braslav 211970, Vitebsk Region, BELARUS; [Niroda, Tatyana; Putrashyk, Ivan; Tyukh, Yurij; Yarema, Yurij] Natl Pk Synevyr, UA-90041 Synevyr Ostriki, Zakarpattia Reg, Ukraine; [Polikarpova, Natalja] Pasvik State Nat Reserve, Nikel 184421, Murmansk Region, Russia; [Polyanskaya, Tatiana] Mari Chodra Natl Pk, Krasnogorsky Settlement, Mari El Republic 425090, Zvenigovsky Dis, Russia; [Prokosheva, Irina] State Nat Reserve Vishersky, Krasnovishersk 618590, Perm Region, Russia; [Rozhkov, Yuri; Rozhkova, Olga; Tirski, Dmitry] State Nat Reserve Olekminsky, Republic Sakha, Olekminsk, Russia; [Rudenko, Marina] Crimea Nat Reserve, UA-298514 Alushta, Republic Of Cri, Ukraine; [Sazonov, Sergei; Vetchinnikova, Lidia; Kurhinen, Juri] Russian Acad Sci, Karelian Res Ctr, Forest Res Inst, Petrozavodsk 185910, Russia; [Selyunina, Zoya] Black Sea Biosphere Reserve, UA-75600 Hola Prystan, Khersonska Obla, Ukraine; [Shashkov, Maksim] Russian Acad Sci, Inst Physicochem &amp; Biol Problems Soil Sci, Pushchino 142290, Moscow Region, Russia; [Shubin, Sergej; Tselishcheva, Ludmila] State Nat Reserve Nurgush, Kirov 610002, Russia; [Spasovski, Yurii] Minist Nat Resources, Caucasian State Biosphere Reserve, Adygea Republik 385000, Maykop, Russia; [Stepanov, Sergei; Stratiy, Vitaliy] Natl Nat Pk Vyzhnytskiy, UA-59200 Berehomet, Chernivtsi Regi, Ukraine; [Suleymanova, Guzalya] Natl Pk Khvalynsky, Khvalynsk Sity 412780, Region Saratov, Russia; [Tomilin, Aleksey] Arctic &amp; Antarctic Res Inst, State Res Ctr, St Petersburg 199397, Russia; [Tomilin, Aleksey] Informat Analyt Ctr Protected Areas, Moscow 123242, Russia; [Ershkova, Elena] FSBI United Adm Mordovia State Nat Reserve &amp; Natl, Saransk 430005, Russia; [Ershkova, Elena] Ogarev Mordovia State Univ, Saransk 430005, Russia; [Vasin, Aleksander; Vasina, Aleksandra] State Nat Reserve Malaya Sosva, Sovetskiy 628242, Tjumen Region, Russia; [Xoliqov, Tura] Surhanskiy State Nat Reserve, Sherabad 191404, Surhandarja Reg, Uzbekistan; [Zahvatov, Andrey] Mordovia State Nat Reserve, Village Pushta 431230, Temnikov Region, Russia; [Ovaskainen, Otso] Norwegian Univ Sci &amp; Technol, Dept Biol, Ctr Biodivers Dynam, N-7491 Trondheim, Norway</t>
  </si>
  <si>
    <t>University of Oviedo; Swedish University of Agricultural Sciences; University of Helsinki; University System of Maryland; University of Maryland College Park; Academy of Sciences of Uzbekistan; Institute of Botany, Uzbekistan; Russian Academy of Sciences; Russian Academy of Sciences; Saratov Scientific Center of the Russian Academy of Sciences; Severtsov Institute of Ecology &amp; Evolution; Russian Academy of Sciences; Russian Academy of Sciences; Institute of Plant &amp; Animal Ecology of the Russian Academy of Sciences; Lomonosov Moscow State University; Russian Academy of Sciences; Ilmen State Reserve; Altai State University; Russian Academy of Sciences; Komarov Botanical Institute, Russian Academy of Sciences; National Academy of Sciences Ukraine; Tyumen State University; Ministry of Education &amp; Science of Ukraine; Taras Shevchenko National University of Kyiv; Ural State Pedagogical University; Russian Academy of Sciences; Pushchino Scientific Center for Biological Research (PSCBI) of the Russian Academy of Sciences; Siberian Federal University; South Ural State University; Saint Petersburg State Forest Technical University; Krasnoyarsk State Pedagogical University; Russian Academy of Sciences; Institute of Geography, Russian Academy of Sciences; Russian Academy of Sciences; Koltzov Institute of Developmental Biology of the Russian Academy of Sciences; Russian Academy of Sciences; Karelian Research Centre of the Russian Academy of Sciences; Forest Research Institute of Karelian Research Centre Russian Academy of Sciences; Russian Academy of Sciences; Pushchino Scientific Center for Biological Research (PSCBI) of the Russian Academy of Sciences; Institute of Physicohemical &amp; Biological Problems of Soil Science; Arctic &amp; Antarctic Research Institute; Mordovian State University; Norwegian University of Science &amp; Technology (NTNU)</t>
  </si>
  <si>
    <t>Delgado, MD (corresponding author), Univ Oviedo, Res Unit Biodivers, Mieres 33600, Spain.</t>
  </si>
  <si>
    <t>delgadomar@uniovi.es</t>
  </si>
  <si>
    <t>Chashchina, Olga E/I-8574-2018; Ivanova, Natalya/N-8890-2013; Korotkikh, Natalia/JPL-4580-2023; Kazansky, Fedor/ABC-6928-2021; Davydov, Evgeny/K-4521-2013; Turgunov, Mirabdulla Dexkanovich/AFJ-4086-2022; Ivanova, Uliya/JFS-6652-2023; Meidus, Artur/ABA-7610-2021; Buyvolov, Yury A./A-7058-2013; Мамонтов, Виктор/AAP-2271-2021; Litvinov, Kirill/AAU-5669-2021; Beliaeva, Natalia/W-2629-2017; Ershkova, Elena/ABC-1891-2021; Kurhinen, Juri/ABD-2492-2020; Vetchinnikova, Lidia/J-5665-2018; Ovaskainen, Otso/D-9119-2012; PROKHOROV, ILYA/AAY-3571-2020; Lebedev, Pavel/AAF-5068-2021; Bondarchuk, Svetlana Nikolaevna/ABB-6725-2021; Ovaskainen, Otso/AGN-4838-2022; Epova, Lidia/KHD-1388-2024; Babushkin, Miroslav/ABB-7041-2021; Filatova, Tatiana/K-8233-2016; Янцер, Оксана/JFS-1518-2023; Abduraimov, Ozodbek/AAB-7110-2022; Zakharov, Valery P/K-3410-2013; Gurarie, Eliezer/AGI-0958-2022; Mahmudov, Azizbek/CAG-1050-2022; Shashkov, Maxim/K-3788-2018; Akimova, Tatiana/ABB-7046-2021; Knorre, Anastasia/ABB-8057-2021; Chashchina, Olga/AAI-6551-2021; Minin, Alexander Andreevich/AAG-4502-2021; Grishchenko, Vitaly/B-8503-2013; Igor, Pospelov/S-7976-2016; Van, Polina/GQS-8107-2022; Roslin, Tomas/E-8648-2016</t>
  </si>
  <si>
    <t>Ivanova, Natalya/0000-0003-4199-5924; Davydov, Evgeny/0000-0002-2316-8506; Turgunov, Mirabdulla Dexkanovich/0000-0003-2404-4262; Ivanova, Uliya/0000-0001-7918-5324; Meidus, Artur/0000-0003-4974-7909; Buyvolov, Yury A./0000-0003-1350-2088; Мамонтов, Виктор/0000-0002-2611-8942; Ershkova, Elena/0000-0001-6998-3496; Vetchinnikova, Lidia/0000-0003-2091-905X; Ovaskainen, Otso/0000-0001-9750-4421; PROKHOROV, ILYA/0000-0001-6109-4977; Lebedev, Pavel/0000-0002-1848-7588; Ovaskainen, Otso/0000-0001-9750-4421; Zakharov, Valery P/0000-0002-0597-3122; Gurarie, Eliezer/0000-0002-8666-9674; Shashkov, Maxim/0000-0002-1328-8758; Rudenko, Marina/0000-0002-5859-7212; Babina, Svetlana/0000-0002-5371-9399; Cherenkova, Nadezhda/0000-0002-7843-4189; Bockareva, Elena/0000-0003-3428-944X; Suleymanova, Gusaliya/0000-0003-4722-6608; Bondarchuk, Svetlana/0000-0002-3641-5203; Litvinov, Kirill/0000-0001-9413-6440; Minin, Alexander/0000-0002-8006-819X; Kurhinen, Juri/0000-0002-9874-3501; Grishchenko, Vitaly/0000-0002-0872-3444; Akimova, Tat'ana/0000-0003-4751-7587; Igor, Pospelov/0000-0001-9564-5589; Delgado, Maria del Mar/0000-0002-3009-738X; Meyke, Evgeniy/0000-0003-1986-2631; Sapelnikova, Inna/0000-0001-5375-260X; Lo, Coong/0000-0002-5214-452X; Mahmudov, Azizbek/0000-0003-0783-3788; Bykov, Yuri/0000-0001-5016-4714; Epova, Lidia/0000-0002-6052-3263; Van, Polina/0000-0001-7588-7003; Roslin, Tomas/0000-0002-2957-4791; Kozyr, Irina/0000-0003-0829-1650</t>
  </si>
  <si>
    <t>Academy of Finland [250243, 284601, 309581, 322266, 334787]; European Research Council (ERC) [205905, 856506-LIFEPLAN]; Nordic Environment Finance Corporation; Jane and Aatos Erkko Foundation; Research Council of Norway through its Centres of Excellence Funding Scheme via the Centre for Biodiversity Dynamics [223257]; Kone Foundation [44-6977, 55-14839]; Spanish Ramon y Cajal Grant [RYC-201416263]; Federal Budget for the Forest Research Institute of Karelian Research Centre, Russian Academy of Sciences [220-20170003, 0220-2017-0005]; Russian Foundation for Basic Research [16-08-00510]; Ministry of Education and Science of the Russian Federation [0017-2019-0009]; University of Helsinki HiLIFE Fellow Grant 2017-2020; Academy of Finland (AKA) [322266, 334787] Funding Source: Academy of Finland (AKA)</t>
  </si>
  <si>
    <t>Academy of Finland(Research Council of Finland); European Research Council (ERC)(European Research Council (ERC)Spanish Government); Nordic Environment Finance Corporation; Jane and Aatos Erkko Foundation; Research Council of Norway through its Centres of Excellence Funding Scheme via the Centre for Biodiversity Dynamics; Kone Foundation; Spanish Ramon y Cajal Grant(Spanish Government); Federal Budget for the Forest Research Institute of Karelian Research Centre, Russian Academy of Sciences; Russian Foundation for Basic Research(Russian Foundation for Basic Research (RFBR)Spanish Government); Ministry of Education and Science of the Russian Federation(Ministry of Education and Science, Russian Federation); University of Helsinki HiLIFE Fellow Grant 2017-2020; Academy of Finland (AKA)(Research Council of Finland)</t>
  </si>
  <si>
    <t>The field work was conducted as part of the monitoring program of nature reserves, Chronicles of Nature. The work was financially supported by Academy of Finland Grants 250243 (to O.O.), 284601 (to O.O.), and 309581 (to O.O.), as well as Grants 322266 and 334787 (to T.R.); the European Research Council (ERC) Starting Grant 205905 (to O.O.) and Synergy Grant 856506-LIFEPLAN (to O.O. and T.R.); a Nordic Environment Finance Corporation Grant (to O.O.); a Jane and Aatos Erkko Foundation Grant (to O.O. and T.R.); University of Helsinki HiLIFE Fellow Grant 2017-2020 (to O.O.); and the Research Council of Norway through its Centres of Excellence Funding Scheme (Grant 223257) (to O.O.) via the Centre for Biodiversity Dynamics; Kone Foundation Grants 44-6977 (to M.M.D.) and 55-14839 (to G.T.); Spanish Ramon y Cajal Grant RYC-201416263 (to M.M.D.); the Federal Budget for the Forest Research Institute of Karelian Research Centre, Russian Academy of Sciences (Grants 220-20170003 and 0220-2017-0005 [to L.V., S. Sazonov, and J.K.]); Russian Foundation for Basic Research Grant 16-08-00510 (to L.K.); and Ministry of Education and Science of the Russian Federation Grant 0017-2019-0009 (Keldysh Institute of Applied Mathematics, Russian Academy of Sciences) (to N.I. and M. Shashkov). We thank additional colleagues who contributed to data collection, especially A. Beshkarev, G. Bushmakova, T. Butorina, L. Chrevova, A. Esipov, N. Gordienko, E. Kireeva, V. Koltsova, I. Kurakina, V. Likhvar, I. Likhvar, D. Mirsaitov, M. Nanynets, L. Ovcharenko, L. Rassohina, E. Romanova, A. Shelekhov, N. Shirshova, D. Sizhko, I. Sorokin, H. Subota, V. Syzhko, G. Talanova, P. Valizer, and A. Zakusov. Ally Phillimore offered kind comments on clarity and terminology.</t>
  </si>
  <si>
    <t>10.1073/pnas.2002713117</t>
  </si>
  <si>
    <t>PF3XE</t>
  </si>
  <si>
    <t>WOS:000598990900008</t>
  </si>
  <si>
    <t>Tulaczyk, SM; Foley, NT</t>
  </si>
  <si>
    <t>Tulaczyk, Slawek M.; Foley, Neil T.</t>
  </si>
  <si>
    <t>The role of electrical conductivity in radar wave reflection from glacier beds</t>
  </si>
  <si>
    <t>GROUND-PENETRATING RADAR; SUBGLACIAL LAKE WHILLANS; ANTARCTIC ICE STREAM; WEST ANTARCTICA; WATER; BENEATH; FREQUENCY; ELECTROMAGNETICS; BOREHOLE; VALLEY</t>
  </si>
  <si>
    <t>We have examined a general expression giving the specular reflection coefficient for a radar wave approaching a reflecting interface with normal incidence. The reflecting interface separates two homogeneous isotropic media, the properties of which are fully described by three scalar quantities: dielectric permittivity, magnetic permeability, and electrical conductivity. The derived relationship indicates that electrical conductivity should not be neglected a priori in glaciological investigations of subglacial materials and in ground-penetrating radar (GPR) studies of saturated sediments and bedrock, even at the high end of typical linear radar frequencies used in such investigations (e.g., 100-400 MHz). Our own experience in resistivity surveying in Antarctica, combined with a literature review, suggests that a wide range of geologic materials can have electrical conductivity that is high enough to significantly impact the value of radar reflectivity. Furthermore, we have given two examples of prior studies in which inclusion of electrical conductivity in calculation of the radar bed reflectivity may provide an explanation for results that may be considered surprising if the impact of electrical conductivity on radar reflection is neglected. The commonly made assumption that only dielectric permittivity of the two media needs to be considered in interpretation of radar reflectivity can lead to erroneous conclusions.</t>
  </si>
  <si>
    <t>[Tulaczyk, Slawek M.; Foley, Neil T.] Univ Calif Santa Cruz, Dept Earth &amp; Planetary Sci, Santa Cruz, CA 95064 USA</t>
  </si>
  <si>
    <t>University of California System; University of California Santa Cruz</t>
  </si>
  <si>
    <t>Tulaczyk, SM (corresponding author), Univ Calif Santa Cruz, Dept Earth &amp; Planetary Sci, Santa Cruz, CA 95064 USA.</t>
  </si>
  <si>
    <t>stulaczy@ucsc.edu</t>
  </si>
  <si>
    <t>Tulaczyk, Slawek/O-7375-2018</t>
  </si>
  <si>
    <t>Tulaczyk, Slawek/0000-0002-9711-4332</t>
  </si>
  <si>
    <t>National Science Foundation, Office of Polar Programs [1644187]; Directorate For Geosciences [1644187] Funding Source: National Science Foundation; Office of Polar Programs (OPP) [1644187] Funding Source: National Science Foundation</t>
  </si>
  <si>
    <t>National Science Foundation, Office of Polar Programs(National Science Foundation (NSF)NSF - Directorate for Geosciences (GEO)); Directorate For Geosciences(National Science Foundation (NSF)NSF - Directorate for Geosciences (GEO)); Office of Polar Programs (OPP)(National Science Foundation (NSF)NSF - Directorate for Geosciences (GEO))</t>
  </si>
  <si>
    <t>This research has been supported by the National Science Foundation, Office of Polar Programs (grant no. 1644187).</t>
  </si>
  <si>
    <t>10.5194/tc-14-4495-2020</t>
  </si>
  <si>
    <t>PF6QX</t>
  </si>
  <si>
    <t>WOS:000599177500001</t>
  </si>
  <si>
    <t>Girdwood, J; Smith, H; Stanley, W; Ulanowski, Z; Stopford, C; Chemel, C; Doulgeris, KM; Brus, D; Campbell, D; Mackenzie, R</t>
  </si>
  <si>
    <t>Girdwood, Joseph; Smith, Helen; Stanley, Warren; Ulanowski, Zbigniew; Stopford, Chris; Chemel, Charles; Doulgeris, Konstantinos-Matthaios; Brus, David; Campbell, David; Mackenzie, Robert</t>
  </si>
  <si>
    <t>Design and field campaign validation of a multi-rotor unmanned aerial vehicle and optical particle counter</t>
  </si>
  <si>
    <t>IN-SITU; ATMOSPHERIC PARTICLES; FREQUENCY-RESPONSE; VERTICAL PROFILES; AEROSOL; AIRCRAFT; CLOUD; SPECTROMETER; BALLOON; PROBE</t>
  </si>
  <si>
    <t>Small unmanned aircraft (SUA) have the potential to be used as platforms for the measurement of atmospheric particulates. The use of an SUA platform for these measurements provides benefits such as high manoeuvrability, reusability, and low cost when compared with traditional techniques. However, the complex aerodynamics of an SUA - particularly for multi-rotor airframes - pose difficulties for accurate and representative sampling of particulates. The use of a miniaturised, lightweight optical particle instrument also presents reliability problems since most optical components in a lightweight system (for example laser diodes, plastic optics, and photodiodes) are less stable than their larger, heavier, and more expensive equivalents (temperature-regulated lasers, glass optics, and photomultiplier tubes). The work presented here relies on computational fluid dynamics with Lagrangian particle tracking (CFD-LPT) simulations to influence the design of a bespoke meteorological sampling system: the UH-AeroSAM. This consists of a custom-built airframe, designed to reduce sampling artefacts due to the propellers, and a purpose-built open-path optical particle counter (OPC) - the Ruggedised Cloud and Aerosol Sounding System (RCASS). OPC size distribution measurements from the UH-AeroSAM are compared with the cloud, aerosol, and precipitation spectrometer (CAPS) for measurements of stratus clouds during the Pallas Cloud Experiment (PaCE) in 2019. Good agreement is demonstrated between the two instruments. The integrated dN/dlog(D-p) is shown to have a coefficient of determination of 0.8 and a regression slope of 0.9 when plotted 1 : 1.</t>
  </si>
  <si>
    <t>[Girdwood, Joseph; Smith, Helen; Stanley, Warren; Ulanowski, Zbigniew; Stopford, Chris; Chemel, Charles; Mackenzie, Robert] Univ Hertfordshire, Sch Phys Astron &amp; Math, Ctr Atmospher &amp; Climate Phys, Hatfield AL10 9AB, Herts, England; [Chemel, Charles] Univ Hertfordshire, Sch Phys Astron &amp; Math, Ctr Atmospher &amp; Climate Phys, Natl Ctr Atmospher Sci, Hatfield AL10 9AB, Herts, England; [Doulgeris, Konstantinos-Matthaios; Brus, David] Finnish Meteorol Inst, POB 503, Helsinki 00101, Finland; [Campbell, David] Univ Hertfordshire, Sch Phys Astron &amp; Math, Hatfield AL10 9AB, Herts, England; [Smith, Helen] TruLife Opt Ltd, 79 Trinity Buoy Wharf, London, England; [Ulanowski, Zbigniew] Univ Manchester, Ctr Atmospher Sci, Manchester, Lancs, England; [Ulanowski, Zbigniew] NERC, British Antarctic Survey, Cambridge, England</t>
  </si>
  <si>
    <t>University of Hertfordshire; University of Hertfordshire; Finnish Meteorological Institute; University of Hertfordshire; University of Manchester; UK Research &amp; Innovation (UKRI); Natural Environment Research Council (NERC); NERC British Antarctic Survey</t>
  </si>
  <si>
    <t>Girdwood, J (corresponding author), Univ Hertfordshire, Sch Phys Astron &amp; Math, Ctr Atmospher &amp; Climate Phys, Hatfield AL10 9AB, Herts, England.</t>
  </si>
  <si>
    <t>j.girdwood@herts.ac.uk</t>
  </si>
  <si>
    <t>Stopford, Chris/HJP-5250-2023; Brus, David/A-8296-2011; Stopford, Chris/AAU-9770-2021</t>
  </si>
  <si>
    <t>Brus, David/0000-0002-8766-7873; Stopford, Chris/0000-0002-6773-4864; Chemel, Charles/0000-0002-6935-7177; Smith, Helen/0000-0001-8697-4030; Doulgeris, Konstantinos/0000-0002-0579-0449; Stanley, Warren/0000-0002-4078-5864; Ulanowski, Zbigniew/0000-0003-4761-6980; Girdwood, Jessica/0000-0003-4748-9651</t>
  </si>
  <si>
    <t>Aerosol Society; NERC [bas0100032] Funding Source: UKRI</t>
  </si>
  <si>
    <t>Aerosol Society; NERC(UK Research &amp; Innovation (UKRI)Natural Environment Research Council (NERC))</t>
  </si>
  <si>
    <t>We thank the Finnish Meteorological Institute for providing accommodation and logistics throughout the Pallas Cloud Experiment. Travel and shipping were subsidised by a travel award from the Aerosol Society. We also thank the UK Met Office Meteorological Research Unit at Cardington for providing support in temperature and humidity instrumentation calibration and flight testing.</t>
  </si>
  <si>
    <t>DEC 7</t>
  </si>
  <si>
    <t>10.5194/amt-13-6613-2020</t>
  </si>
  <si>
    <t>PF6KW</t>
  </si>
  <si>
    <t>WOS:000599161700002</t>
  </si>
  <si>
    <t>Forestier, R; Blanchard, JL; Nash, KL; Fulton, EA; Johnson, C; Audzijonyte, A</t>
  </si>
  <si>
    <t>Forestier, Romain; Blanchard, Julia L.; Nash, Kirsty L.; Fulton, Elizabeth A.; Johnson, Craig; Audzijonyte, Asta</t>
  </si>
  <si>
    <t>Interacting forces of predation and fishing affect species' maturation size</t>
  </si>
  <si>
    <t>body size; coexistence; evolution; fisheries; food webs; multi‐ species size spectrum model</t>
  </si>
  <si>
    <t>FISHERIES-INDUCED EVOLUTION; LIFE-HISTORY EVOLUTION; STRUCTURED POPULATIONS; SELECTION; MODEL; SURVIVAL; FEEDBACK; GUPPIES; SPECTRA; ECOLOGY</t>
  </si>
  <si>
    <t>Fishing is a strong selective force and is supposed to select for earlier maturation at smaller body size. However, the extent to which fishing-induced evolution is shaping ecosystems remains debated. This is in part because it is challenging to disentangle fishing from other selective forces (e.g., size-structured predation and cannibalism) in complex ecosystems undergoing rapid change. Changes in maturation size from fishing and predation have previously been explored with multi-species physiologically structured models but assumed separation of ecological and evolutionary timescales. To assess the eco-evolutionary impact of fishing and predation at the same timescale, we developed a stochastic physiologically size-structured food-web model, where new phenotypes are introduced randomly through time enabling dynamic simulation of species' relative maturation sizes under different types of selection pressures. Using the model, we carried out a fully factorial in silico experiment to assess how maturation size would change in the absence and presence of both fishing and predation (including cannibalism). We carried out ten replicate stochastic simulations exposed to all combinations of fishing and predation in a model community of nine interacting fish species ranging in their maximum sizes from 10 g to 100 kg. We visualized and statistically analyzed the results using linear models. The effects of fishing on maturation size depended on whether or not predation was enabled and differed substantially across species. Fishing consistently reduced the maturation sizes of two largest species whether or not predation was enabled and this decrease was seen even at low fishing intensities (F = 0.2 per year). In contrast, the maturation sizes of the three smallest species evolved to become smaller through time but this happened regardless of the levels of predation or fishing. For the four medium-size species, the effect of fishing was highly variable with more species showing significant and larger fishing effects in the presence of predation. Ultimately our results suggest that the interactive effects of predation and fishing can have marked effects on species' maturation sizes, but that, at least for the largest species, predation does not counterbalance the evolutionary effect of fishing. Our model also produced relative maturation sizes that are broadly consistent with empirical estimates for many fish species.</t>
  </si>
  <si>
    <t>[Forestier, Romain; Blanchard, Julia L.; Nash, Kirsty L.; Johnson, Craig; Audzijonyte, Asta] Univ Tasmania, Inst Marine &amp; Antarctic Studies, Hobart, Tas, Australia; [Blanchard, Julia L.; Nash, Kirsty L.; Fulton, Elizabeth A.; Audzijonyte, Asta] Ctr Marine Socioecol, Hobart, Tas, Australia; [Fulton, Elizabeth A.] CSIRO, Hobart, Tas, Australia</t>
  </si>
  <si>
    <t>Forestier, R; Blanchard, JL (corresponding author), Univ Tasmania, Inst Marine &amp; Antarctic Studies, Hobart, Tas, Australia.</t>
  </si>
  <si>
    <t>romain.forestier@utas.edu.au; julia.blanchard@utas.edu.au</t>
  </si>
  <si>
    <t>Blanchard, Julia L/E-4919-2010; Audzijonyte, Asta/O-5598-2017; Nash, Kirsty L/B-5456-2015; Fulton, Beth/A-2871-2008; Johnson, Craig/E-1788-2013</t>
  </si>
  <si>
    <t>Nash, Kirsty L/0000-0003-0976-3197; Forestier, Romain/0000-0002-6571-9222; Audzijonyte, Asta/0000-0002-9919-9376; Johnson, Craig/0000-0002-9511-905X; Blanchard, Julia/0000-0003-0532-4824</t>
  </si>
  <si>
    <t>Australian Research Council [DP170104240]</t>
  </si>
  <si>
    <t>Australian Research Council, Grant/Award Number: DP170104240</t>
  </si>
  <si>
    <t>10.1002/ece3.6995</t>
  </si>
  <si>
    <t>PL4ES</t>
  </si>
  <si>
    <t>WOS:000595619300001</t>
  </si>
  <si>
    <t>Twiname, S; Fitzgibbon, QP; Hobday, AJ; Carter, CG; Oellermann, M; Pecl, GT</t>
  </si>
  <si>
    <t>Twiname, Samantha; Fitzgibbon, Quinn P.; Hobday, Alistair J.; Carter, Chris G.; Oellermann, Michael; Pecl, Gretta T.</t>
  </si>
  <si>
    <t>Mismatch of thermal optima between performance measures, life stages and species of spiny lobster</t>
  </si>
  <si>
    <t>CLIMATE-CHANGE; INTERSPECIFIC INTERACTIONS; TEMPERATURE-DEPENDENCE; PHENOTYPIC PLASTICITY; ENERGY-METABOLISM; TROPICAL FISHES; REEF; RESPONSES; RECOVERY; ECOLOGY</t>
  </si>
  <si>
    <t>In an ocean warming hotspot off south-east Australia, many species have expanded their ranges polewards, including the eastern rock lobster, Sagmariasus verreauxi. This species is likely extending its range via larval advection into Tasmanian coastal waters, which are occupied by the more commercially important southern rock lobster, Jasus edwardsii. Here, thermal tolerances of these lobster species at two life stages were investigated to assess how they may respond to warming ocean temperatures. We found that the pattern, optimum and magnitude of thermal responses differed between performance measures, life stages and species. Sagmariasus verreauxi had a warmer optimal temperature for aerobic scope and escape speed than J. edwardsii. However, J. edwardsii had a higher magnitude of escape speed, indicating higher capacity for escape performance. There were also differences between life stages within species, with the larval stage having higher variation in optimal temperatures between measures than juveniles. This inconsistency in performance optima and magnitude indicates that single performance measures at single life stages are unlikely to accurately predict whole animal performance in terms of life-time survival and fitness. However, combined results of this study suggest that with continued ocean warming, S. verreauxi is likely to continue to extend its distribution polewards and increase in abundance in Tasmania.</t>
  </si>
  <si>
    <t>[Twiname, Samantha; Fitzgibbon, Quinn P.; Carter, Chris G.; Oellermann, Michael; Pecl, Gretta T.] Univ Tasmania, Inst Marine &amp; Antarctic Studies, Hobart, Tas, Australia; [Hobday, Alistair J.] CSIRO Oceans &amp; Atmosphere, Hobart, Tas, Australia; [Oellermann, Michael] Tech Univ Munich, Aquat Syst Biol Unit, Freising Weihenstephan, Germany</t>
  </si>
  <si>
    <t>University of Tasmania; Commonwealth Scientific &amp; Industrial Research Organisation (CSIRO); Technical University of Munich</t>
  </si>
  <si>
    <t>Twiname, S (corresponding author), Univ Tasmania, Inst Marine &amp; Antarctic Studies, Hobart, Tas, Australia.</t>
  </si>
  <si>
    <t>Samantha.Twiname@utas.edu.au</t>
  </si>
  <si>
    <t>Hobday, Alistair/A-1460-2012; Pecl, Gretta/D-7267-2011; Carter, Chris Guy/A-3438-2008; Oellermann, Michael/G-7073-2011; Twiname, Samantha/E-2714-2015</t>
  </si>
  <si>
    <t>Pecl, Gretta/0000-0003-0192-4339; Carter, Chris Guy/0000-0001-5210-1282; Fitzgibbon, Quinn/0000-0002-1104-3052; Oellermann, Michael/0000-0001-5392-6737; Twiname, Samantha/0000-0002-3355-0856</t>
  </si>
  <si>
    <t>ARC [FT140100596, IH12100032]; German Research Foundation [OE658/1-1]; ST's Holsworth Wildlife Research Endowment Fund; Australian Research Council [FT140100596] Funding Source: Australian Research Council</t>
  </si>
  <si>
    <t>ARC(Australian Research Council); German Research Foundation(German Research Foundation (DFG)); ST's Holsworth Wildlife Research Endowment Fund; Australian Research Council(Australian Research Council)</t>
  </si>
  <si>
    <t>We would like to thank the IMAS aquaculture technicians for their laboratory support and supply of S. verreauxi pueruli and juveniles, and the IMAS field team for the collection of J. edwardsii pueruli. Thanks to J. Seager and J. Hulls for their stereo-video support and S. Wotherspoon and K. Hartmann for help with statistics. This research was supported by GTP's ARC Future Fellowship (FT140100596), QPF &amp; CGC's ARC Industrial Transformation Research Hub project (IH12100032), MO's research fellowship by the German Research Foundation (OE658/1-1) and ST's Holsworth Wildlife Research Endowment Fund.</t>
  </si>
  <si>
    <t>DEC 4</t>
  </si>
  <si>
    <t>10.1038/s41598-020-78052-4</t>
  </si>
  <si>
    <t>PT8IV</t>
  </si>
  <si>
    <t>WOS:000608855400003</t>
  </si>
  <si>
    <t>Stroeve, J; Nandan, V; Willatt, R; Tonboe, R; Hendricks, S; Ricker, R; Mead, J; Mallett, R; Huntemann, M; Itkin, P; Schneebeli, M; Krampe, D; Spreen, G; Wilkinson, J; Matero, I; Hoppmann, M; Tsamados, M</t>
  </si>
  <si>
    <t>Stroeve, Julienne; Nandan, Vishnu; Willatt, Rosemary; Tonboe, Rasmus; Hendricks, Stefan; Ricker, Robert; Mead, James; Mallett, Robbie; Huntemann, Marcus; Itkin, Polona; Schneebeli, Martin; Krampe, Daniela; Spreen, Gunnar; Wilkinson, Jeremy; Matero, Ilkka; Hoppmann, Mario; Tsamados, Michel</t>
  </si>
  <si>
    <t>Surface-based Ku- and Ka-band polarimetric radar for sea ice studies</t>
  </si>
  <si>
    <t>SALINE SNOW COVER; BACKSCATTER MEASUREMENTS; MICROWAVE BACKSCATTER; THICKNESS; DEPTH; CRYOSAT-2; WINTER; SCATTEROMETER; FREQUENCY; VARIABILITY</t>
  </si>
  <si>
    <t>To improve our understanding of how snow properties influence sea ice thickness retrievals from presently operational and upcoming satellite radar altimeter missions, as well as to investigate the potential for combining dual frequencies to simultaneously map snow depth and sea ice thickness, a new, surface-based, fully polarimetric Ku- and Ka-band radar (KuKa radar) was built and deployed during the 2019-2020 year-long MOSAiC international Arctic drift expedition. This instrument, built to operate both as an altimeter (stare mode) and as a scatterometer (scan mode), provided the first in situ Ku- and Ka-band dual-frequency radar observations from autumn freeze-up through midwinter and covering newly formed ice in leads and first-year and second-year ice floes. Data gathered in the altimeter mode will be used to investigate the potential for estimating snow depth as the difference between dominant radar scattering horizons in the Ka- and Ku-band data. In the scatterometer mode, the Ku- and Ka-band radars operated under a wide range of azimuth and incidence angles, continuously assessing changes in the polarimetric radar backscatter and derived polarimetric parameters, as snow properties varied under varying atmospheric conditions. These observations allow for characterizing radar backscatter responses to changes in atmospheric and surface geophysical conditions. In this paper, we describe the KuKa radar, illustrate examples of its data and demonstrate their potential for these investigations.</t>
  </si>
  <si>
    <t>[Stroeve, Julienne; Nandan, Vishnu] Univ Manitoba, Ctr Earth Observat Sci, 535 Wallace Bldg, Winnipeg, MB R3T 2N2, Canada; [Stroeve, Julienne; Willatt, Rosemary; Mallett, Robbie; Tsamados, Michel] UCL, Earth Sci Dept, Gower St, London WC1E 6BT, England; [Stroeve, Julienne] Univ Colorado, Natl Snow &amp; Ice Data Ctr, 1540 30th St, Boulder, CO 80302 USA; [Tonboe, Rasmus] Danish Meteorol Inst, Lyngbyvej 100, DK-2100 Copenhagen, Denmark; [Hendricks, Stefan; Ricker, Robert; Huntemann, Marcus; Krampe, Daniela; Matero, Ilkka; Hoppmann, Mario] Alfred Wegener Inst, Handelshafen 12, D-27570 Bremerhaven, Germany; [Mead, James] ProSensing, 107 Sunderland Rd, Amherst, MA 01002 USA; [Huntemann, Marcus; Spreen, Gunnar] Univ Bremen, Inst Environm Phys, Otto Hahn Allee 1, D-28359 Bremen, Germany; [Itkin, Polona] UiT Arctic Univ Norway, Dept Phys &amp; Technol, N-9019 Tromso, Norway; [Schneebeli, Martin] WSL Inst Snow &amp; Avalanche Res SLF, Fluelastr 11, CH-7260 Davos, Switzerland; [Wilkinson, Jeremy] British Antarctic Survey, Madingley Rd, Cambridge CB3 0ET, England</t>
  </si>
  <si>
    <t>University of Manitoba; University of London; University College London; University of Colorado System; University of Colorado Boulder; Danish Meteorological Institute DMI; Helmholtz Association; Alfred Wegener Institute, Helmholtz Centre for Polar &amp; Marine Research; University of Bremen; UiT The Arctic University of Tromso; Swiss Federal Institutes of Technology Domain; Swiss Federal Institute for Forest, Snow &amp; Landscape Research; UK Research &amp; Innovation (UKRI); Natural Environment Research Council (NERC); NERC British Antarctic Survey</t>
  </si>
  <si>
    <t>Stroeve, J (corresponding author), Univ Manitoba, Ctr Earth Observat Sci, 535 Wallace Bldg, Winnipeg, MB R3T 2N2, Canada.;Stroeve, J (corresponding author), UCL, Earth Sci Dept, Gower St, London WC1E 6BT, England.;Stroeve, J (corresponding author), Univ Colorado, Natl Snow &amp; Ice Data Ctr, 1540 30th St, Boulder, CO 80302 USA.</t>
  </si>
  <si>
    <t>julienne.stroeve@umanitoba.ca</t>
  </si>
  <si>
    <t>Hoppmann, Mario/KFB-0363-2024; Spreen, Gunnar/A-4533-2010; Willatt, Rosemary/HTN-4931-2023; Krampe, Daniela/GXR-6757-2022; Ricker, Robert/Z-4214-2019; Schneebeli, Martin/B-1063-2008; Hendricks, Stefan/D-5168-2011; Nandan, Vishnu/IUP-4703-2023</t>
  </si>
  <si>
    <t>Hoppmann, Mario/0000-0003-1294-9531; Spreen, Gunnar/0000-0003-0165-8448; Ricker, Robert/0000-0001-6928-7757; Schneebeli, Martin/0000-0003-2872-4409; Hendricks, Stefan/0000-0002-1412-3146; Nandan, Vishnu/0000-0001-9643-6658; Willatt, Rosemary/0000-0003-2512-562X; Krampe, Daniela/0000-0003-0633-5023; Tonboe, Rasmus Tage/0000-0003-1463-4832</t>
  </si>
  <si>
    <t>Natural Environment Research Council [NE/S002510/1]; Canada 150 Chair Program [G00321321]; European Space Agency; NERC [cpom30001, NE/S002510/1, bas0100032, NE/T009470/1, NE/S002499/1] Funding Source: UKRI</t>
  </si>
  <si>
    <t>Natural Environment Research Council(UK Research &amp; Innovation (UKRI)Natural Environment Research Council (NERC)); Canada 150 Chair Program; European Space Agency(European Space Agency); NERC(UK Research &amp; Innovation (UKRI)Natural Environment Research Council (NERC))</t>
  </si>
  <si>
    <t>This research has been supported by the Natural Environment Research Council (grant no. NE/S002510/1), the Canada 150 Chair Program (grant no. G00321321) and the European Space Agency (grant no. PO 5001027396).</t>
  </si>
  <si>
    <t>10.5194/tc-14-4405-2020</t>
  </si>
  <si>
    <t>PE1AT</t>
  </si>
  <si>
    <t>Green Submitted, Green Accepted, gold, Green Published</t>
  </si>
  <si>
    <t>WOS:000598104800002</t>
  </si>
  <si>
    <t>Kacimi, S; Kwok, R</t>
  </si>
  <si>
    <t>Kacimi, Sahra; Kwok, Ron</t>
  </si>
  <si>
    <t>The Antarctic sea ice cover from ICESat-2 and CryoSat-2: freeboard, snow depth, and ice thickness</t>
  </si>
  <si>
    <t>WEDDELL SEA; TRENDS; VARIABILITY; ICEBRIDGE; WINTER</t>
  </si>
  <si>
    <t>We offer a view of the Antarctic sea ice cover from lidar (ICESat-2) and radar (CryoSat-2) altimetry, with retrievals of freeboard, snow depth, and ice thickness that span an 8-month winter between 1 April and 16 November 2019. Snow depths are from freeboard differences. The multiyear ice observed in the West Weddell sector is the thickest, with a mean sector thickness &gt; 2 m. The thinnest ice is found near polynyas (Ross Sea and Ronne Ice Shelf) where new ice areas are exported seaward and entrained in the surrounding ice cover. For all months, the results suggest that similar to 65 %-70 % of the total freeboard is comprised of snow. The remarkable mechanical convergence in coastal Amundsen Sea, associated with onshore winds, was captured by ICESat-2 and CryoSat-2. We observe a corresponding correlated increase in freeboards, snow depth, and ice thickness. While the spatial patterns in the freeboard, snow depth, and thickness composites are as expected, the observed seasonality in these variables is rather weak. This most likely results from competing processes (snowfall, snow redistribution, snow and ice formation, ice deformation, and basal growth and melt) that contribute to uncorrelated changes in the total and radar freeboards. Evidence points to biases in CryoSat-2 estimates of ice freeboard of at least a few centimeters from high salinity snow (&gt; 10) in the basal layer resulting in lower or higher snow depth and ice thickness retrievals, although the extent of these areas cannot be established in the current data set. Adjusting CryoSat-2 freeboards by 3-6 cm gives a circumpolar ice volume of 17 900-15 600 km(3) in October, for an average thickness of similar to 1.29-1.13 m. Validation of Antarctic sea ice parameters remains a challenge, as there are no seasonally and regionally diverse data sets that could be used to assess these large-scale satellite retrievals.</t>
  </si>
  <si>
    <t>[Kacimi, Sahra; Kwok, Ron] CALTECH, Jet Prop Lab, Pasadena, CA 91125 USA; [Kwok, Ron] Univ Washington, Appl Phys Lab, Polar Sci Ctr, Seattle, WA 98105 USA</t>
  </si>
  <si>
    <t>National Aeronautics &amp; Space Administration (NASA); NASA Jet Propulsion Laboratory (JPL); California Institute of Technology; University of Washington; University of Washington Seattle</t>
  </si>
  <si>
    <t>Kacimi, S (corresponding author), CALTECH, Jet Prop Lab, Pasadena, CA 91125 USA.</t>
  </si>
  <si>
    <t>sahra.kacimi@jpl.nasa.gov</t>
  </si>
  <si>
    <t>Kwok, Ronald/L-3968-2019</t>
  </si>
  <si>
    <t>Kwok, Ronald/0000-0003-4051-5896; Kacimi, Sahra/0000-0003-0884-6038</t>
  </si>
  <si>
    <t>National Aeronautics and Space Administration; internal Research and Technology Development program, Earth 2050</t>
  </si>
  <si>
    <t>National Aeronautics and Space Administration(National Aeronautics &amp; Space Administration (NASA)); internal Research and Technology Development program, Earth 2050</t>
  </si>
  <si>
    <t>Part of this research was carried out at the Jet Propulsion Laboratory, California Institute of Technology, under a contract with the National Aeronautics and Space Administration and funded through the internal Research and Technology Development program, Earth 2050.</t>
  </si>
  <si>
    <t>10.5194/tc-14-4453-2020</t>
  </si>
  <si>
    <t>WOS:000598104800004</t>
  </si>
  <si>
    <t>Möller, LM; Attard, CRM; Bilgmann, K; Andrews-Goff, V; Jonsen, I; Paton, D; Double, MC</t>
  </si>
  <si>
    <t>Moller, Luciana M.; Attard, Catherine R. M.; Bilgmann, Kerstin; Andrews-Goff, Virginia; Jonsen, Ian; Paton, David; Double, Michael C.</t>
  </si>
  <si>
    <t>Movements and behaviour of blue whales satellite tagged in an Australian upwelling system</t>
  </si>
  <si>
    <t>POPULATION-STRUCTURE; BALAENOPTERA-MUSCULUS; SOUTHWEST PACIFIC; BALEEN WHALES; PHYTOPLANKTON BLOOMS; SOUTHERN-HEMISPHERE; STATE; INFERENCE; ECOLOGY; OCEAN</t>
  </si>
  <si>
    <t>Knowledge about the movement ecology of endangered species is needed to identify biologically important areas and the spatio-temporal scale of potential human impacts on species. Blue whales (Balaenoptera musculus) are endangered due to twentieth century whaling and currently threatened by human activities. In Australia, they feed in the Great Southern Australian Coastal Upwelling System (GSACUS) during the austral summer. We investigate their movements, occupancy, behaviour, and environmental drivers to inform conservation management. Thirteen whales were satellite tagged, biopsy sampled and photo-identified in 2015. All were genetically confirmed to be of the pygmy subspecies (B. m. brevicauda). In the GSACUS, whales spent most of their time over the continental shelf and likely foraging in association with several seascape variables (sea surface temperature variability, depth, wind speed, sea surface height anomaly, and chlorophyll a). When whales left the region, they migrated west and then north along the Australian coast until they reached West Timor and Indonesia, where their movements indicated breeding or foraging behaviour. These results highlight the importance of the GSACUS as a foraging ground for pygmy blue whales inhabiting the eastern Indian Ocean and indicate the whales' migratory route to proposed breeding grounds off Indonesia. Information about the spatio-temporal scale of potential human impacts can now be used to protect this little-known subspecies of blue whale.</t>
  </si>
  <si>
    <t>[Moller, Luciana M.; Attard, Catherine R. M.] Flinders Univ South Australia, Cetacean Ecol Behav &amp; Evolut Lab, Adelaide, SA, Australia; [Bilgmann, Kerstin; Jonsen, Ian] Macquarie Univ, Dept Biol Sci, Sydney, NSW, Australia; [Andrews-Goff, Virginia; Double, Michael C.] Australian Marine Mammal Ctr, Australian Antarctic Div, Hobart, Tas, Australia; [Paton, David] Blue Planet Marine, Canberra, ACT, Australia</t>
  </si>
  <si>
    <t>Flinders University South Australia; Macquarie University; Australian Antarctic Division</t>
  </si>
  <si>
    <t>Möller, LM (corresponding author), Flinders Univ South Australia, Cetacean Ecol Behav &amp; Evolut Lab, Adelaide, SA, Australia.</t>
  </si>
  <si>
    <t>luciana.moller@flinders.edu.au</t>
  </si>
  <si>
    <t>Andrews-Goff, Virginia/0000-0002-4609-7317; Jonsen, Ian/0000-0001-5423-6076; Bilgmann, Kerstin/0000-0003-0681-2301</t>
  </si>
  <si>
    <t>Australian Marine Mammal Centre (Australian Antarctic Division); Flinders University; Blue Planet Marine</t>
  </si>
  <si>
    <t>Funding was provided by the Australian Marine Mammal Centre (Australian Antarctic Division), Flinders University and Blue Planet Marine; and fieldwork support was provided by several volunteers. Permission to reproduce the Biologically Important Areas (BIAs) of Regionally Significant Marine Species (Pygmy blue whales) was obtained from the Australian Government Department of Agriculture, Water and the Environment. Thanks to T. Branch and two anonymous reviewers for comments to an earlier version of the manuscript.</t>
  </si>
  <si>
    <t>DEC 3</t>
  </si>
  <si>
    <t>10.1038/s41598-020-78143-2</t>
  </si>
  <si>
    <t>QD2ZZ</t>
  </si>
  <si>
    <t>WOS:000615394300165</t>
  </si>
  <si>
    <t>Epifanio, JA; Brook, EJ; Buizert, C; Edwards, JS; Sowers, TA; Kahle, EC; Severinghaus, JP; Steig, EJ; Winski, DA; Osterberg, EC; Fudge, TJ; Aydin, M; Hood, E; Kalk, M; Kreutz, KJ; Ferris, DG; Kennedy, JA</t>
  </si>
  <si>
    <t>Epifanio, Jenna A.; Brook, Edward J.; Buizert, Christo; Edwards, Jon S.; Sowers, Todd A.; Kahle, Emma C.; Severinghaus, Jeffrey P.; Steig, Eric J.; Winski, Dominic A.; Osterberg, Erich C.; Fudge, Tyler J.; Aydin, Murat; Hood, Ekaterina; Kalk, Michael; Kreutz, Karl J.; Ferris, David G.; Kennedy, Joshua A.</t>
  </si>
  <si>
    <t>The SP19 chronology for the South Pole Ice Core - Part 2: gas chronology, Eage, and smoothing of atmospheric records</t>
  </si>
  <si>
    <t>ABRUPT CLIMATE-CHANGE; ANTARCTIC ICE; WD2014 CHRONOLOGY; AGE DIFFERENCE; CLOSE-OFF; FIRN AIR; METHANE; TEMPERATURE; CONSTRAINTS; SCALE</t>
  </si>
  <si>
    <t>A new ice core drilled at the South Pole provides a 54 000-year paleoenvironmental record including the composition of the past atmosphere. This paper describes the SP19 chronology for the South Pole atmospheric gas record and complements a previous paper (Winski et al., 2019) describing the SP19 ice chronology. The gas chronology is based on a discrete methane (CH4) record with 20- to 190-year resolution. To construct the gas timescale, abrupt changes in atmospheric CH4 during the glacial period and centennial CH4 variability during the Holocene were used to synchronize the South Pole gas record with analogous data from the West Antarctic Ice Sheet Divide ice core. Stratigraphic matching based on visual optimization was verified using an automated matching algorithm. The South Pole ice core recovers all expected changes in CH4 based on previous records. Gas transport in the firn results in smoothing of the atmospheric gas record with a smoothing function spectral width that ranges from 30 to 78 years, equal to 3% of the gas-age-ice-age difference, or 1age. The new gas chronology, in combination with the existing ice age scale from Winski et al. (2019), allows a model-independent reconstruction of the gas-age-ice- age difference through the whole record, which will be useful for testing firn densification models.</t>
  </si>
  <si>
    <t>[Epifanio, Jenna A.; Brook, Edward J.; Buizert, Christo; Edwards, Jon S.; Kalk, Michael] Oregon State Univ, Coll Earth Ocean &amp; Atmospher Sci, Corvallis, OR 97331 USA; [Sowers, Todd A.] Penn State Univ, Earth &amp; Environm Syst Inst, University Pk, PA 16802 USA; [Kahle, Emma C.; Steig, Eric J.; Fudge, Tyler J.] Univ Washington, Dept Earth &amp; Space Sci, Seattle, WA 98195 USA; [Severinghaus, Jeffrey P.] Univ Calif San Diego, Scripps Inst Oceanog, La Jolla, CA 92093 USA; [Winski, Dominic A.; Kreutz, Karl J.] Univ Maine, Sch Earth &amp; Climate Sci, Orono, ME USA; [Winski, Dominic A.; Kreutz, Karl J.] Univ Maine, Climate Change Inst, Orono, ME USA; [Osterberg, Erich C.; Ferris, David G.] Dartmouth Coll, Dept Earth Sci, Hanover, NH 03755 USA; [Aydin, Murat] Univ Calif Irvine, Dept Earth Syst Sci, Irvine, CA USA; [Hood, Ekaterina] Univ Miami, Rosenstiel Sch Marine &amp; Atmospher Sci, 4600 Rickenbacker Causeway, Miami, FL 33149 USA; [Kennedy, Joshua A.] South Dakota State Univ, Dept Chem &amp; Biochem, Brookings, SD 57007 USA</t>
  </si>
  <si>
    <t>Oregon State University; Pennsylvania Commonwealth System of Higher Education (PCSHE); Pennsylvania State University; Pennsylvania State University - University Park; University of Washington; University of Washington Seattle; University of California System; University of California San Diego; Scripps Institution of Oceanography; University of Maine System; University of Maine Orono; University of Maine System; University of Maine Orono; Dartmouth College; University of California System; University of California Irvine; University of Miami; South Dakota State University</t>
  </si>
  <si>
    <t>Epifanio, JA (corresponding author), Oregon State Univ, Coll Earth Ocean &amp; Atmospher Sci, Corvallis, OR 97331 USA.</t>
  </si>
  <si>
    <t>epifanij@oregonstate.edu</t>
  </si>
  <si>
    <t>Steig, Eric J/G-9088-2015; Brook, Edward/AAB-7807-2021</t>
  </si>
  <si>
    <t>Winski, Dominic/0000-0002-9868-7909; Epifanio, Jenna/0000-0002-0430-5720</t>
  </si>
  <si>
    <t>National Science Foundation, Office of Polar Programs [1443464, 1804145, 1643722, 1443472, 1443336, 1143105, 1141839, 1443710, 1142517, 1443470, 1443397]; Directorate For Engineering; Div Of Chem, Bioeng, Env, &amp; Transp Sys [1804145] Funding Source: National Science Foundation; Directorate For Geosciences [1142517, 1443470] Funding Source: National Science Foundation; Directorate For Geosciences; Office of Polar Programs (OPP) [1443397, 1443710, 1443472, 1443336, 1141839] Funding Source: National Science Foundation; Directorate For Geosciences; Office of Polar Programs (OPP) [1443464, 1643722] Funding Source: National Science Foundation; Office of Polar Programs (OPP) [1142517, 1443470] Funding Source: National Science Foundation</t>
  </si>
  <si>
    <t>National Science Foundation, Office of Polar Programs(National Science Foundation (NSF)NSF - Directorate for Geosciences (GEO)); Directorate For Engineering; Div Of Chem, Bioeng, Env, &amp; Transp Sys(National Science Foundation (NSF)NSF - Directorate for Engineering (ENG)); Directorate For Geosciences(National Science Foundation (NSF)NSF - Directorate for Geosciences (GEO)); Directorate For Geosciences; Office of Polar Programs (OPP)(National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</si>
  <si>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This research has been supported by the National Science Foundation, Office of Polar Programs (grant nos. 1443464, 1804145, 1643722, 1443472, 1443336, 1143105, 1141839, 1443710, 1142517, 1443470, and 1443397).</t>
  </si>
  <si>
    <t>10.5194/cp-16-2431-2020</t>
  </si>
  <si>
    <t>PC2KG</t>
  </si>
  <si>
    <t>WOS:000596835500001</t>
  </si>
  <si>
    <t>Hillebrand, FL; Bremer, UF; de Freitas, MWD; Costi, J; Mendes, CW; Arigony-Neto, J; Simoes, JC</t>
  </si>
  <si>
    <t>Hillebrand, Fernando Luis; Bremer, Ulisses Franz; de Freitas, Marcos Wellausen Dias; Costi, Juliana; Mendes Junior, Claudio Wilson; Arigony-Neto, Jorge; Simoes, Jefferson Cardia</t>
  </si>
  <si>
    <t>Spectral linear mixing model applied to data from passive microwave radiometers for sea ice mapping in the Antarctic Peninsula</t>
  </si>
  <si>
    <t>GEOCARTO INTERNATIONAL</t>
  </si>
  <si>
    <t>Remote sensing; sea ice concentration; sea ice area; brightness temperature</t>
  </si>
  <si>
    <t>This study proposes the use of a Spectral Linear Mixing Model (SLMM) on passive microwave data for mapping the concentration and area of young and/or first-year ice in the oceanic region located in the northwest of the Antarctic Peninsula. Sentinel-1A Synthetic Aperture Radar (SAR) data were used to estimate fraction images needed for subpixel analysis of passive microwave data acquired by the Scanning Multichannel Microwave Radiometer (SMMR), Special Sensor Microwave Imager (SSM/I), and the Special Sensor Microwave Imager/Sounder (SSMIS) in the 19H, 19 V, 37H, and 37 V channels and polarizations. Sea ice concentrations estimated by the SLMM approach had a difference of 1.4% (13.6% standard deviation, 15.3% root mean square error) when compared to sea ice concentrations mapped using Sentinel-1A SAR data. The evolution in the total area covered by young and/or first-year ice with concentrations &gt;= 15% showed a negative linear trend for the studied region from 1979 to 2018.</t>
  </si>
  <si>
    <t>[Hillebrand, Fernando Luis; Bremer, Ulisses Franz; de Freitas, Marcos Wellausen Dias; Mendes Junior, Claudio Wilson] Univ Fed Rio Grande do Sul, Programa Posgrad Sensoriamento Remoto, Porto Alegre, RS, Brazil; [Hillebrand, Fernando Luis; Bremer, Ulisses Franz; Costi, Juliana; Mendes Junior, Claudio Wilson; Arigony-Neto, Jorge; Simoes, Jefferson Cardia] Univ Fed Rio Grande do Sul, Ctr Polar &amp; Climat, Porto Alegre, RS, Brazil; [Bremer, Ulisses Franz; de Freitas, Marcos Wellausen Dias; Mendes Junior, Claudio Wilson; Simoes, Jefferson Cardia] Univ Fed Rio Grande do Sul, Inst Geociencias, Porto Alegre, RS, Brazil; [Costi, Juliana] Univ Fed Rio Grande, Programa Posgrad Modelagem Computac, Rio Grande, Brazil; [Arigony-Neto, Jorge] Univ Fed Rio Grande, Inst Oceanog, Rio Grande, Brazil; [Simoes, Jefferson Cardia] Univ Maine, Climat Change Inst, Orono, ME USA</t>
  </si>
  <si>
    <t>Mendes, Claudio wilson/AAR-3664-2021; Simoes, Jefferson Cardia/D-7232-2013; Bremer, Ulisses Franz/AAT-8733-2021; Bremer, Ulisses F/D-3308-2013; Hillebrand, Fernando Luis/AAK-5772-2020; Costi, Juliana/AHI-7948-2022; Mendes junior, Claudio wilson/ABB-9811-2021</t>
  </si>
  <si>
    <t>Mendes, Claudio wilson/0000-0003-1745-348X; Simoes, Jefferson Cardia/0000-0001-5555-3401; Bremer, Ulisses Franz/0000-0003-0519-5807; Hillebrand, Fernando Luis/0000-0002-0182-8526; Costi, Juliana/0000-0001-6220-2343; Freitas, Marcos/0000-0001-9879-2584; Arigony-Neto, Jorge/0000-0003-4848-2064</t>
  </si>
  <si>
    <t>Conselho Nacional de Desenvolvimento Cientifico e Tecnologico; Coordenacao de Aperfeicoamento de Pessoal de Nivel Superior; Fundacao de Amparo a Pesquisa do Estado do Rio Grande do Sul</t>
  </si>
  <si>
    <t>Conselho Nacional de Desenvolvimento Cientifico e Tecnologico(Conselho Nacional de Desenvolvimento Cientifico e Tecnologico (CNPQ)); Coordenacao de Aperfeicoamento de Pessoal de Nivel Superior(Coordenacao de Aperfeicoamento de Pessoal de Nivel Superior (CAPES)); Fundacao de Amparo a Pesquisa do Estado do Rio Grande do Sul(Fundacao de Amparo a Ciencia e Tecnologia do Estado do Rio Grande do Sul (FAPERGS))</t>
  </si>
  <si>
    <t>This work was supported by Conselho Nacional de Desenvolvimento Cientifico e Tecnologico; Coordenacao de Aperfeicoamento de Pessoal de Nivel Superior; Fundacao de Amparo a Pesquisa do Estado do Rio Grande do Sul.</t>
  </si>
  <si>
    <t>1010-6049</t>
  </si>
  <si>
    <t>1752-0762</t>
  </si>
  <si>
    <t>GEOCARTO INT</t>
  </si>
  <si>
    <t>Geocarto Int.</t>
  </si>
  <si>
    <t>JUN 3</t>
  </si>
  <si>
    <t>10.1080/10106049.2020.1856194</t>
  </si>
  <si>
    <t>3B0NR</t>
  </si>
  <si>
    <t>WOS:000605713300001</t>
  </si>
  <si>
    <t>Hobbs, WR; Klekociuk, AR; Pan, YH</t>
  </si>
  <si>
    <t>Hobbs, William R.; Klekociuk, Andrew R.; Pan, Yuhang</t>
  </si>
  <si>
    <t>Validation of reanalysis Southern Ocean atmosphere trends using sea ice data</t>
  </si>
  <si>
    <t>CLIMATE; RECONSTRUCTION; VARIABILITY; SHELVES; DRIVERS; HEAT</t>
  </si>
  <si>
    <t>Reanalysis products are an invaluable tool for representing variability and long-term trends in regions with limited in situ data, and especially the Antarctic. A comparison of eight different reanalysis products shows large differences in sea level pressure and surface air temperature trends over the high-latitude Southern Ocean, with implications for studies of the atmosphere's role in driving ocean- sea ice changes. In this study, we use the established close coupling between sea ice cover and surface temperature to evaluate these reanalysis trends using the independent, 30-year sea ice record from 1980 to 2010. We demonstrate that sea ice trends are a reliable validation tool for most months of the year, although the sea ice-surface temperature coupling is weakest in summer when the surface energy budget is dominated by atmosphere-to-ocean heat fluxes. Based on our analysis, we find that surface air temperature trends in JRA55 are most consistent with satellite-observed sea ice trends over the polar waters of the Southern Ocean.</t>
  </si>
  <si>
    <t>[Hobbs, William R.] Univ Tasmania, Inst Marine &amp; Antarctic Studies IMAS, Hobart, Tas 7001, Australia; [Klekociuk, Andrew R.] Australian Antarctic Div, Antarct &amp; Global Syst Program, 203 Channel Highway, Kingston, Tas 7050, Australia; [Hobbs, William R.; Klekociuk, Andrew R.] Univ Tasmania, IMAS, Australian Antarctic Program Partnership, Hobart, Tas 7001, Australia; [Pan, Yuhang] Univ Melbourne, Sch Earth Sci, McCoy Bldg, Parkville, Vic 3010, Australia; [Hobbs, William R.] Univ Tasmania, ARC Ctr Excellence Climate Extremes, IMAS, Hobart, Tas 7001, Australia</t>
  </si>
  <si>
    <t>University of Tasmania; Australian Antarctic Division; University of Tasmania; University of Melbourne; University of Tasmania</t>
  </si>
  <si>
    <t>Hobbs, WR (corresponding author), Univ Tasmania, Inst Marine &amp; Antarctic Studies IMAS, Hobart, Tas 7001, Australia.;Hobbs, WR (corresponding author), Univ Tasmania, IMAS, Australian Antarctic Program Partnership, Hobart, Tas 7001, Australia.;Hobbs, WR (corresponding author), Univ Tasmania, ARC Ctr Excellence Climate Extremes, IMAS, Hobart, Tas 7001, Australia.</t>
  </si>
  <si>
    <t>will.hobbs@utas.edu.au</t>
  </si>
  <si>
    <t>Klekociuk, Andrew/A-4498-2015; Hobbs, Will/G-5116-2014</t>
  </si>
  <si>
    <t>Klekociuk, Andrew/0000-0003-3335-0034; Hobbs, Will/0000-0002-2061-0899</t>
  </si>
  <si>
    <t>Australian Government, Antarctic Science Collaboration Initiative programme; Antarctic Climate and Ecosystems Cooperative Research Centre; Australian Research Council Antarctic Gateway Partnership</t>
  </si>
  <si>
    <t>Australian Government, Antarctic Science Collaboration Initiative programme(Australian Government); Antarctic Climate and Ecosystems Cooperative Research Centre(Australian GovernmentDepartment of Industry, Innovation and ScienceCooperative Research Centres (CRC) Programme); Australian Research Council Antarctic Gateway Partnership(Australian Research Council)</t>
  </si>
  <si>
    <t>The authors thank the two anonymous reviewers for their helpful and constructive comments that improved this paper. This project received grant funding from the Australian Government as part of the Antarctic Science Collaboration Initiative programme, the Antarctic Climate and Ecosystems Cooperative Research Centre, and the Australian Research Council Antarctic Gateway Partnership. Data analysis and visualization were performed using the NCAR Command Language (https://doi.org/10.5065/D6WD3XH5, The NCAR Command Language, 2019). The authors are also grateful for the help and resources of the NCAR Research Data Archive (https://rda.ucar.edu/, last access: 30 November 2020) and https://reanalyses.org, last access: 30 November 2020 in acquiring and processing the data.</t>
  </si>
  <si>
    <t>DEC 2</t>
  </si>
  <si>
    <t>10.5194/acp-20-14757-2020</t>
  </si>
  <si>
    <t>OZ7AW</t>
  </si>
  <si>
    <t>WOS:000595075400004</t>
  </si>
  <si>
    <t>Greene, CA; Gardner, AS; Andrews, LC</t>
  </si>
  <si>
    <t>Greene, Chad A.; Gardner, Alex S.; Andrews, Lauren C.</t>
  </si>
  <si>
    <t>Detecting seasonal ice dynamics in satellite images</t>
  </si>
  <si>
    <t>SUBGLACIAL DRAINAGE; GLACIER; FLOW; VELOCITY; VARIABILITY; DISCHARGE; MELT; ACCELERATION; EVOLUTION; PATTERNS</t>
  </si>
  <si>
    <t>Fully understanding how glaciers respond to environmental change will require new methods to help us identify the onset of ice acceleration events and observe how dynamic signals propagate within glaciers. In particular, observations of ice dynamics on seasonal timescales may offer insights into how a glacier interacts with various forcing mechanisms throughout the year. The task of generating continuous ice velocity time series that resolve seasonal variability is made difficult by a spotty satellite record that contains no optical observations during dark, polar winters. Furthermore, velocities obtained by feature tracking are marked by high noise when image pairs are separated by short time intervals and contain no direct insights into variability that occurs between images separated by long time intervals. In this paper, we describe a method of analyzing optical- or radar-derived feature-tracked velocities to characterize the magnitude and timing of seasonal ice dynamic variability. Our method is agnostic to data gaps and is able to recover decadal average winter velocities regardless of the availability of direct observations during winter. Using characteristic image acquisition times and error distributions from Antarctic image pairs in the ITS_LIVE dataset, we generate synthetic ice velocity time series, then apply our method to recover imposed magnitudes of seasonal variability within +/- 1.4 m yr(-1). We then validate the techniques by comparing our results to GPS data collected on Russell Glacier in Greenland. The methods presented here may be applied to better understand how ice dynamic signals propagate on seasonal timescales and what mechanisms control the flow of the world's ice.</t>
  </si>
  <si>
    <t>[Greene, Chad A.; Gardner, Alex S.] CALTECH, Jet Prop Lab, 4800 Oak Grove Dr, Pasadena, CA 91109 USA; [Andrews, Lauren C.] NASA, Goddard Space Flight Ctr, Greenbelt, MD USA</t>
  </si>
  <si>
    <t>National Aeronautics &amp; Space Administration (NASA); NASA Jet Propulsion Laboratory (JPL); California Institute of Technology; National Aeronautics &amp; Space Administration (NASA); NASA Goddard Space Flight Center</t>
  </si>
  <si>
    <t>Greene, CA (corresponding author), CALTECH, Jet Prop Lab, 4800 Oak Grove Dr, Pasadena, CA 91109 USA.</t>
  </si>
  <si>
    <t>chad@chadagreene.com</t>
  </si>
  <si>
    <t>Greene, Chad/HTQ-9931-2023; Andrews, Lauren C/D-8274-2017</t>
  </si>
  <si>
    <t>Greene, Chad/0000-0001-6710-6297;</t>
  </si>
  <si>
    <t>NASA Postdoctoral Program; NASA Cryospheric Sciences program; NASA MEaSUREs program</t>
  </si>
  <si>
    <t>NASA Postdoctoral Program(National Aeronautics &amp; Space Administration (NASA)); NASA Cryospheric Sciences program(National Aeronautics &amp; Space Administration (NASA)); NASA MEaSUREs program</t>
  </si>
  <si>
    <t>The authors were supported by the NASA Postdoctoral Program, the NASA Cryospheric Sciences program, and the NASA MEaSUREs program.</t>
  </si>
  <si>
    <t>10.5194/tc-14-4365-2020</t>
  </si>
  <si>
    <t>PC0YH</t>
  </si>
  <si>
    <t>WOS:000596735500001</t>
  </si>
  <si>
    <t>Kim, HD; Lee, SB; Eom, SH; Yu, D; Cho, S; Kim, YM; Kim, SB</t>
  </si>
  <si>
    <t>Kim, Hong-Deok; Lee, Soo-Bin; Eom, Sung-Hwan; Yu, Daeung; Cho, Suengmok; Kim, Young-Mog; Kim, Seon-Bong</t>
  </si>
  <si>
    <t>In vitro Synergistic Antibacterial Effect of Ozonized Antarctic Krill Oil in Combination with Antibiotics against Bacterial Skin Pathogens</t>
  </si>
  <si>
    <t>JOURNAL OF AQUATIC FOOD PRODUCT TECHNOLOGY</t>
  </si>
  <si>
    <t>Antibacterial agent; antibiotic resistant; skin pathogens; synergistic effect; ozonized krill oil</t>
  </si>
  <si>
    <t>Ozonized Antarctic krill oil (OAKO) exhibited a significant antibacterial activity against bacterial skin pathogens that cause various skin infectious diseases such as Propionibacterium acnes, Staphylococcus epidermidis, Staphylococcus aureus, and Pseudomonas aeruginosa. Minimum inhibitory concentration (MIC) values of OAKO against these bacteria ranged from 128 to 256 mu g/ml. Furthermore, MIC values of antibiotics such as erythromycin and lincomycin were dramatically reduced in combination with OAKO against antibiotic-resistant bacteria. The combination of OAKO with erythromycin exhibited significant synergistic effect with fractional inhibitory concentration (sigma FIC) 0.375 and 0.503 against erythromycin-resistant P. acnes and P. aeruginosa, respectively. Hence, these results indicate synergistic antibacterial effects of restoration traditional antibiotics with OAKO.</t>
  </si>
  <si>
    <t>[Kim, Hong-Deok; Lee, Soo-Bin; Cho, Suengmok; Kim, Young-Mog; Kim, Seon-Bong] Pukyong Natl Univ, Dept Food Sci &amp; Technol, Busan, South Korea; [Eom, Sung-Hwan] Dong Eui Univ, Dept Food Sci &amp; Technol, Busan, South Korea; [Yu, Daeung] Changwon Natl Univ, Dept Food &amp; Nutr, Chang Won, South Korea</t>
  </si>
  <si>
    <t>Pukyong National University; Dong-Eui University; Changwon National University</t>
  </si>
  <si>
    <t>Kim, YM; Kim, SB (corresponding author), Pukyong Natl Univ, Busan 48513, South Korea.</t>
  </si>
  <si>
    <t>ymkim@pknu.ac.kr; owlkim@pknu.ac.kr</t>
  </si>
  <si>
    <t>Cho, Suengmok/HJZ-0705-2023; Kim, Young-Mog/ISR-9870-2023; Eom, Sung-Hwan/G-2162-2012; Cho, Suengmok/JCD-8778-2023</t>
  </si>
  <si>
    <t>Cho, Suengmok/0000-0001-5951-5832; Kim, Young-Mog/0000-0002-2465-8013; Cho, Suengmok/0000-0001-5951-5832; Yu, Daeung/0000-0002-2185-4959</t>
  </si>
  <si>
    <t>1049-8850</t>
  </si>
  <si>
    <t>1547-0636</t>
  </si>
  <si>
    <t>J AQUAT FOOD PROD T</t>
  </si>
  <si>
    <t>J. Aquat. Food Prod. Technol.</t>
  </si>
  <si>
    <t>10.1080/10498850.2020.1854408</t>
  </si>
  <si>
    <t>PM8QF</t>
  </si>
  <si>
    <t>WOS:000596920500001</t>
  </si>
  <si>
    <t>McGee, J; Arpi, B; Jackson, A</t>
  </si>
  <si>
    <t>McGee, Jeffrey; Arpi, Bruno; Jackson, Andrew</t>
  </si>
  <si>
    <t>Logrolling in Antarctic governance: Limits and opportunities</t>
  </si>
  <si>
    <t>Antarctic Treaty system; negotiation; logrolling; area management; marine protected areas</t>
  </si>
  <si>
    <t>INTERNATIONAL-COOPERATION; CHINA; POLITICS; FUTURE; REGIME</t>
  </si>
  <si>
    <t>The Antarctic Treaty System (ATS) is considered a successful example of international governance as it has managed tensions over sovereignty claims, avoided militarisation and dealt with marine resources and environmental protection. Recently, China's influence and assertiveness in many international institutions have significantly grown. What effect this shift in the international politics will have upon Antarctic governance remains to be seen. However, to further thinking on this issue we explore two current case studies that reveal pressure points within the ATS. First, in the Commission for the Conservation of Antarctic Marine Living Resources, Australia has proposed marine protected areas off East Antarctica, to which China and several other states have objected. Second, in the Antarctic Treaty Consultative Meetings, China has proposed special management arrangements for the area around the Kunlun station, to which Australia and several other states have objected. Negotiation theory suggests logrolling (i.e. trade of mutual decision-making support across issue areas) can be an effective strategy to avoid diplomatic deadlocks. We therefore consider the merits of a logrolling strategy for the above issues. We find that while a logrolling strategy in the ATS might facilitate short-term diplomatic success, it would carry significant risks, including the weakening of existing norms.</t>
  </si>
  <si>
    <t>[McGee, Jeffrey; Jackson, Andrew] Univ Tasmania, Inst Marine &amp; Antarctic Studies, Hobart, Tas, Australia; [McGee, Jeffrey; Arpi, Bruno] Univ Tasmania, Fac Law, Hobart, Tas, Australia</t>
  </si>
  <si>
    <t>McGee, J (corresponding author), Univ Tasmania, Inst Marine &amp; Antarctic Studies, Hobart, Tas, Australia.;McGee, J (corresponding author), Univ Tasmania, Fac Law, Hobart, Tas, Australia.</t>
  </si>
  <si>
    <t>Jeffrey.McGee@utas.edu.au</t>
  </si>
  <si>
    <t>McGee, Jeffrey s/K-7322-2015</t>
  </si>
  <si>
    <t>Arpi, Bruno/0000-0003-4714-7918</t>
  </si>
  <si>
    <t>Australian Research Council [DP190101214]</t>
  </si>
  <si>
    <t>The authors wish to express their appreciation to the Editors and two anonymous reviewers of this paper for their constructive review comments. Funding for this research was provided under Australian Research Council Discovery Grant DP190101214 titled Geopolitical Change and the Antarctic Treaty System.</t>
  </si>
  <si>
    <t>e34</t>
  </si>
  <si>
    <t>10.1017/S003224742000039X</t>
  </si>
  <si>
    <t>OZ7DD</t>
  </si>
  <si>
    <t>WOS:000595081300001</t>
  </si>
  <si>
    <t>Tang, XY; Sun, B; Wang, TT</t>
  </si>
  <si>
    <t>Tang Xue-Yuan; Sun Bo; Wang Tian-Tian</t>
  </si>
  <si>
    <t>Internal layering structure and subglacial conditions along a traverse line from Zhongshan Station to Dome A, East Antarctica, revealed by ground-based radar sounding</t>
  </si>
  <si>
    <t>APPLIED GEOPHYSICS</t>
  </si>
  <si>
    <t>East Antarctic ice sheet; Dome A; Radar; Internal layers; Subglacial conditions</t>
  </si>
  <si>
    <t>ICE-SHEET; ISOCHRONOUS LAYERS; THICKNESS; SURFACE; VARIABILITY; TRANSECT; ZONE; FLOW</t>
  </si>
  <si>
    <t>During the 21st Chinese National Antarctic Research Expedition (CHINARE 21, 2004/05), a radar dataset was collected using a ground-based radar system, along a traverse line from Zhongshan Station to DT401 (130 km from the Kunlun station). The internal layering structure and subglacial conditions were revealed along the radar profile. Continuous internal layers, disturbed layers, and echo-free zones (EFZs) along the profile were identified and classified, and the spatial distribution was presented. Based on recent surface ice velocity data, we found that the internal layers at a depth of 200-300 m in the upper ice sheet are continuous, smooth, and nearly parallel to the ice surface topography. In addition, the thick band of continuous layers changes little with increasing latitude. At depths below 300 m, the geometric structure of the internal layers and the vertical width of the EFZ band are influenced by the surface ice velocity and bed topography. The relatively high disturbance, layer discontinuity, and larger EFZ band width directly correspond to a higher surface ice velocity and a sharper bed topography. In particular, we found that at a depth of 650-950 km, the Lambert Glacier Rift in the Gamburtsev Mountains has a higher ice flow; moreover, the revealed internal layers are disturbed or broken, and the maximal vertical width of the EFZ band most likely exceeds 2000 m.</t>
  </si>
  <si>
    <t>[Tang Xue-Yuan; Sun Bo; Wang Tian-Tian] Polar Res Inst China, MNR Key Lab Polar Sci, Shanghai 200136, Peoples R China</t>
  </si>
  <si>
    <t>Tang, XY (corresponding author), Polar Res Inst China, MNR Key Lab Polar Sci, Shanghai 200136, Peoples R China.</t>
  </si>
  <si>
    <t>tangxueyuan@pric.org.cn; sunbo@pric.org.cn; wangtian890320@163.com</t>
  </si>
  <si>
    <t>sun, bo/JFA-9978-2023</t>
  </si>
  <si>
    <t>1672-7975</t>
  </si>
  <si>
    <t>1993-0658</t>
  </si>
  <si>
    <t>APPL GEOPHYS</t>
  </si>
  <si>
    <t>Appl. Geophys.</t>
  </si>
  <si>
    <t>5-6</t>
  </si>
  <si>
    <t>10.1007/s11770-020-0866-y</t>
  </si>
  <si>
    <t>UY9IY</t>
  </si>
  <si>
    <t>WOS:000701830000022</t>
  </si>
  <si>
    <t>Wodak, J</t>
  </si>
  <si>
    <t>Wodak, Josh</t>
  </si>
  <si>
    <t>(Human-Inflected) Evolution in an Age of (Human-Induced) Extinction: Synthetic Biology Meets the Anthropocene</t>
  </si>
  <si>
    <t>HUMANITIES-BASEL</t>
  </si>
  <si>
    <t>cultural imaginary; environmental humanities; environmental ethics; synthetic biology; conservation biology; microbiology; Anthropocene evolution</t>
  </si>
  <si>
    <t>TIME</t>
  </si>
  <si>
    <t>At the advent of the Anthropocene, life is being pushed to its limits the world over; we are currently living through the Sixth Mass Extinction to occur since multicellular life first emerged on the planet 570 million years ago. Evolutionary biologist E.O. Wilson sums up this push in the opening gambit of his book The Future of Life: the race is now on between the techno-scientific forces that are destroying the living environment and those that can be harnessed to save it. Contra Wilson, this paper addresses the paradox arising from proposals to harness techno-scientific forces ... to save the living environment while other forces continue to destroy it. By framing human-inflected evolution in an age of human-induced extinction, this article asks what could or should conservation become, if 'conserving' imperiled species might now require genetic interventions of the synthetic kind. Drawing upon recent key markers of the race, this paper presents a notional conservation for the Anthropocene-namely, that such a conservation proposes active intervention not only into ecosystems but into evolution itself. And yet, such interventions can only be considered in the context of the planetary scale that is the Anthropocene-writ-large, as per the desertification of the Amazon or the collapse of Antarctic ice sheets, the spatial scale of the microbial world, and on the temporal scale of evolution. Viewed within such a context, this paper presents technoscientific conservation as paradoxically being both vital and futile, as well as timely and too late.</t>
  </si>
  <si>
    <t>[Wodak, Josh] Western Sydney Univ, Inst Culture &amp; Soc, Sydney, NSW 2150, Australia</t>
  </si>
  <si>
    <t>Wodak, J (corresponding author), Western Sydney Univ, Inst Culture &amp; Soc, Sydney, NSW 2150, Australia.</t>
  </si>
  <si>
    <t>j.wodak@westernsydney.edu.au</t>
  </si>
  <si>
    <t>Wodak, Josh/0000-0002-5095-2910</t>
  </si>
  <si>
    <t>Australian Research Council Centre of Excellence in Synthetic Biology [CE200100029]</t>
  </si>
  <si>
    <t>Australian Research Council Centre of Excellence in Synthetic Biology(Australian Research Council)</t>
  </si>
  <si>
    <t>This research was funded by the Australian Research Council Centre of Excellence in Synthetic Biology (CE200100029). The views expressed herein are those of the author and are not necessarily those of the Australian Government or the Australian Research Council.</t>
  </si>
  <si>
    <t>2076-0787</t>
  </si>
  <si>
    <t>Humanities-Basel</t>
  </si>
  <si>
    <t>10.3390/h9040126</t>
  </si>
  <si>
    <t>TX8RE</t>
  </si>
  <si>
    <t>WOS:000683353100012</t>
  </si>
  <si>
    <t>Mannam, NPB; Alam, MM; Krishnankutty, P</t>
  </si>
  <si>
    <t>Mannam, Naga Praveen Babu; Alam, Md Mahbub; Krishnankutty, P.</t>
  </si>
  <si>
    <t>Review of biomimetic flexible flapping foil propulsion systems on different planetary bodies</t>
  </si>
  <si>
    <t>RESULTS IN ENGINEERING</t>
  </si>
  <si>
    <t>Planetary bodies; Flexible flapping foil; Biomimetic propulsion; Biomimetic robots</t>
  </si>
  <si>
    <t>AERODYNAMIC FORCES; FLOW-FIELD; PERFORMANCE; FLIGHT; SIMULATION; MOTION; MODEL; WAKE; HYDRODYNAMICS; DEFORMATION</t>
  </si>
  <si>
    <t>Locomotion techniques employed by different biological animals are extremely diverse and fascinating from an engineering point of view. The explorations of planets such as Mars, Titan, Europa, Enceladus with the use of aerial, terrestrial, and underwater rovers are gaining significant interest from academia, industry, planetary scientists, robotic engineers, and international space agencies around the globe. This article presents an overview of the existing state-of-the-art investigations on recently developed flapping foil propulsion of UAVs (unmanned aerial vehicles) and AUVs (autonomous underwater vehicles) for the exploration of Earth's oceans and other terrestrial bodies such as Mars, Jupiter's moon Europa, and Saturn's moon Titan. The use of flapping foils further advances into Martian Atmospheres in the form of insect-inspired micro aerial vehicles working at low Reynolds numbers. The development of aerial vehicles mimicking insect flapping is essential in low Reynolds number environments to generate sufficient lift and thrust for carrying out future Mars missions. The Cassini mission to Titan, Voyage mission, and other flyby missions to Europa found that liquid atmosphere exists on the subsurface of Europa and on the surface of Titan in the form of liquid methane lakes. The ice-covered ocean under the Europa surface is analogous to the Antarctic ice. The developments of autonomous surface ships and underwater vehicles for the exploration of the planets in cryogenic conditions are discussed with suitable biomimetic propulsion systems. The design methodology, hydrodynamic stability, and resistance estimation in cryogenic atmospheres are presented which can act as a benchmark for future missions.</t>
  </si>
  <si>
    <t>[Mannam, Naga Praveen Babu; Alam, Md Mahbub] Harbin Inst Technol, Ctr Turbulence Control, Shenzhen 518055, Peoples R China; [Krishnankutty, P.] Indian Inst Technol IIT Madras, Dept Ocean Engn, Chennai 600036, Tamil Nadu, India</t>
  </si>
  <si>
    <t>Harbin Institute of Technology; Indian Institute of Technology System (IIT System); Indian Institute of Technology (IIT) - Madras</t>
  </si>
  <si>
    <t>Alam, MM (corresponding author), Harbin Inst Technol, Ctr Turbulence Control, Shenzhen 518055, Peoples R China.</t>
  </si>
  <si>
    <t>alamm28@yahoo.com</t>
  </si>
  <si>
    <t>Alam, Md Mahbub/G-3573-2011; MANNAM, NAGA PRAVEEN BABU/E-3880-2018</t>
  </si>
  <si>
    <t>Alam, Md Mahbub/0000-0001-7937-8556;</t>
  </si>
  <si>
    <t>National Natural Science Foundation of China [11672096, 91752112]; Research Grant Council of Shenzhen Government [JCYJ20180306171921088]</t>
  </si>
  <si>
    <t>National Natural Science Foundation of China(National Natural Science Foundation of China (NSFC)); Research Grant Council of Shenzhen Government</t>
  </si>
  <si>
    <t>The authors wish to acknowledge the support given by the National Natural Science Foundation of China through Grants 11672096 and 91752112 and by Research Grant Council of Shenzhen Government through grant JCYJ20180306171921088.</t>
  </si>
  <si>
    <t>2590-1230</t>
  </si>
  <si>
    <t>RESULTS ENG</t>
  </si>
  <si>
    <t>Results Eng.</t>
  </si>
  <si>
    <t>10.1016/j.rineng.2020.100183</t>
  </si>
  <si>
    <t>Engineering, Multidisciplinary</t>
  </si>
  <si>
    <t>SP0UC</t>
  </si>
  <si>
    <t>WOS:000659387500052</t>
  </si>
  <si>
    <t>Tison, JL; Maksym, T; Fraser, AD; Corkill, M; Kimura, N; Nosaka, Y; Nomura, D; Vancoppenolle, M; Ackley, S; Stammerjohn, S; Wauthy, S; Van der Linden, F; Carnat, G; Sapart, C; de Jong, J; Fripiat, F; Delille, B</t>
  </si>
  <si>
    <t>Tison, Jean-Louis; Maksym, Ted; Fraser, Alexander D.; Corkill, Matthew; Kimura, Noriaki; Nosaka, Yuichi; Nomura, Daiki; Vancoppenolle, Martin; Ackley, Steve; Stammerjohn, Sharon; Wauthy, Sarah; Van der Linden, Fanny; Carnat, Gauthier; Sapart, Celia; de Jong, Jeroen; Fripiat, Francois; Delille, Bruno</t>
  </si>
  <si>
    <t>Physical and biological properties of early winter Antarctic sea ice in the Ross Sea</t>
  </si>
  <si>
    <t>ANNALS OF GLACIOLOGY</t>
  </si>
  <si>
    <t>Antarctic glaciology; biogeochemistry; sea ice</t>
  </si>
  <si>
    <t>LATE SUMMER; SNOW-COVER; OCEAN; PHAEOCYSTIS; DYNAMICS; BLOOMS; CARBON; DEPTH</t>
  </si>
  <si>
    <t>This work presents the results of physical and biological investigations at 27 biogeochemical stations of early winter sea ice in the Ross Sea during the 2017 PIPERS cruise. Only two similar cruises occurred in the past, in 1995 and 1998. The year 2017 was a specific year, in that ice growth in the Central Ross Sea was considerably delayed, compared to previous years. These conditions resulted in lower ice thicknesses and Chl-a burdens, as compared to those observed during the previous cruises. It also resulted in a different structure of the sympagic algal community, unusually dominated by Phaeocystis rather than diatoms. Compared to autumn-winter sea ice in the Weddell Sea (AWECS cruise), the 2017 Ross Sea pack ice displayed similar thickness distribution, but much lower snow cover and therefore nearly no flooding conditions. It is shown that contrasted dynamics of autumnal-winter sea-ice growth between the Weddell Sea and the Ross Sea impacted the development of the sympagic community. Mean/median ice Chl-a concentrations were 3-5 times lower at PIPERS, and the community status there appeared to be more mature (decaying?), based on Phaeopigments/Chl-a ratios. These contrasts are discussed in the light of temporal and spatial differences between the two cruises.</t>
  </si>
  <si>
    <t>[Tison, Jean-Louis; Wauthy, Sarah; Van der Linden, Fanny; Carnat, Gauthier; Sapart, Celia; de Jong, Jeroen; Fripiat, Francois] Univ Libre Bruxelles, PROPICE Unit, Lab Glaciol, Brussels, Belgium; [Maksym, Ted] Woods Hole Oceanog Inst, Dept Appl Ocean Phys &amp; Engn, Woods Hole, MA 02543 USA; [Fraser, Alexander D.; Corkill, Matthew] Univ Tasmania, Inst Marine &amp; Antarctic Studies, Hobart, Tas, Australia; [Fraser, Alexander D.; Corkill, Matthew] Univ Tasmania, Antarctic Climate &amp; Ecosyst Cooperat Res Ctr, Hobart, Tas, Australia; [Kimura, Noriaki] Univ Tokyo, Atmosphere &amp; Ocean Res Inst, Tokyo, Japan; [Nosaka, Yuichi] Tokai Univ, Sch Biol Sci, Tokyo, Japan; [Nomura, Daiki] Hokkaido Univ, Fac Fisheries Sci, Hakodate, Hokkaido, Japan; [Nomura, Daiki] Hokkaido Univ, Arctic Res Ctr, Sapporo, Hokkaido, Japan; [Nomura, Daiki] Hokkaido Univ, Global Inst Collaborat Res &amp; Educ, Giobai Stn Arctic Res, Sapporo, Hokkaido, Japan; [Vancoppenolle, Martin] Inst Pierre Simon Laplace, Lab Oceanog &amp; Climat, Paris, France; [Ackley, Steve] Univ Texas San Antonio, Dept Geol Sci, San Antonio, TX USA; [Stammerjohn, Sharon] Univ Colorado, Inst Arctic &amp; Alpine Res, Boulder, CO 80309 USA; [Van der Linden, Fanny; Delille, Bruno] Univ Liege, Unite Oceanog Chim Freshwater &amp; Ocean sCi Unit Re, Liege, Belgium</t>
  </si>
  <si>
    <t>Universite Libre de Bruxelles; Woods Hole Oceanographic Institution; University of Tasmania; University of Tasmania; Antarctic Climate &amp; Ecosystems Cooperative Research Centre (ACE CRC); University of Tokyo; Tokai University; Hokkaido University; Hokkaido University; Hokkaido University; Sorbonne Universite; Universite Paris Cite; Centre National de la Recherche Scientifique (CNRS); CNRS - National Institute for Earth Sciences &amp; Astronomy (INSU); Universite Paris Saclay; University of Texas System; University of Texas at San Antonio (UTSA); University of Colorado System; University of Colorado Boulder; University of Liege</t>
  </si>
  <si>
    <t>Tison, JL (corresponding author), Univ Libre Bruxelles, PROPICE Unit, Lab Glaciol, Brussels, Belgium.</t>
  </si>
  <si>
    <t>Jean-Louis.Tison@ulb.be</t>
  </si>
  <si>
    <t>Fraser, Alexander/AFO-7186-2022; Vancoppenolle, Martin/AAA-7711-2022; Fripiat, François/ABB-8918-2021; de Jong, Jeroen/F-3190-2011; Delille, Bruno/C-3486-2008</t>
  </si>
  <si>
    <t>Fraser, Alexander/0000-0003-1924-0015; Vancoppenolle, Martin/0000-0002-7573-8582; de Jong, Jeroen/0000-0002-3034-5929; Nosaka, Yuichi/0000-0003-4573-115X; Corkill, Matthew/0000-0002-5847-3738; Fripiat, Francois/0000-0002-2591-6301; Delille, Bruno/0000-0003-0502-8101</t>
  </si>
  <si>
    <t>PIPERS Program of the U.S. National Science Foundation [ANT-1341606, ANT-1341717, ANT-1341513]; LTER program of the U.S. National Science Foundation [ANT-0823101]; NASA [80NSSC19M0194]; Belgian F.R.S-FNRS (project ISOGGAP) [T.0268.16]; Belgian F.R.S-FNRS (project IODIne) [J.0262.17]; Australian Government's Cooperative Research Centre program through the Antarctic Climate &amp; Ecosystems Cooperative Research Centre; Australian Research Council's Special Research Initiative for Antarctic Gateway Partnership [SR140300001]; Japan Society for the Promotion of Science [17H04715]; National Institute for Polar Research [KP-303, 28-14]; Grants-in-Aid for Scientific Research [17H04715] Funding Source: KAKEN</t>
  </si>
  <si>
    <t>PIPERS Program of the U.S. National Science Foundation(National Science Foundation (NSF)); LTER program of the U.S. National Science Foundation(National Science Foundation (NSF)); NASA(National Aeronautics &amp; Space Administration (NASA)); Belgian F.R.S-FNRS (project ISOGGAP); Belgian F.R.S-FNRS (project IODIne); Australian Government's Cooperative Research Centre program through the Antarctic Climate &amp; Ecosystems Cooperative Research Centre(Australian GovernmentDepartment of Industry, Innovation and ScienceCooperative Research Centres (CRC) Programme); Australian Research Council's Special Research Initiative for Antarctic Gateway Partnership(Australian Research Council); Japan Society for the Promotion of Science(Ministry of Education, Culture, Sports, Science and Technology, Japan (MEXT)Japan Society for the Promotion of Science); National Institute for Polar Research; Grants-in-Aid for Scientific Research(Ministry of Education, Culture, Sports, Science and Technology, Japan (MEXT)Japan Society for the Promotion of ScienceGrants-in-Aid for Scientific Research (KAKENHI))</t>
  </si>
  <si>
    <t>We are indebted to N.B. Palmer crew for their logistical support during the 2017 PIPERS cruise. S. Stammerjohn was supported by the PIPERS and LTER Programs of the U.S. National Science Foundation, ANT-1341606 (S. Stammerjohn and J. Cassano, U Colorado) and ANT-0823101 (H. Ducklow, LDEO/Columbia University), respectively. Steve Ackley (UTSA) was supported by the PIPERS program of the U.S. National Science Foundation ANT-1341717 and by NASA Grant 80NSSC19M0194 to the Center for Adv. Meas. in Extreme Environments at UTSA.Ted Maksym (WHOI) was supported by the PIPERS program of the U.S. National Science Foundation ANT-1341513. This research was supported by the Belgian F.R.S-FNRS (project ISOGGAP and IODIne, contract T.0268.16 and J.0262.17, respectively). Fanny Van der Linden, Sarah Wauthy, Gauthier Carnat, Celia Sapart and Bruno Delille are PhD students, postdoctoral researchers and research associate, respectively, of the Belgian F.R.S.-FNRS. This work was also supported by the Australian Government's Cooperative Research Centre program through the Antarctic Climate &amp; Ecosystems Cooperative Research Centre, and by the Australian Research Council's Special Research Initiative for Antarctic Gateway Partnership (Project ID SR140300001). Daiki Nomura was supported by grants from the Japan Society for the Promotion of Science (#17H04715) and the National Institute for Polar Research through Project Research KP-303 (ROBOTICA) and #28-14. We thank Dr Jan Lieser for his constructive remarks and suggestions about primary production in Antarctic Polynya, in the early stages of this work.</t>
  </si>
  <si>
    <t>0260-3055</t>
  </si>
  <si>
    <t>1727-5644</t>
  </si>
  <si>
    <t>ANN GLACIOL</t>
  </si>
  <si>
    <t>Ann. Glaciol.</t>
  </si>
  <si>
    <t>PII S0260305520000439</t>
  </si>
  <si>
    <t>10.1017/aog.2020.43</t>
  </si>
  <si>
    <t>SF2MK</t>
  </si>
  <si>
    <t>WOS:000652595200001</t>
  </si>
  <si>
    <t>Segal, RA; Scharien, RK; Cafarella, S; Tedstone, A</t>
  </si>
  <si>
    <t>Segal, Rebecca A.; Scharien, Randall K.; Cafarella, Silvie; Tedstone, Andrew</t>
  </si>
  <si>
    <t>Characterizing winter landfast sea-ice surface roughness in the Canadian Arctic Archipelago using Sentinel-1 synthetic aperture radar and the Multi-angle Imaging SpectroRadiometer</t>
  </si>
  <si>
    <t>Remote sensing; sea ice; snow/ice surface processes</t>
  </si>
  <si>
    <t>C-BAND; SNOW-DEPTH; THICKNESS; BACKSCATTERING; SCATTEROMETER; SIGNATURES; RETRIEVAL; IMAGERY; TRENDS; BARROW</t>
  </si>
  <si>
    <t>Two satellite datasets are used to characterize winter landfast first-year sea-ice (FYI), deformed FYI (DFYI) and multiyear sea-ice (MYI) roughness in the Canadian Arctic Archipelago (CAA): (1) optical Multi-angle Imaging SpectroRadiometer (MISR) and (2) synthetic aperture radar Sentinel-1. The Normalized Difference Angular Index (NDAI) roughness proxy derived from MISR, and backscatter from Sentinel-1 are intercompared. NDAI and backscatter are also compared to surface roughness derived from an airborne LiDAR track covering a subset of FYI and MYI (no DFYI). Overall, NDAI and backscatter are significantly positively correlated when all ice type samples are considered. When individual ice types are evaluated, NDAI and backscatter are only significantly correlated for DFYI. Both NDAI and backscatter are correlated with LiDAR-derived roughness (r = 0.71 and r = 0.74, respectively). The relationship between NDAI and roughness is greater for MYI than FYI, whereas for backscatter and ice roughness, the relationship is greater for FYI than MYI. Linear regression models are created for the estimation of FYI and MYI roughness from NDAI, and FYI roughness from backscatter. Results suggest that using a combination of Sentinel-1 backscatter for FYI and MISR NDAI for MYI may be optimal for mapping winter sea-ice roughness in the CAA.</t>
  </si>
  <si>
    <t>[Segal, Rebecca A.; Scharien, Randall K.; Cafarella, Silvie] Univ Victoria, Dept Geog, Victoria, BC, Canada; [Tedstone, Andrew] Univ Fribourg, Dept Geosci, Fribourg, Switzerland; [Tedstone, Andrew] Univ Bristol, Geog Sci, Sch Geog Sci, Bristol, Avon, England</t>
  </si>
  <si>
    <t>University of Victoria; University of Fribourg; University of Bristol</t>
  </si>
  <si>
    <t>Segal, RA (corresponding author), Univ Victoria, Dept Geog, Victoria, BC, Canada.</t>
  </si>
  <si>
    <t>rasegal@uvic.ca</t>
  </si>
  <si>
    <t>Tedstone, Andrew/B-3573-2019</t>
  </si>
  <si>
    <t>Tedstone, Andrew/0000-0002-9211-451X; Segal, Rebecca/0000-0003-3474-6989</t>
  </si>
  <si>
    <t>Marine Environmental Observation Prediction and Response (MEOPAR) network; Irving Shipbuilding Inc. [1.22]; Polar Knowledge Canada (POLAR) [NST-1718-0024]; W. Garfield Weston Foundation through the Association of Canadian Universities for Northern Studies (ACUNS); Natural Sciences and Engineering Research Council of Canada (NSERC); Royal Canadian Geographical Society (RCGS); Arctic Institute of North America (AINA); University of Victoria; UK Natural Environment Research Council Large Grant [NE/M021025]</t>
  </si>
  <si>
    <t>Marine Environmental Observation Prediction and Response (MEOPAR) network; Irving Shipbuilding Inc.; Polar Knowledge Canada (POLAR); W. Garfield Weston Foundation through the Association of Canadian Universities for Northern Studies (ACUNS); Natural Sciences and Engineering Research Council of Canada (NSERC)(Natural Sciences and Engineering Research Council of Canada (NSERC)); Royal Canadian Geographical Society (RCGS); Arctic Institute of North America (AINA); University of Victoria; UK Natural Environment Research Council Large Grant</t>
  </si>
  <si>
    <t>This research was supported by the Marine Environmental Observation Prediction and Response (MEOPAR) network and Irving Shipbuilding Inc. project number 1.22, Polar Knowledge Canada (POLAR; project number NST-1718-0024), the W. Garfield Weston Foundation through the Association of Canadian Universities for Northern Studies (ACUNS), the Natural Sciences and Engineering Research Council of Canada (NSERC), the Royal Canadian Geographical Society (RCGS), the Arctic Institute of North America (AINA), the University of Victoria and the UK Natural Environment Research Council Large Grant NE/M021025. We thank the British Antarctic Survey (BAS) and Technical University of Denmark (DTU) for providing airborne LiDAR data. We Thank James Balchin for Sentinel-1 video creation, and Anne Nolin and Gene Mar for providing code to undertake MISR imagery atmospheric correction. We also appreciate the work of two reviewers who improved the manuscript significantly. Sentinel-1 data are freely provided by the European Space Agency (ESA). MISR data are provided freely by the Langley Atmospheric Science Data Center at the North American Space Agency (NASA). RADARSAT-2 data ((c) MacDonald, Dettwiler and Associates Ltd, 2012; all rights reserved) are provided by the Canadian Ice Service (CIS). RADARSAT is an official mark of the Canadian Space Agency (CSA).</t>
  </si>
  <si>
    <t>PII S0260305520000488</t>
  </si>
  <si>
    <t>10.1017/aog.2020.48</t>
  </si>
  <si>
    <t>WOS:000652595200004</t>
  </si>
  <si>
    <t>Hoppmann, M; Richter, ME; Smith, IJ; Jendersie, S; Langhorne, PJ; Thomas, DN; Dieckmann, GS</t>
  </si>
  <si>
    <t>Hoppmann, Mario; Richter, Maren E.; Smith, Inga J.; Jendersie, Stefan; Langhorne, Patricia J.; Thomas, David N.; Dieckmann, Gerhard S.</t>
  </si>
  <si>
    <t>Platelet ice, the Southern Ocean's hidden ice: a review</t>
  </si>
  <si>
    <t>Ice shelves; ice; ocean interactions; sea ice; sea-ice ecology; sea-ice; ice-shelf interactions</t>
  </si>
  <si>
    <t>ANTARCTIC SEA-ICE; TERRA-NOVA BAY; PHOTOSYNTHESIS-IRRADIANCE RELATIONSHIPS; SUSPENDED FRAZIL ICE; PINE ISLAND GLACIER; CIRCUMPOLAR DEEP-WATER; EARLY-LIFE STAGES; BASAL MELT RATES; LAND-FAST ICE; MCMURDO-SOUND</t>
  </si>
  <si>
    <t>Basal melt of ice shelves is not only an important part of Antarctica's ice sheet mass budget, but it is also the origin of platelet ice, one of the most distinctive types of sea ice. In many coastal Antarctic regions, ice crystals form and grow in supercooled plumes of Ice Shelf Water. They usually rise towards the surface, becoming trapped under an ice shelf as marine ice or forming a semi-consolidated layer, known as the sub-ice platelet layer, below an overlying sea ice cover. In the latter, sea ice growth consolidates loose crystals to form incorporated platelet ice. These phenomena have numerous and profound impacts on the physical properties, biological processes and biogeochemical cycles associated with Antarctic fast ice: platelet ice contributes to sea ice mass balance and may indicate the extent of ice-shelf basal melting. It can also host a highly productive and uniquely adapted ecosystem. This paper clarifies the terminology and reviews platelet ice formation, observational methods as well as the geographical and seasonal occurrence of this ice type. The physical properties and ecological implications are presented in a way understandable for physicists and biologists alike, thereby providing the background for much needed interdisciplinary research on this topic.</t>
  </si>
  <si>
    <t>[Hoppmann, Mario; Richter, Maren E.; Dieckmann, Gerhard S.] Helmholtz Zentrum Polar &amp; Meeresforsch, Alfred Wegener Inst, Klussmannstr 3d, D-27570 Bremerhaven, Germany; [Richter, Maren E.; Smith, Inga J.; Langhorne, Patricia J.] Univ Otago, Dept Phys, Dunedin, New Zealand; [Jendersie, Stefan] Victoria Univ Wellington, Antarctic Res Ctr, Wellington, New Zealand; [Thomas, David N.] Bangor Univ, Sch Ocean Sci, Anglesey, Wales</t>
  </si>
  <si>
    <t>Helmholtz Association; Alfred Wegener Institute, Helmholtz Centre for Polar &amp; Marine Research; University of Otago; Victoria University Wellington; Bangor University</t>
  </si>
  <si>
    <t>Hoppmann, M (corresponding author), Helmholtz Zentrum Polar &amp; Meeresforsch, Alfred Wegener Inst, Klussmannstr 3d, D-27570 Bremerhaven, Germany.</t>
  </si>
  <si>
    <t>Mario.Hoppmann@awi.de</t>
  </si>
  <si>
    <t>Jendersie, Stefan/HKW-3913-2023; Thomas, David Neville/B-1448-2010; Dieckmann, Gerhard S/B-4307-2010; Langhorne, Pat J/C-3539-2018; Hoppmann, Mario/KFB-0363-2024</t>
  </si>
  <si>
    <t>Thomas, David Neville/0000-0001-8832-5907; Hoppmann, Mario/0000-0003-1294-9531; Jendersie, Stefan/0000-0002-8658-3184; Richter, Maren Eisabeth/0000-0002-3658-3880</t>
  </si>
  <si>
    <t>German Research Council [SPP1158, NI 1092/2]; University of Otago [110282, 112061, 110312]; Antarctica New Zealand; Deep South National Science Challenge for project 'Targeted Observations and Processes Informed by Modelling of Antarctic Sea Ice'; Deep South National Science Challenge for project 'Impacts of freshwater from icebergs and ice shelf melt in the New Zealand Earth System Model'; National Institute of Water and Atmospheric Research (NIWA) Core funding 'Antarctic and High Latitude Climate'; FRST [IPY UOOX0705]; NIWA; Ministry of Business, Innovation and Employment [C01X1226]; Isaac Newton Institute for Mathematical Sciences, Cambridge (EPSRC) [EP/K032208/1]; 1999/2000 Antarctica New Zealand Sir Robin Irvine Post-Graduate Scholarship; University of Otago; Blair Trust scholarship; Aotearoa New Zealand Ross Ice Shelf Programme: Vulnerability of the Ross Ice Shelf in a Warming World (New Zealand Antarctic Research Institute) [NZARI 2014-11]; NZ SeaRise programme - Ministry of Business, Innovation and Employment; Sea Ice Physics Section at AWI; Open Access Publication Funds of Alfred-Wegener-Institut Helmholtz-Zentrum fur Polar- und Meeresforschung; [CAOA1703]; New Zealand Ministry of Business, Innovation &amp; Employment (MBIE) [C01X1226] Funding Source: New Zealand Ministry of Business, Innovation &amp; Employment (MBIE)</t>
  </si>
  <si>
    <t>German Research Council(German Research Foundation (DFG)); University of Otago; Antarctica New Zealand; Deep South National Science Challenge for project 'Targeted Observations and Processes Informed by Modelling of Antarctic Sea Ice'; Deep South National Science Challenge for project 'Impacts of freshwater from icebergs and ice shelf melt in the New Zealand Earth System Model'; National Institute of Water and Atmospheric Research (NIWA) Core funding 'Antarctic and High Latitude Climate'; FRST(New Zealand Foundation for Research, Science and Technology); NIWA; Ministry of Business, Innovation and Employment(New Zealand Ministry of Business, Innovation and Employment (MBIE)); Isaac Newton Institute for Mathematical Sciences, Cambridge (EPSRC)(UK Research &amp; Innovation (UKRI)Engineering &amp; Physical Sciences Research Council (EPSRC)); 1999/2000 Antarctica New Zealand Sir Robin Irvine Post-Graduate Scholarship; University of Otago; Blair Trust scholarship; Aotearoa New Zealand Ross Ice Shelf Programme: Vulnerability of the Ross Ice Shelf in a Warming World (New Zealand Antarctic Research Institute); NZ SeaRise programme - Ministry of Business, Innovation and Employment; Sea Ice Physics Section at AWI; Open Access Publication Funds of Alfred-Wegener-Institut Helmholtz-Zentrum fur Polar- und Meeresforschung; ; New Zealand Ministry of Business, Innovation &amp; Employment (MBIE)(New Zealand Ministry of Business, Innovation and Employment (MBIE))</t>
  </si>
  <si>
    <t>MH was supported by the German Research Council in the framework of the priority programme 'Antarctic Research with comparative investigations in Arctic ice areas' SPP1158 under grant number NI 1092/2. IJS and PJL thank the following funding agencies for support: University of Otago research grants 110282, 112061 and 110312; Antarctica New Zealand and the Scott Base staff for providing essential field and logistical support; the Deep South National Science Challenge for projects 'Targeted Observations and Processes Informed by Modelling of Antarctic Sea Ice' and 'Impacts of freshwater from icebergs and ice shelf melt in the New Zealand Earth System Model'; a subcontract to National Institute of Water and Atmospheric Research (NIWA) Core funding 'Antarctic and High Latitude Climate'. MH acknowledges Jean-Louis Tison (Universite Libre de Bruxelles), Marcel Nicolaus, Hauke Flores, Hartmut Hellmer, Ralph Timmermann and Horst Bornemann (AWI) for the fruitful discussions. IJS and PJL are grateful to the following people for on-going discussions on platelet ice and McMurdo Sound sea ice that helped inform this paper: Greg Leonard (University of Otago), Joe Trodahl (Victoria University of Wellington), Daniel Pringle, Jeff Scanniello (United States Antarctic Program Survey Team), Mike Williams (NIWA), and Craig Stevens (NIWA and the University of Auckland), Natalie Robinson (NIWA), Alex Gough, Andy Mahoney (University of Alaska Fairbanks), Tim Haskell, Pat Wongpan and Ken Hughes. PJL acknowledges: FRST funding through contract IPY UOOX0705, and by subcontracts to NIWA; project C01X1226 funded by Ministry of Business, Innovation and Employment; and numerous core funding projects, most recently CAOA1703; support and hospitality of the Isaac Newton Institute for Mathematical Sciences, Cambridge during the Mathematics of Sea Ice Phenomena (supported by EPSRC grant no EP/K032208/1). IJS was supported by the 1999/2000 Antarctica New Zealand Sir Robin Irvine Post-Graduate Scholarship, the University of Otago and a Blair Trust scholarship; the Aotearoa New Zealand Ross Ice Shelf Programme: Vulnerability of the Ross Ice Shelf in a Warming World (funded by the New Zealand Antarctic Research Institute, grant number: NZARI 2014-11, PI: Christina Hulbe). SJ was supported through the NZ SeaRise programme, funded by the Ministry of Business, Innovation and Employment. MER is grateful to Christian Haas and the Sea Ice Physics Section at AWI for a student grant. The authors acknowledge the JCOMM Expert Team on Sea Ice for their support in including the relevant terminology in the official Sea Ice Nomenclature. The authors are most grateful to two anonymous reviewers for their valuable comments which helped to further improve the manuscript. Finally, we acknowledge support by the Open Access Publication Funds of Alfred-Wegener-Institut Helmholtz-Zentrum fur Polar- und Meeresforschung.</t>
  </si>
  <si>
    <t>PII S0260305520000543</t>
  </si>
  <si>
    <t>10.1017/aog.2020.54</t>
  </si>
  <si>
    <t>WOS:000652595200008</t>
  </si>
  <si>
    <t>Tian, LJ; Gao, YL; Weissling, B; Ackley, SF</t>
  </si>
  <si>
    <t>Tian, Lijun; Gao, Yongli; Weissling, Blake; Ackley, Stephen F.</t>
  </si>
  <si>
    <t>Snow-ice contribution to the structure of sea ice in the Amundsen Sea, Antarctica</t>
  </si>
  <si>
    <t>Ice core; mass-balance reconstruction; sea ice; sea-ice growth and decay; snow and ice chemistry</t>
  </si>
  <si>
    <t>WEDDELL SEA; PACK-ICE; MASS-BALANCE; BELLINGSHAUSEN; COVER; WATER; 1ST-YEAR; GROWTH; PHASE; ROSS</t>
  </si>
  <si>
    <t>The widespread occurrence of snow-ice formation on the pack ice plays a critical role in the mass balance of Antarctic sea ice. The stable isotope composition, ice texture and salinity of eight ice cores, obtained from the Amundsen Sea during the Oden Southern Ocean 2010/11 expedition from late December 2010 to January 2011, were investigated to illustrate the snow-ice growth process and its contribution to sea-ice development. Most previous research has utilized delta O-18 as an index tracer to determine the percentages of core length that contain meteoric water, i.e. snow ice. However, this standard practice of snow-ice identification might be biased due to normally low-resolution isotopic measurements and mixing/diffusion processes between the snow ice and underlying ice layers. Snow-ice contributions in these ice cores based instead on an updated isotope mixing model are also presented. Depth profiles of ice texture and salinity are described to serve as representations of the structures of these ice cores. Our isotope mixing model produced an average of 15.9% snow-ice contribution for pack ice in the Amundsen Sea, and meteoric water occupying 40% of snow-ice mass for all ice stations. These results are compared to previous investigations of snow-ice occurrence around Antarctica.</t>
  </si>
  <si>
    <t>[Tian, Lijun; Gao, Yongli] Univ Texas San Antonio, Dept Geol Sci, Ctr Water Res, San Antonio, TX USA; [Weissling, Blake; Ackley, Stephen F.] Univ Texas San Antonio, Ctr Adv Measurements Extreme Environm, San Antonio, TX 78249 USA</t>
  </si>
  <si>
    <t>University of Texas System; University of Texas at San Antonio (UTSA); University of Texas System; University of Texas at San Antonio (UTSA)</t>
  </si>
  <si>
    <t>Ackley, SF (corresponding author), Univ Texas San Antonio, Ctr Adv Measurements Extreme Environm, San Antonio, TX 78249 USA.</t>
  </si>
  <si>
    <t>Stephen.Ackley@utsa.edu</t>
  </si>
  <si>
    <t>Tian, Lijun/0000-0003-3772-2835; Gao, Yongli/0000-0001-9063-4792</t>
  </si>
  <si>
    <t>NASA through the NASA Center on Advanced Measurements in Extreme Environments at UTSA (NASA CAMEE) [80NSSC19M0194]; University of Texas at San Antonio (UTSA), Office of the Vice President for Research; Amy Shelton and V.H. McNutt endowment; Center for Water Research at UTSA</t>
  </si>
  <si>
    <t>NASA through the NASA Center on Advanced Measurements in Extreme Environments at UTSA (NASA CAMEE); University of Texas at San Antonio (UTSA), Office of the Vice President for Research; Amy Shelton and V.H. McNutt endowment; Center for Water Research at UTSA</t>
  </si>
  <si>
    <t>SFA acknowledges the support of NASA through the NASA Center on Advanced Measurements in Extreme Environments at UTSA (NASA CAMEE #80NSSC19M0194) during the conduct of this research. This project was also funded (in part) by the University of Texas at San Antonio (UTSA), Office of the Vice President for Research, the Amy Shelton and V.H. McNutt endowment, and the Center for Water Research at UTSA.</t>
  </si>
  <si>
    <t>PII S0260305520000555</t>
  </si>
  <si>
    <t>10.1017/aog.2020.55</t>
  </si>
  <si>
    <t>WOS:000652595200009</t>
  </si>
  <si>
    <t>Wongpan, P; Nomura, D; Toyota, T; Tanikawa, T; Meiners, KM; Ishino, T; Tamura, TP; Tozawa, M; Nosaka, Y; Hirawake, T; Ooki, A; Aoki, S</t>
  </si>
  <si>
    <t>Wongpan, Pat; Nomura, Daiki; Toyota, Takenobu; Tanikawa, Tomonori; Meiners, Klaus M.; Ishino, Tomomi; Tamura, Tetsuya P.; Tozawa, Manami; Nosaka, Yuichi; Hirawake, Toru; Ooki, Atsushi; Aoki, Shigeru</t>
  </si>
  <si>
    <t>Using under-ice hyperspectral transmittance to determine land-fast sea-ice algal biomass in Saroma-ko Lagoon, Hokkaido, Japan</t>
  </si>
  <si>
    <t>Biogeochemistry; sea ice; sea-ice ecology</t>
  </si>
  <si>
    <t>SPATIAL VARIABILITY; CHLOROPHYLL-A; HETEROGENEITY; SYSTEM; LAKE</t>
  </si>
  <si>
    <t>Sea ice, which forms in polar and nonpolar areas, transmits light to ice-associated (sympagic) algal communities. To noninvasively study the distribution of sea-ice algae, empirical relations to estimate its biomass from under-ice hyperspectral irradiance have been developed in the Arctic and Antarctica but lack for nonpolar regions. This study examines relationships between normalised difference indices (NDI) calculated from hyperspectral transmittance and sympagic algal biomass in the nonpolar Saroma-ko Lagoon. We analysed physico-biogeochemical properties of snow and land-fast sea ice supporting 27 paired bio-optical measurements along three transects covering an area of over 250 m x 250 m in February 2019. Snow depth (0.08 +/- 0.01 m) and ice-bottom brine volume fraction (0.21 +/- 0.02) showed low (0.06) and high (0.58) correlations with sea-ice core bottom section chlorophyll a (Chl. a), respectively. Spatial analyses unveiled the patch size of sea-ice Chl. a to be similar to 65 m, which is in the same range reported from previous studies. A selected NDI (669, 596 nm) explained 63% of algal biomass variability. This reflects the bio-optical properties and environmental conditions of the lagoon that favour the wavelength pair in the orange/red part of the spectrum and suggests the necessity of a specific bio-optical relationship for Saroma-ko Lagoon.</t>
  </si>
  <si>
    <t>[Wongpan, Pat; Toyota, Takenobu; Aoki, Shigeru] Hokkaido Univ, Inst Low Temp Sci, Sapporo, Hokkaido, Japan; [Wongpan, Pat] Japan Soc Promot Sci, Tokyo, Japan; [Nomura, Daiki] Hokkaido Univ, FieEd Sci Ctr Northern Biosphere, Sapporo, Hokkaido, Japan; [Nomura, Daiki; Hirawake, Toru; Ooki, Atsushi] Hokkaido Univ, Fac Fisheries Sci, Hakodate, Hokkaido, Japan; [Nomura, Daiki; Hirawake, Toru; Ooki, Atsushi] Hokkaido Univ, Arctic Res Ctr, Sapporo, Hokkaido, Japan; [Nomura, Daiki] Hokkaido Univ, Global Inst Collaborat Res &amp; Educ, Global Stn Arctic Res, Sapporo, Hokkaido, Japan; [Tanikawa, Tomonori] Japan Meteorol Agcy, Meteorol Res Inst, Tsukuba, Ibaraki, Japan; [Meiners, Klaus M.] Dept Agr Water &amp; Environm, Australian Antarctic Div, Kingston, Tas, Australia; [Meiners, Klaus M.] Univ Tasmania, Inst Marine &amp; Antarctic Studies, Australian Antarctic Program Partnership, Hobart, Tas, Australia; [Ishino, Tomomi; Tamura, Tetsuya P.; Tozawa, Manami] Hokkaido Univ, Sch Fisheries Sci, Hakodate, Hokkaido, Japan; [Nosaka, Yuichi] Tokai Univ, Sch Biol Sci, Sapporo, Hokkaido, Japan</t>
  </si>
  <si>
    <t>Hokkaido University; Japan Society for the Promotion of Science; Hokkaido University; Hokkaido University; Hokkaido University; Hokkaido University; Japan Meteorological Agency; Meteorological Research Institute - Japan; Australian Antarctic Division; University of Tasmania; Hokkaido University; Tokai University</t>
  </si>
  <si>
    <t>Wongpan, P (corresponding author), Hokkaido Univ, Inst Low Temp Sci, Sapporo, Hokkaido, Japan.;Wongpan, P (corresponding author), Japan Soc Promot Sci, Tokyo, Japan.</t>
  </si>
  <si>
    <t>pat.wongpan@utas.edu.au</t>
  </si>
  <si>
    <t>Wongpan, Pat/AAX-6946-2020; Toyota, Takenobu/D-9101-2012</t>
  </si>
  <si>
    <t>Wongpan, Pat/0000-0002-7113-8221; Tozawa, Manami/0000-0002-9278-2753; Hirawake, Toru/0000-0003-0274-6642; Toyota, Takenobu/0000-0003-1264-1844; Tanikawa, Tomonori/0000-0002-8516-6514; Nosaka, Yuichi/0000-0003-4573-115X</t>
  </si>
  <si>
    <t>Japan Society for the Promotion of Science [17H04715, 17H06322, 17K00534, 18H03745, 18KK0292, 18F18794]; Grants-in-Aid for Scientific Research [17K00534, 17H06322, 18F18794, 17H04715]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</si>
  <si>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</si>
  <si>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study is a contribution to the Saroma-ko Lagoon Observations for sea-ice Physico-chemistry and Ecosystems 2019 (SLOPE2019) project. We are very grateful to Saroma Research Centre of Aquaculture and Napal Kitami for their support in conducting the fieldwork. This work was supported by the Japan Society for the Promotion of Science (17H04715, 17H06322, 17K00534, 18H03745, 18KK0292, and 18F18794). We thank Yusuke Kawaguchi, Takashi Ono, Itsuka S. Yabe, Eun Yae Son, Frederic Vivier, Antonio Lourenco, Marion Lebrun and Martin Vancoppenolle for assistance in the field. We acknowledge two anonymous reviewers, the scientific editor Feiyue Wang and Matthew Corkill, whose suggestions and comments helped improve an earlier version of the manuscript.</t>
  </si>
  <si>
    <t>PII S0260305520000695</t>
  </si>
  <si>
    <t>10.1017/aog.2020.69</t>
  </si>
  <si>
    <t>WOS:000652595200016</t>
  </si>
  <si>
    <t>Zhuravel, V</t>
  </si>
  <si>
    <t>200th Anniversary of the Discovery of Antarctica: a Breakthrough in Scientific Research is Needed</t>
  </si>
  <si>
    <t>CONTEMPORARY EUROPE-SOVREMENNAYA EVROPA</t>
  </si>
  <si>
    <t>Antarctica; Russia; Bellingshausen; Lazarev; Russian Antarctic Expedition; environmental protection; antarctic stations; Strategy for the development of the Russian Federation's activities in Antarctica until 2030</t>
  </si>
  <si>
    <t>The article is devoted to the 200th anniversary of the discovery of Antarctica under the guidance of 2nd rank captain F. Bellingshausen and lieutenant M. Lazarev. Analyzing the peculiarities of Antarctica, the author notes that this is one of. few regions of our planet, the resources and territory of which are used by various states jointly and exclusively for peaceful purposes for the benefit of science. The article analyzes in detail the celebration of this anniversary in Russia and foreign countries, while paying special attention to the thematic focus of socio-political and scientific events. Considerable attention is paid to the study of the region by Russia and the European states. Interstate cooperation between countries in Antarctica is aimed at finding effective solutions to global problems facing humanity, such as environmental pollution, climate change and its consequences, and the loss of components of biological diversity. It is concluded that despite the fact that Antarctica is traditionally one of the strategic regions for the national interests and security of our state, Russia does not always respond promptly to the existing challenges and does not pay necessary attention to improving the research base and living conditions of polar explorers.</t>
  </si>
  <si>
    <t>[Zhuravel, V] Russian Acad Sci, Inst Europe, Ctr Arctic Studies, 11-3 Mokhovaya Str, Moscow 125009, Russia</t>
  </si>
  <si>
    <t>Russian Academy of Sciences; Institute of Europe RAS</t>
  </si>
  <si>
    <t>Zhuravel, V (corresponding author), Russian Acad Sci, Inst Europe, Ctr Arctic Studies, 11-3 Mokhovaya Str, Moscow 125009, Russia.</t>
  </si>
  <si>
    <t>zhvalery@mail.ru</t>
  </si>
  <si>
    <t>Zhuravel, Valery Petrovich/AAB-9306-2021</t>
  </si>
  <si>
    <t>Zhuravel, Valery Petrovich/0000-0003-0813-6626</t>
  </si>
  <si>
    <t>ROSSIISKAYA AKAD NAUK, INST EVROPY</t>
  </si>
  <si>
    <t>MOKHOVAYA UL DOM 11, STR 3B, MOSCOW, 125993, RUSSIA</t>
  </si>
  <si>
    <t>0201-7083</t>
  </si>
  <si>
    <t>CONTEMP EUR</t>
  </si>
  <si>
    <t>Contemp. Eur.</t>
  </si>
  <si>
    <t>10.15211/soveurope72020227237</t>
  </si>
  <si>
    <t>RV8OY</t>
  </si>
  <si>
    <t>WOS:000646087800020</t>
  </si>
  <si>
    <t>Cordone, G; Salinas, V; Marina, TI; Doyle, SR; Pasotti, F; Saravia, LA; Momo, FR</t>
  </si>
  <si>
    <t>Cordone, Georgina; Salinas, Vanesa; Marina, Tomas, I; Doyle, Santiago R.; Pasotti, Francesca; Saravia, Leonardo A.; Momo, Fernando R.</t>
  </si>
  <si>
    <t>Green vs brown food web: Effects of habitat type on multidimensional stability proxies for a highly-resolved Antarctic food web</t>
  </si>
  <si>
    <t>FOOD WEBS</t>
  </si>
  <si>
    <t>Hard bottom; Soft bottom; Quasi sign-stability; Strona curve-ball algorithm; West Antarctic Peninsula; Climate change</t>
  </si>
  <si>
    <t>KING-GEORGE ISLAND; INTERTIDAL MUSSEL BEDS; SOUTH SHETLAND ISLANDS; POTTER COVE; NETWORK STRUCTURE; SECONDARY EXTINCTIONS; TROPHIC INTERACTIONS; ECOLOGICAL NETWORKS; BIODIVERSITY LOSS; MARINE ECOSYSTEM</t>
  </si>
  <si>
    <t>Food web analyses are powerful tools to understand the structure, dynamics and stability of communities. Potter Cove (25 de Mayo/King George Island) is one of the most biodiverse and studied fjords on the West Antarctic Peninsula (WAP), where climate change is affecting benthic and pelagic communities. This fiord ecosystem presents a considerable degree of environmental and species distribution heterogeneity across space: the outer portion of the cove is dominated by hard bottoms meanwhile the inner portion is dominated by soft bottoms. In this work, we have incorporated habitat type to a highly-resolved Antarctic food web, and evaluated its effects on different network metrics and proxies for various dimensions of stability. We considered a multidimensional perspective and employed simulation techniques to encompass variability. Our results showed that the incorporation of habitat type to Potter Cove food web analysis led to two different functional types of networks segregated on space: a green food web (in the outer cove) and a brown food web (in the inner cove). The green and the brown food webs showed significant differences in network structure and in some proxies for multidimensional stability (i.e. quasi sign-stability and omnivory), suggesting that these two food webs have different resilience to perturbations. However, there were no changes in network robustness when in silico experiments were performed. We conclude that habitat type plays a significant role in the structure and stability of Antarctic food webs, and should be taken into account to design effective conservation strategies. (C) 2020 Elsevier Inc. All rights reserved.</t>
  </si>
  <si>
    <t>[Cordone, Georgina] Ctr Nacl Patagon, Ctr Estudio Sistemas Marinos CESIMAR, CCT CONICET, CENPAT, Blvd Brown 2915, RA-9120 Chubut U, Argentina; [Salinas, Vanesa; Marina, Tomas, I; Doyle, Santiago R.; Saravia, Leonardo A.; Momo, Fernando R.] Univ Nacl Gen Sarmiento, Inst Ciencias ICI, B1613 Polvorines, JM Gutierrez 1150, RA-1150 Buenos Aires B, DF, Argentina; [Doyle, Santiago R.; Saravia, Leonardo A.; Momo, Fernando R.] Univ Nacl Lujan, Inst Ecol &amp; Desarrollo Sustentable INEDES, CC 221, RA-6700 Buenos Aires B, DF, Argentina; [Marina, Tomas, I] Ctr Austral Invest Cient Cad, CONICET, BA Houssay 200, RA-9410 Tierra Del Fuego V, Argentina; [Pasotti, Francesca] Univ Ghent, Biol Dept, Marine Biol Lab, Krijgslaan 281-S8, B-9000 Ghent, Belgium</t>
  </si>
  <si>
    <t>Centro Nacional Patagonico (CENPAT); Consejo Nacional de Investigaciones Cientificas y Tecnicas (CONICET); Ghent University</t>
  </si>
  <si>
    <t>Cordone, G (corresponding author), Ctr Nacl Patagon, Ctr Estudio Sistemas Marinos CESIMAR, CCT CONICET, CENPAT, Blvd Brown 2915, RA-9120 Chubut U, Argentina.</t>
  </si>
  <si>
    <t>gcordone@cenpat-conicet.gob.ar</t>
  </si>
  <si>
    <t>Marina, Tomas Ignacio/U-3460-2018; Salinas, Vanesa/HLQ-5725-2023; Saravia, Leonardo/AAM-3461-2021; Momo, Fernando R/E-3426-2012</t>
  </si>
  <si>
    <t>Saravia, Leonardo/0000-0002-7911-4398; Momo, Fernando R/0000-0003-0710-1149; Cordone, Georgina Florencia/0000-0003-2883-7964; Salinas, Vanesa/0000-0002-2049-3450; Pasotti, Francesca/0000-0002-8971-8195</t>
  </si>
  <si>
    <t>Consejo Nacional de Investigaciones Cientificas y Tecnicas (CONICET, Argentina); Universidad Nacional de General Sarmiento (UNGS, Argentina); Alfred Wegener Institute Helmholtz Centre for Polar and Marine Research (AWI, Germany); CONICET-UNGS Argentina [PIO 144-20140100035-CO]; CONICET, Argentina</t>
  </si>
  <si>
    <t>Consejo Nacional de Investigaciones Cientificas y Tecnicas (CONICET, Argentina)(Consejo Nacional de Investigaciones Cientificas y Tecnicas (CONICET)); Universidad Nacional de General Sarmiento (UNGS, Argentina); Alfred Wegener Institute Helmholtz Centre for Polar and Marine Research (AWI, Germany); CONICET-UNGS Argentina; CONICET, Argentina(Consejo Nacional de Investigaciones Cientificas y Tecnicas (CONICET))</t>
  </si>
  <si>
    <t>This research was supported by Consejo Nacional de Investigaciones Cientificas y Tecnicas (CONICET, Argentina), Universidad Nacional de General Sarmiento (UNGS, Argentina) and Alfred Wegener Institute Helmholtz Centre for Polar and Marine Research (AWI, Germany). The work was partially funded by PIO 144-20140100035-CO CONICET-UNGS Argentina and conducted in the frame of GC Ph.D. studies, whose scholarship (CONICET, Argentina) supported the rest of the study. There was no additional external funding received for this study.</t>
  </si>
  <si>
    <t>2352-2496</t>
  </si>
  <si>
    <t>Food Webs</t>
  </si>
  <si>
    <t>e00166</t>
  </si>
  <si>
    <t>10.1016/j.fooweb.2020.e00166</t>
  </si>
  <si>
    <t>RW9TG</t>
  </si>
  <si>
    <t>WOS:000646861800007</t>
  </si>
  <si>
    <t>Moraga, CV</t>
  </si>
  <si>
    <t>Villagran Moraga, Carolina</t>
  </si>
  <si>
    <t>Biogeographical history of bryophytes in Chile</t>
  </si>
  <si>
    <t>GAYANA BOTANICA</t>
  </si>
  <si>
    <t>Arid Diagonal; glaciations; macro-fossils/mosses; relicts; Pangea/Gondwana</t>
  </si>
  <si>
    <t>MORPHO-MOLECULAR CLASSIFICATION; CHLOROPLAST DNA-SEQUENCES; PHYLOGENETIC-RELATIONSHIPS; LAND PLANTS; DIVERGENCE PATTERNS; GEOMOLECULAR DIVERGENCE; LLANQUIHUE GLACIATION; MAGELLANIC MOORLAND; LIVERWORT FLORA; EARLY EVOLUTION</t>
  </si>
  <si>
    <t>Some biogeographical features of bryophytes associated with subtropical-temperate ecosystems in Chile are examined, including diversity, concentration of species richness, endemism, biogeographical composition and disjunctions. The historical-biogeographical interpretation of these characteristics considers the major evolutionary changes of the group in three different temporal scenarios, according to geological, paleobotanical and molecular evidences. First, simple- and complex-thalloids liverworts represented in Chile are examined, belonging to the Classes Haplomitriopsida and Marchantiopsida-Marchantiidae, archaic lineages linked to the pre-Cenozoic colonization of the Pangea mega-continent. Examples of simple-thalloids liverworts of Class Jungermanniopsida-Pelliidae, hornworts of the Class Anthocerotopsida and mosses of the Classes Bryopsida and Polytrichopsida illustrate the paleo-austral distribution patterns of bryophytes from the temperate region of Chile, related to the Gondwana breakup and expansion of Angiosperms during the Cretaceous/Paleogene. A second scenario, considers the final uplift of the Andes and the development of the Arid Diagonal of South America during the Neogene, processes that have played a major role in the biogeographical structure of the Chilean and South American floras. In this context, leafy liverworts associated with the relict forests of the Chilean semi-arid coast stand out, particularly epiphyllous liverworts of the two most diverse families of the Class Jungermanniopsida-Jungermanniidae, Lejeuneaceae and Plagiochilaceae, adapted to microclimates favored by coastal fogs. The last scenario discusses the significant role of the Pleistocene glacial cycles in the expansion of the sub-Antarctic temperate-cold element throughout central-southern Chile, and its effects on the concentration of bryophyte richness associated with Chile's temperate-rain ecosystems.</t>
  </si>
  <si>
    <t>[Villagran Moraga, Carolina] Univ Chile, Fac Ciencias, Dept Biol, Santiago, Chile</t>
  </si>
  <si>
    <t>Moraga, CV (corresponding author), Univ Chile, Fac Ciencias, Dept Biol, Santiago, Chile.</t>
  </si>
  <si>
    <t>Carolinavillagran.moraga@gmail.com</t>
  </si>
  <si>
    <t>EDICIONES UNIV, CONCEPCION</t>
  </si>
  <si>
    <t>CONCEPCION</t>
  </si>
  <si>
    <t>COMITE DE PUBLICACION, CASILLA 2407, CONCEPCION, 00000, CHILE</t>
  </si>
  <si>
    <t>0016-5301</t>
  </si>
  <si>
    <t>0717-6643</t>
  </si>
  <si>
    <t>GAYANA BOT</t>
  </si>
  <si>
    <t>Gayana Bot.</t>
  </si>
  <si>
    <t>RA2XE</t>
  </si>
  <si>
    <t>WOS:000631282000001</t>
  </si>
  <si>
    <t>Zamshin, VV; Matrosova, ER; Morozov, EG; Spiridonov, VA; Frey, DI; Kharchenko, VD; Khodaeva, VN; Chvertkova, OI; Shlyupikov, VA</t>
  </si>
  <si>
    <t>Zamshin, V. V.; Matrosova, E. R.; Morozov, E. G.; Spiridonov, V. A.; Frey, D. I.; Kharchenko, V. D.; Khodaeva, V. N.; Chvertkova, O. I.; Shlyupikov, V. A.</t>
  </si>
  <si>
    <t>Providing Satellite Data to R/V Akademik Mstislav Keldysh during a Mission in the Southern Ocean</t>
  </si>
  <si>
    <t>IZVESTIYA ATMOSPHERIC AND OCEANIC PHYSICS</t>
  </si>
  <si>
    <t>remote sensing; multisatellite system; comprehensive monitoring; the Antarctic; krill; field survey; geoinformational systems</t>
  </si>
  <si>
    <t>ATLANTIC SECTOR; INTERNAL WAVES; OAHU ISLAND; MAMALA BAY; ECOSYSTEM; FIELD</t>
  </si>
  <si>
    <t>During cruise 79 of R/V Akademik Mstislav Keldysh in the Atlantic Antarctic, information is supplied using optical and radar high-, mid-, and low-resolution satellite data, in combination with geoinformation technologies. During field studies from December 2019 to February 2020, preliminarily processed information obtained by a multisatellite Earth remote sensing (ERS) system on sea surface temperature, sea ice concentration, icebergs, altimetry, and the concentration of near-surface layer matter (chlorophyll, particulate organic carbon, inorganic suspended particulate matter, and total suspended matter) is transmitted to the vessel. A description is given of the information infrastructure that provides the research vessel with routine satellite data that is automatically integrated into the user's geoinformation environment as unified spatiotemporal distributions of important water environment parameters. Aspects of using satellite information when planning a ship's route and making measurements are described.</t>
  </si>
  <si>
    <t>[Zamshin, V. V.; Matrosova, E. R.; Kharchenko, V. D.; Khodaeva, V. N.; Chvertkova, O. I.; Shlyupikov, V. A.] AEROCOSMOS Inst Sci Res Aerosp Monitoring, Moscow 105064, Russia; [Morozov, E. G.; Spiridonov, V. A.; Frey, D. I.] Russian Acad Sci, Shirshov Inst Oceanog, Moscow 117218, Russia</t>
  </si>
  <si>
    <t>AEROCOSMOS Research Institute for Aerospace Monitoring; Russian Academy of Sciences; Shirshov Institute of Oceanology</t>
  </si>
  <si>
    <t>Zamshin, VV (corresponding author), AEROCOSMOS Inst Sci Res Aerosp Monitoring, Moscow 105064, Russia.</t>
  </si>
  <si>
    <t>office@aerocosmos.info</t>
  </si>
  <si>
    <t>Morozov, Eugene G/L-3023-2018; Shliupikov, Vladislav/AAG-2431-2021; Chvertkova, Olga/AAG-1420-2021; Khodaeva, Vasilisa/AAG-1392-2021; Zamshin, Viktor/G-3224-2014; Kharchenko, Vitaly/AAG-1414-2021</t>
  </si>
  <si>
    <t>Shliupikov, Vladislav/0000-0002-8993-0671; Chvertkova, Olga/0000-0002-6097-9762; Khodaeva, Vasilisa/0000-0002-8913-5555; Zamshin, Viktor/0000-0003-4285-172X; Kharchenko, Vitaly/0000-0001-9063-7635</t>
  </si>
  <si>
    <t>Russian Foundation for Basic Research [19-57-60001]; AEROCOSMOS Research Institute [RFMEFI60719X0306, 0588-2019-0030]; Shirshov Institute of Oceanography [0128-2019-0008]</t>
  </si>
  <si>
    <t>Russian Foundation for Basic Research(Russian Foundation for Basic Research (RFBR)Spanish Government); AEROCOSMOS Research Institute; Shirshov Institute of Oceanography</t>
  </si>
  <si>
    <t>The work of the Shirshov Institute of Oceanography was performed as part of State Task no. 0128-2019-0008. It was supported by the Russian Foundation for Basic Research, project no. 19-57-60001. The work of the AEROCOSMOS Research Institute was performed as part of State Task no. 0588-2019-0030, project no. RFMEFI60719X0306.</t>
  </si>
  <si>
    <t>0001-4338</t>
  </si>
  <si>
    <t>1555-628X</t>
  </si>
  <si>
    <t>IZV ATMOS OCEAN PHY+</t>
  </si>
  <si>
    <t>Izv. Atmos. Ocean. Phys.</t>
  </si>
  <si>
    <t>10.1134/S0001433820120592</t>
  </si>
  <si>
    <t>QT9KM</t>
  </si>
  <si>
    <t>WOS:000626905700027</t>
  </si>
  <si>
    <t>Day, RD; Fitzgibbon, QP; McCauley, RD; Hartmann, K; Semmens, JM</t>
  </si>
  <si>
    <t>Day, Ryan D.; Fitzgibbon, Quinn P.; McCauley, Robert D.; Hartmann, Klaas; Semmens, Jayson M.</t>
  </si>
  <si>
    <t>Lobsters with pre-existing damage to their mechanosensory statocyst organs do not incur further damage from exposure to seismic air gun signals</t>
  </si>
  <si>
    <t>Spiny lobster; Statocyst; Aquatic noise; Seismic survey; Noise naive</t>
  </si>
  <si>
    <t>NOISE; LONG</t>
  </si>
  <si>
    <t>Staotcysts, the mechanosensory organs common to many marine invertebrates, have shown sensitivity to aquatic noise. Previously, rock lobsters (Jasus edwardsii) from a remote site with little exposure to anthropogenic noise incurred persistent damage to the statocyst and righting reflex following exposure to seismic air gun signals. Here, J. edwardsii collected from a site subject to high levels of anthropogenic noise were exposed to an equivalent seismic air gun signal regime as the previous study of noise-naive lobsters. Following exposure, both control and exposed treatments were found to have damage to the statocyst equivalent to that of noise-naive lobsters following seismic exposure, which led to the conclusion that the damage was pre-existing and not exacerbated by seismic exposure. The source of the damage in the lobsters in this study could not be ascertained, but the soundscape comparisons of the collection sites showed that the noisy site had a 5-10 dB greater level of noise, equivalent to a 3-10 times greater intensity, in the 10-700 Hz range than was found at the remote collection site. In addition to the lack of further damage following seismic exposure, no disruption to the righting reflex was observed. Indeed, compared to the noise naive lobsters, the lobsters here demonstrated an ability to cope with or adapt to the mechanosensory damage, indicating a need for better understanding of the ecological impacts of the damage caused by low frequency noise on marine organisms. More broadly, this study raises historical exposure to noise as a previously unrecognised but vitally important consideration for studies of aquatic noise. (c) 2020 Elsevier Ltd. All rights reserved.</t>
  </si>
  <si>
    <t>[Day, Ryan D.; Fitzgibbon, Quinn P.; Hartmann, Klaas; Semmens, Jayson M.] Univ Tasmania, Fisheries &amp; Aquaculture Ctr, Inst Marine &amp; Antarctic Studies, Private Bag 49, Hobart, Tas 7001, Australia; [McCauley, Robert D.] Curtin Univ, Ctr Marine Sci &amp; Technol, GPO Box U 1987, Perth, WA 6845, Australia</t>
  </si>
  <si>
    <t>University of Tasmania; Curtin University</t>
  </si>
  <si>
    <t>Day, RD (corresponding author), Univ Tasmania, Fisheries &amp; Aquaculture Ctr, Inst Marine &amp; Antarctic Studies, Private Bag 49, Hobart, Tas 7001, Australia.</t>
  </si>
  <si>
    <t>ryan.day@utas.edu.au</t>
  </si>
  <si>
    <t>Hartmann, Klaas/B-3991-2008; Day, Ryan D/J-7715-2014</t>
  </si>
  <si>
    <t>Semmens, Jayson/0000-0003-1742-6692; Fitzgibbon, Quinn/0000-0002-1104-3052; Day, Ryan/0000-0002-1834-6945</t>
  </si>
  <si>
    <t>Australian Government through the Fisheries Research and Development Corporation, Origin Energy; CarbonNet Project; Department of Economic Development, Jobs, Transport and Resources, Victoria</t>
  </si>
  <si>
    <t>The authors acknowledge the field work contributions of IMAS technical staff, particularly Michael Porteus and CMST technical staff, particularly Malcom Perry and Dave Minchin. We also thank Andrea Walters (IMAS) for her efforts as our marine mammal observer. We wish to express our gratitude to Karsten Goemann and Sandrin Feig from University of Tasmania's Central Services Laboratory (CSL) for their assistance and advice with SEM preparation. Funding for this project was provided by the Australian Government through the Fisheries Research and Development Corporation, Origin Energy, the CarbonNet Project, the Department of Economic Development, Jobs, Transport and Resources, Victoria. All research was conducted in accordance with University of Tasmania Animal Ethics Committee permit #A13328. Field work was conducted in accordance with Tasmania Department of Primary Industries, Parks, Water and Environment permits #13011 and 14038.</t>
  </si>
  <si>
    <t>10.1016/j.envpol.2020.115478</t>
  </si>
  <si>
    <t>RB1XQ</t>
  </si>
  <si>
    <t>WOS:000631909700035</t>
  </si>
  <si>
    <t>Wang, C; Wang, P; Zhao, JP; Fu, M; Zhang, L; Li, YM; Yang, RQ; Zhu, Y; Fu, JJ; Zhang, QH; Jiang, GB</t>
  </si>
  <si>
    <t>Wang, Chu; Wang, Pu; Zhao, Junpeng; Fu, Min; Zhang, Lin; Li, Yingming; Yang, Ruiqiang; Zhu, Ying; Fu, Jianjie; Zhang, Qinghua; Jiang, Guibin</t>
  </si>
  <si>
    <t>Atmospheric organophosphate esters in the Western Antarctic Peninsula over 2014-2018: Occurrence, temporal trend and source implication</t>
  </si>
  <si>
    <t>OPFRs; High-volume air sampling; Western antarctic; Long-range transport</t>
  </si>
  <si>
    <t>Organophosphate esters (OPEs) were comprehensively investigated in the air samples collected using high-volume samplers near the Chinese Great Wall Station in the Western Antarctic Peninsula over the period of 2014-2018. The concentrations of Sigma 8OPEs (gaseous thorn particle phases) ranged from 33.9 to 404 pg/m(3) with a geometric mean of 119 +/- 12.0 pg/m(3). Tris [(2R)-1-chloro-2-propyl] phosphate (TCIPP) and tris(2-chloroethyl) phosphate (TCEP) dominated in the gaseous phase, while tris-n-butyl phosphate (TnBP) was the most abundant OPEs in the particle phase, followed by TCIPP and TCEP. An apparently temporal trend was observed for atmospheric Sigma 8OPEs over the five years, with a doubling time of about 3.8 years, which indicated continuous inputs of OPEs into the sampling area. The particle-bound Sigma 8OPEs accounted for 45% of the total, generally lower than that reported in the Arctic. Gas-particle partitioning modeling suggested that the partitioning of OPEs with higher logK(OA) values approached the steady state in the Antarctic air. The back-trajectory modeling showed that high levels of OPEs were usually associated with air inputs from the northwest of the peninsula. This suggested that long-range transport from South America, which was confirmed by the no temperature dependencies of OPEs concentrations (excluding TnBP). Nevertheless, a steady high level of particle-bound TnBP implied local sources in the Western Antarctic Peninsula, which required further investigation in future works. (C) 2020 Elsevier Ltd. All rights reserved.</t>
  </si>
  <si>
    <t>[Wang, Chu; Wang, Pu; Zhao, Junpeng; Li, Yingming; Yang, Ruiqiang; Zhu, Ying; Fu, Jianjie; Zhang, Qinghua; Jiang, Guibin] Chinese Acad Sci, Res Ctr Ecoenvironm Sci, State Key Lab Environm Chem &amp; Ecotoxicol, Beijing 100085, Peoples R China; [Wang, Chu; Zhao, Junpeng; Zhang, Qinghua; Jiang, Guibin] Univ Chinese Acad Sci, Beijing 100049, Peoples R China; [Wang, Pu] Jianghan Univ, Inst Environm &amp; Hlth, Hubei Key Lab Environm &amp; Hlth Effects Persistent, Wuhan 430056, Peoples R China; [Fu, Min; Zhang, Lin] Natl Marine Environm Forecasting Ctr, Key Lab Res Marine Hazards Forecasting, Beijing 100081, Peoples R China; [Zhang, Qinghua] UCAS, Hangzhou Inst Adv Study, Inst Environm &amp; Hlth, Hangzhou 310000, Peoples R China</t>
  </si>
  <si>
    <t>Chinese Academy of Sciences; Research Center for Eco-Environmental Sciences (RCEES); Chinese Academy of Sciences; University of Chinese Academy of Sciences, CAS; Jianghan University; National Marine Environmental Forecasting Center</t>
  </si>
  <si>
    <t>Zhang, QH (corresponding author), Chinese Acad Sci, Res Ctr Ecoenvironm Sci, State Key Lab Environm Chem &amp; Ecotoxicol, Beijing 100085, Peoples R China.</t>
  </si>
  <si>
    <t>qhzhang@rcess.ac.cn</t>
  </si>
  <si>
    <t>Wang, Pu/HGE-1628-2022; Zhang, Qinghua/L-7652-2019</t>
  </si>
  <si>
    <t>Zhang, Qinghua/0000-0001-9086-7000</t>
  </si>
  <si>
    <t>National Key Research and Development Program of China [2017YFC1600301]; National Natural Science Foundation of China [41676183, 41977327, 91743206, 21777184, 21777186]; Eco-Environmental Excellent Innovation projects of Research Center for Eco-Environmental Sciences [RCEES-EEI-2019-01]; Chinese Arctic and Antarctic Administration; Polar Research Institute of China</t>
  </si>
  <si>
    <t>National Key Research and Development Program of China; National Natural Science Foundation of China(National Natural Science Foundation of China (NSFC)); Eco-Environmental Excellent Innovation projects of Research Center for Eco-Environmental Sciences; Chinese Arctic and Antarctic Administration; Polar Research Institute of China</t>
  </si>
  <si>
    <t>This study was supported by National Key Research and Development Program of China (2017YFC1600301), National Natural Science Foundation of China (41676183, 41977327, 91743206, 21777184 and 21777186), and Eco-Environmental Excellent Innovation projects of Research Center for Eco-Environmental Sciences (RCEES-EEI-2019-01). We appreciate the support of Chinese Arctic and Antarctic Administration and Polar Research Institute of China for the arrangement during Chinese Antarctic Expedition. Special thanks to Guangshui Na from National Marine Environmental Monitoring Center for sampling assistance.</t>
  </si>
  <si>
    <t>10.1016/j.envpol.2020.115428</t>
  </si>
  <si>
    <t>WOS:000631909700015</t>
  </si>
  <si>
    <t>Doolin, C</t>
  </si>
  <si>
    <t>Doolin, Ciaran</t>
  </si>
  <si>
    <t>Norway Comes to New Zealand Edward Kidson, Jorgen Holmboe, and the Modernization of Australasian Meteorology</t>
  </si>
  <si>
    <t>BERGEN-SCHOOL</t>
  </si>
  <si>
    <t>Edward Kidson, Director of the Meteorological Service of New Zealand from 1927 until his death in 1939, was an instrumental figure in modernizing Australasian meteorology. Throughout the 1920s, Kidson promoted the methods of synoptic analysis emanating from the Bergen School of Meteorology. However, it was not until the 1930s that he began in earnest to apply these methods to weather charts for the Australasian region. This development was aided by two visits he made to Bergen and by a personal correspondence he maintained with Jacob Bjerknes during the 1930s. In 1932, Kidson presented the first Norwegian-style analysis conducted for a Southern Hemisphere region, promptly following this with a more extensive study. However, these analyses were not of a sufficient standard at that stage to be adopted in forecasting practice. It was the fortuitous visit to New Zealand of Norwegian meteorologist Jorgen Holmboe, in 1934, that finally facilitated the transition. Holmboe was attached to the Lincoln Ellsworth Antarctic Expedition, but damage to their aircraft caused them to spend the winter of 1934 in New Zealand. Holmboe was engaged at the Meteorological Service in Wellington during this period, working with Kidson to apply Norwegian methods to the region. Kidson had hoped to further embed this practice by employing Tor Bergeron in New Zealand during 1938. Bergeron had accepted an offer from Kidson but canceled at the last minute after contracting rheumatic fever. Nevertheless, shortly after Holmboe's visit, daily analyses were being conducted along Norwegian lines, bringing Australasian meteorology into the twentieth century.</t>
  </si>
  <si>
    <t>[Doolin, Ciaran] Meteorol Serv New Zealand Ltd, Wellington, New Zealand; [Doolin, Ciaran] Victoria Univ Wellington, Sch Geog Environm &amp; Earth Sci, Wellington, New Zealand</t>
  </si>
  <si>
    <t>Victoria University Wellington</t>
  </si>
  <si>
    <t>Doolin, C (corresponding author), Meteorol Serv New Zealand Ltd, Wellington, New Zealand.;Doolin, C (corresponding author), Victoria Univ Wellington, Sch Geog Environm &amp; Earth Sci, Wellington, New Zealand.</t>
  </si>
  <si>
    <t>ciaran.doolin@metservice.com</t>
  </si>
  <si>
    <t>Meteorological Service of New Zealand Limited</t>
  </si>
  <si>
    <t>I am especially grateful to Linda Stopforth, librarian at the Meteorological Service of New Zealand, who encouraged me to pursue this project in the first place, and was very helpful in sourcing material for me-if she couldn't find it herself, she reliably pointed me in the right direction. I would also like to thank Sonja Barfoed and Dr. Lily Gao, librarians at the Commonwealth Scientific and Industrial Research Organisation and Bureau of Meteorology in Australia, respectively, as well as the staff of the J. C. Beaglehole Room at Victoria University of Wellington, Archives New Zealand, National Library of New Zealand, and the Alexander Turnbull Library. Finally, I am much obliged to Chris Webster, Mark Schwarz, Tui McInnes, and the two anonymous reviewers for their valuable comments on the manuscript. This research was supported by the Meteorological Service of New Zealand Limited.</t>
  </si>
  <si>
    <t>E2095</t>
  </si>
  <si>
    <t>E2112</t>
  </si>
  <si>
    <t>10.1175/BAMS-D-20-0058.1</t>
  </si>
  <si>
    <t>QU9FK</t>
  </si>
  <si>
    <t>WOS:000627585400005</t>
  </si>
  <si>
    <t>Roman, L; Hardesty, BD; Hindell, MA; Wilcox, C</t>
  </si>
  <si>
    <t>Roman, Lauren; Hardesty, Britta Denise; Hindell, Mark A.; Wilcox, Chris</t>
  </si>
  <si>
    <t>Disentangling the influence of taxa, behaviour and debris ingestion on seabird mortality</t>
  </si>
  <si>
    <t>albatross; cause of death; diet; plastic ingestion; shearwater; threat; Procellariiform</t>
  </si>
  <si>
    <t>PLASTIC INGESTION; SHEARWATERS; POLLUTION; JUVENILE</t>
  </si>
  <si>
    <t>Marine debris is a growing threat to hundreds of marine animal species. To understand the consequences of marine debris to wildlife populations, studies must go beyond reporting the incidence of wildlife and debris interactions and aim to quantify the harm resulting from these interactions. Tubenosed seabirds are globally threatened, with a near universal risk of debris ingestion and an unquantified risk of mortality due to eating plastics. In this paper, we explore the mortality risk narrative due to the acute effects of debris ingestion, and quantify behavioural and ecological factors including age, diet and foraging method. We examined ingested debris loads, types and mortality of 972 adult and immature seabirds across 17 albatross, shearwater and prion species in a global seabird biodiversity hotspot. Though age and foraging method interact to influence the incidence and number of items ingested, age and diet were the most important factors influencing mortality. Mortality is influenced by debris load and type of debris ingested and there is selectivity for items that visually resemble a seabird's prey. Immature birds that forage on cephalopods are more likely to ingest and die from eating debris than are adults. Conversely, the risk of death to seabirds that forage on crustaceans is linked to the number of plastic items ingested and is higher in adults. Debris ingestion is an under-recognised cause of tubenose mortality and is likely negatively affecting rare and threatened species.</t>
  </si>
  <si>
    <t>[Roman, Lauren; Hardesty, Britta Denise; Wilcox, Chris] CSIRO Oceans &amp; Atmosphere, Hobart, Tas, Australia; [Roman, Lauren; Hindell, Mark A.] Univ Tasmania, Inst Marine &amp; Antarctic Studies, Hobart, Tas, Australia; [Hindell, Mark A.] Univ Tasmania, Antarctic Climate &amp; Ecosyst CRC, Hobart, Tas, Australia</t>
  </si>
  <si>
    <t>Roman, L (corresponding author), CSIRO Oceans &amp; Atmosphere, Hobart, Tas, Australia.;Roman, L (corresponding author), Univ Tasmania, Inst Marine &amp; Antarctic Studies, Hobart, Tas, Australia.</t>
  </si>
  <si>
    <t>lauren.roman@utas.edu.au</t>
  </si>
  <si>
    <t>Hindell, Mark A/K-1131-2013; Hardesty, Britta Denise/A-3189-2011; Roman, Lauren/K-3804-2015</t>
  </si>
  <si>
    <t>Roman, Lauren/0000-0003-3591-4905; Hindell, Mark/0000-0002-7823-7185</t>
  </si>
  <si>
    <t>BirdLife Australia's Australian Bird Environment Foundation; Australian Wildlife Society; Ecological Society of Australia's Holsworth Wildlife Research Endowment</t>
  </si>
  <si>
    <t>The authors would like to acknowledge the following Australian and New Zealand organizations who have supported this seabird sampling for this project, provided facilities and storage, and assisted with the collection of, veterinary examination of and care of seabirds used in this study: Auckland War Memorial Museum, Australia Zoo Wildlife Hospital, Australian Museum, Australian Seabird Rescue Inc, BirdLife Australia, BirdLife Tasmania, Bonorong Wildlife Sanctuary, Currumbin Sanctuary Wildlife Hospital, Department of Conservation (New Zealand), Department of Environment and Science (QLD Australia), Department of Primary Industries, Parks, Water and Environment (TAS Australia), Department of Parks and Wildlife (WA Australia), Friends of Shorebirds SA, Holistic Vets Tauranga, Melbourne Museum, Moreton Bay Research Station, Ornithological Society of New Zealand, Pelican and Seabird Rescue, Queensland Museum, RSPCA QLD Wildlife Hospital, South Australian Museum, Tasmanian Museum and Art Gallery, Te Papa Museum, University of Queensland, University of Western Australia and Wildlife Management International. The authors would also like to thank the following people who have assisted in seabird collection, necropsy, veterinary care and examination: B. Bauer, L. Behrendorff, B. Bell, B. Bird, T. Bishop, S. Borelli, B. Burford, K. Carlyon, M. Clarkson, P. Collins, B. Cumming, L. Esler, R. Ferris, L. Feasey, K. Fleischfresser, H. Forrest, N. Forrest, A. Gennings, A. Gillet, I. Godbert, P. Harris, G. Heathcote, M. Hines, P. Horton, G. Irons, H. Janetzki, C. Lacasse, J. Lesel, K. Matthews, C. Mischela, H. Patterson, L. Pulo, M. Pyne, M. Rayner, P. Rhodes, H. Rogers, S. Shaw, J. Sladek, L. Short, I. Southey, K. Southwell, D. Stewart, L. Schneider, P. Swift, P. Taylor, A. Tennyson, K. Townsend, L. Tsang and E. Woehler. Funding for the seabird sampling was provided by the BirdLife Australia's Australian Bird Environment Foundation, the Australian Wildlife Society, and the Ecological Society of Australia's Holsworth Wildlife Research Endowment.</t>
  </si>
  <si>
    <t>10.1088/1748-9326/abcc8e</t>
  </si>
  <si>
    <t>QS4HB</t>
  </si>
  <si>
    <t>WOS:000625859900001</t>
  </si>
  <si>
    <t>Demidov, NE; Borisik, AL; Verkulich, SR; Wetterich, S; Gunar, AY; Demidov, VE; Zheltenkova, NV; Koshurnikov, AV; Mikhailova, VM; Nikulina, AL; Novikov, AL; Savatyugin, LM; Sirotkin, AN; Terekhov, AV; Ugrumov, YV; Schirrmeister, L</t>
  </si>
  <si>
    <t>Demidov, N. E.; Borisik, A. L.; Verkulich, S. R.; Wetterich, S.; Gunar, A. Yu; Demidov, V. E.; Zheltenkova, N., V; Koshurnikov, A., V; Mikhailova, V. M.; Nikulina, A. L.; Novikov, A. L.; Savatyugin, L. M.; Sirotkin, A. N.; Terekhov, A., V; Ugrumov, Yu, V; Schirrmeister, L.</t>
  </si>
  <si>
    <t>Geocryological and Hydrogeological Conditions of the Western Part of Nordenskiold Land (Spitsbergen Archipelago)</t>
  </si>
  <si>
    <t>Spitsbergen; permafrost; temperature monitoring borehole; EM sounding; GPR; cryogenic structure; pingo; subpermafrost water; warm-based glaciers; West Spitsbergen cryoadartesian basin</t>
  </si>
  <si>
    <t>This work summarizes the archived data of geocryological and hydrogeological conditions in the west of Nordenskiold Land on the Spitsbergen Archipelago. The historical data obtained in the Soviet period during coal exploration are reviewed together with the results of our own studies performed as part of the Russian Scientific Arctic Expedition on Spitsbergen (RAE-S) in 2016-2020. With respect to geocryology, the region is assigned to the zone of continuous permafrost. The thickness of rocks and sediments with temperatures below zero is about 100 m near the coast and increases to 540 m on watersheds. The mean annual ground temperature near the zero-amplitude depth varies from -3.6 to -2.2 degrees C. Below this layer, the temperature curve in the top part of the section tends to deviate toward positive temperatures, reflecting the modern cycle of climate warming. From the hydrogeological point of view, the area belongs to the marginal zone of the West Spitsbergen cryoadartesian basin. Seawater intrusions near the coast form saline subpermafrost aquifers, including those with temperatures below zero, reflecting the seawater (sodium chloride) composition and hydraulic heads close to sea level. Fresh and slightly saline (sodium bicarbonate on the east coast of Gronfjorden and magnesium-calcium sulfate in gypsum-bearing deposits on the west coast) subpermafrost water with hydraulic heads reaching 100 m above sea level is fed by water-saturated ice in the deep layers of large glaciers.</t>
  </si>
  <si>
    <t>[Demidov, N. E.; Borisik, A. L.; Verkulich, S. R.; Demidov, V. E.; Mikhailova, V. M.; Nikulina, A. L.; Novikov, A. L.; Savatyugin, L. M.; Terekhov, A., V; Ugrumov, Yu, V] State Res Ctr Arctic &amp; Antarctic Res Inst, St Petersburg 199397, Russia; [Wetterich, S.; Schirrmeister, L.] Alfred Wegener Inst, Helmholtz Ctr Polar &amp; Marine Res, D-14473 Potsdam, Germany; [Gunar, A. Yu; Zheltenkova, N., V; Koshurnikov, A., V] Moscow MV Lomonosov State Univ, Fac Geol, Moscow 19991, Russia; [Sirotkin, A. N.] Polar Marine Geol Explorat Expedit, Lomonosov 198412, Russia</t>
  </si>
  <si>
    <t>Helmholtz Association; Alfred Wegener Institute, Helmholtz Centre for Polar &amp; Marine Research; Lomonosov Moscow State University</t>
  </si>
  <si>
    <t>Demidov, NE (corresponding author), State Res Ctr Arctic &amp; Antarctic Res Inst, St Petersburg 199397, Russia.</t>
  </si>
  <si>
    <t>nikdemidov@mail.ru</t>
  </si>
  <si>
    <t>Schirrmeister, Lutz/O-5584-2015; Gunar, Alexey/AAO-1039-2020; Koshurnikov, Andrey/AAT-7724-2020; Terekhov, Anton/S-1329-2016; Borisik, Aleksandr/AAU-5126-2021; Wetterich, Sebastian/AAD-6569-2019; Schirrmeister, Lutz/AGW-0545-2022</t>
  </si>
  <si>
    <t>Schirrmeister, Lutz/0000-0001-9455-0596; Borisik, Aleksandr/0000-0003-4273-1111; Wetterich, Sebastian/0000-0001-9234-1192; Schirrmeister, Lutz/0000-0001-9455-0596; Koshurnikov, Andrey/0000-0001-6160-7795; Gunar, Aleksei/0000-0003-2878-0849</t>
  </si>
  <si>
    <t>Russian Scientific Foundation [19-77-10066]; German Research Society (DFG) [WE4390/7-1]; Russian Science Foundation [19-77-10066] Funding Source: Russian Science Foundation</t>
  </si>
  <si>
    <t>Russian Scientific Foundation(Russian Science Foundation (RSF)); German Research Society (DFG)(German Research Foundation (DFG)); Russian Science Foundation(Russian Science Foundation (RSF))</t>
  </si>
  <si>
    <t>This work was supported by the Russian Scientific Foundation, project no. 19-77-10066. N.E. Demidov's trip to the Alfred Wegener Institute (Potsdam, Germany) was supported by a project of the Geo-X Network. The partici-pation of S. Wetterich was supported by the German Research Society (DFG), project no. WE4390/7-1.</t>
  </si>
  <si>
    <t>10.1134/S000143382011002X</t>
  </si>
  <si>
    <t>QQ5EF</t>
  </si>
  <si>
    <t>WOS:000624545300006</t>
  </si>
  <si>
    <t>Nyamgerel, Y; Han, Y; Kim, S; Hong, SB; Lee, J; Hur, SD</t>
  </si>
  <si>
    <t>Nyamgerel, Yalalt; Han, Yeongcheol; Kim, Songyi; Hong, Sang-Bum; Lee, Jeonghoon; Hur, Soon Do</t>
  </si>
  <si>
    <t>Chronological characteristics for snow accumulation on Styx Glacier in northern Victoria Land, Antarctica</t>
  </si>
  <si>
    <t>JOURNAL OF GLACIOLOGY</t>
  </si>
  <si>
    <t>Annual layer counting; ionic species; snow accumulation; stable water isotopes; Styx Glacier</t>
  </si>
  <si>
    <t>SEA-ICE VARIABILITY; DRONNING MAUD LAND; FIRN-CORE; ROSS SEA; CLIMATE VARIABILITY; HIGH-RESOLUTION; CHEMICAL-COMPOSITION; ISOTOPIC COMPOSITION; SURFACE-TEMPERATURE; SEASONAL-VARIATIONS</t>
  </si>
  <si>
    <t>Under the potential to reconstruct the past climatic and atmospheric conditions from a deep ice core in the coastal Antarctic site (Styx Glacier), an 8.84 m long firn core (73 degrees 50.975 ' S, 163 degrees 41.640 ' E; 1623 m a.s.l.) was initially studied to propose a reliable age scale for the local estimation of snow accumulation rate. The seasonal variations of delta O-18, methanesulfonic acid (MSA) and non-sea-salt sulfate (nssSO(4)(2-)) were used for the firn core dating and revealed 25 annual peaks (from 1990 to 2014) with volcanic sulfate signal. The observed declining trend in annual accumulation rate with a mean value of 146 +/- 60 kg m(-2) a(-1) is likely to be linked to the changes of sea-ice extent in the Ross Sea region. Moreover, the temporal variation of the annual mean delta O-18, an annual flux of MSA and nssSO(4)(2-) also likely to be under the influence of ice-covered and open water area. This study suggests a potential to recover past changes in an oceanic environment and will be useful for the interpretation of the long ice core drilled at the same site.</t>
  </si>
  <si>
    <t>[Nyamgerel, Yalalt; Kim, Songyi; Lee, Jeonghoon] Ewha Womans Univ, Dept Sci Educ, Seoul 120750, South Korea; [Nyamgerel, Yalalt; Han, Yeongcheol; Kim, Songyi; Hong, Sang-Bum; Hur, Soon Do] Korea Polar Res Inst, Div Paleoenvironm, Incheon 21990, South Korea</t>
  </si>
  <si>
    <t>Ewha Womans University; Korea Polar Research Institute (KOPRI)</t>
  </si>
  <si>
    <t>Lee, J (corresponding author), Ewha Womans Univ, Dept Sci Educ, Seoul 120750, South Korea.</t>
  </si>
  <si>
    <t>jeonghoon.d.lee@gmail.com</t>
  </si>
  <si>
    <t>Lee, Jeonghoon/AAQ-4780-2021</t>
  </si>
  <si>
    <t>Lee, Jeonghoon/0000-0002-1256-4431; Nyamgerel, Yalalt/0000-0002-5755-160X</t>
  </si>
  <si>
    <t>Basic Science Research Program through the National Research Foundation of Korea (NRF) - Ministry of Education [2017R1D1A1A09000732]; KOPRI research grant [PE20190]</t>
  </si>
  <si>
    <t>Basic Science Research Program through the National Research Foundation of Korea (NRF) - Ministry of Education(National Research Foundation of KoreaMinistry of Education (MOE), Republic of KoreaNational Research Council for Economics, Humanities &amp; Social Sciences, Republic of Korea); KOPRI research grant(Korea Polar Research Institute of Marine Research Placement (KOPRI))</t>
  </si>
  <si>
    <t>This study was supported by the Basic Science Research Program through the National Research Foundation of Korea (NRF) funded by the Ministry of Education (2017R1D1A1A09000732) and KOPRI research grant (PE20190). We thank Dr. Elizabeth Morris for sharing the results of firn densification models and comments on the manuscript. We are also grateful to the Italian PNRA (Programma Nazionale di Ricerche in Antartide) project for providing meteorological data from Lola AWS (http://www.climantartide.it) and the ERA-Interim dataset from the ECMWF. We appreciate the scientific editor and two anonymous reviewers, whose comments led to significant improvements.</t>
  </si>
  <si>
    <t>0022-1430</t>
  </si>
  <si>
    <t>1727-5652</t>
  </si>
  <si>
    <t>J GLACIOL</t>
  </si>
  <si>
    <t>J. Glaciol.</t>
  </si>
  <si>
    <t>PII S0022143020000532</t>
  </si>
  <si>
    <t>10.1017/jog.2020.53</t>
  </si>
  <si>
    <t>OV4WT</t>
  </si>
  <si>
    <t>WOS:000592212900003</t>
  </si>
  <si>
    <t>Guo, JX; Yang, WX; Dou, YK; Tang, XY; Greenbaum, JS; Dou, RF; Pan, Y; Zhang, YZ; Ding, MH; Jiang, S; Shi, GT; Cui, XB; Sun, B</t>
  </si>
  <si>
    <t>Guo, Jingxue; Yang, Wangxiao; Dou, Yinke; Tang, Xueyuan; Greenbaum, Jamin S.; Dou, Ruofan; Pan, Yao; Zhang, Yuzhong; Ding, Minghu; Jiang, Su; Shi, Guitao; Cui, Xiangbin; Sun, Bo</t>
  </si>
  <si>
    <t>Historical surface mass balance from a frequency-modulated continuous-wave (FMCW) radar survey from Zhongshan station to Dome A</t>
  </si>
  <si>
    <t>Antarctic glaciology; climate change; ice core; ice-sheet mass balance; radio-echo sounding</t>
  </si>
  <si>
    <t>SNOW-ACCUMULATION VARIABILITY; EAST ANTARCTICA; EXPLOSIVE VOLCANISM; ICE CORE; TEMPORAL VARIABILITY; SPATIAL VARIABILITY; INTERNAL LAYERS; TRAVERSE ROUTE; KM TRANSECT; STRATIGRAPHY</t>
  </si>
  <si>
    <t>Using frequency-modulated continuous wave radar data from the 32nd Chinese Antarctic Research Expedition in 2015/16, subsurface profiles were obtained along an East Antarctic inland traverse from Zhongshan station to Dome A, and four distinct regions were selected to analyze the spatiotemporal variability in historical surface mass balance (SMB). Based on depth, density, and age data from ice cores along the traverse, the radar data were calibrated to yield average SMB data. The zone 49-195 km from the coast has the highest SMB (235 kg m(-2) a(-1)). The 780-892 km zone was most affected by the Medieval Warm Period and the Little Ice Age, and the SMB during ad 1454-1836 (71 kg m(-2) a(-1)) was only one-quarter of that in the 20th century. The SMB in the 1080-1157 km zone fluctuates the most, possibly due to erosion or irregular deposition of snow by katabatic winds in low SMB areas with surface elevation fluctuations. Dome A (1157-1236 km) has the lowest SMB (29 kg m(-2) a(-1)) and did not decrease during Little Ice Age. Understanding the spatiotemporal variability of SMB in a larger space can help us understand the complex climate history of Antarctica.</t>
  </si>
  <si>
    <t>[Guo, Jingxue; Tang, Xueyuan; Jiang, Su; Cui, Xiangbin; Sun, Bo] Polar Res Inst China, Shanghai 200136, Peoples R China; [Yang, Wangxiao; Dou, Yinke; Dou, Ruofan; Pan, Yao; Zhang, Yuzhong] Taiyuan Univ Technol, Coll Elect &amp; Power Engn, Taiyuan 030024, Peoples R China; [Greenbaum, Jamin S.] Univ Texas Austin, Inst Geophys, Austin, TX 78758 USA; [Ding, Minghu] Chinese Acad Meteorol Sci, State Key Lab Severe Weather, Beijing 100081, Peoples R China; [Shi, Guitao] East China Normal Univ, Key Lab Geog Informat Sci, Minist Educ, Sch Geog Sci, Shanghai 200241, Peoples R China; [Shi, Guitao] East China Normal Univ, State Key Lab Estuarine &amp; Coastal Res, Shanghai 200241, Peoples R China</t>
  </si>
  <si>
    <t>Polar Research Institute of China; Taiyuan University of Technology; University of Texas System; University of Texas Austin; China Meteorological Administration; Chinese Academy of Meteorological Sciences (CAMS); East China Normal University; East China Normal University</t>
  </si>
  <si>
    <t>Yang, WX (corresponding author), Taiyuan Univ Technol, Coll Elect &amp; Power Engn, Taiyuan 030024, Peoples R China.</t>
  </si>
  <si>
    <t>yangwangxiao0038@link.tyut.edu.cn</t>
  </si>
  <si>
    <t>sun, bo/JFA-9978-2023; Ding, Minghu/AFU-3600-2022</t>
  </si>
  <si>
    <t>Ding, Minghu/0000-0002-1142-6598; Greenbaum, Jamin Stevens/0000-0002-0745-7113</t>
  </si>
  <si>
    <t>National Key R&amp;D Program of China [2018YFB1307504]; National Natural Science Foundation of China [41876227, 41776199, 41876230, 41776186]; National Major Research Program [2013CBA01804]</t>
  </si>
  <si>
    <t>National Key R&amp;D Program of China; National Natural Science Foundation of China(National Natural Science Foundation of China (NSFC)); National Major Research Program</t>
  </si>
  <si>
    <t>This work was funded by the National Key R&amp;D Program of China (2018YFB1307504), the National Natural Science Foundation of China (41876227, 41776199, 41876230, 41776186), and the National Major Research Program (2013CBA01804). Field work was supported by the 32nd CHINARE, especially the inland expedition team. We also thank Mr Daqing Yang and Marie Cavitte anonymous reviewers for many helpful edits and comments. We thank Ms Shinan Lang for providing us with the radar principle and data processing help.</t>
  </si>
  <si>
    <t>10.1017/jog.2020.58</t>
  </si>
  <si>
    <t>WOS:000592212900007</t>
  </si>
  <si>
    <t>Scarchilli, C; Ciardini, V; Grigioni, P; Iaccarino, A; De Silvestri, L; Proposito, M; Dolci, S; Camporeale, G; Schioppo, R; Antonelli, A; Baldini, L; Roberto, N; Argentini, S; Bracci, A; Frezzotti, M</t>
  </si>
  <si>
    <t>Scarchilli, Claudio; Ciardini, Virginia; Grigioni, Paolo; Iaccarino, Antonio; De Silvestri, Lorenzo; Proposito, Marco; Dolci, Stefano; Camporeale, Giuseppe; Schioppo, Riccardo; Antonelli, Adriano; Baldini, Luca; Roberto, Nicoletta; Argentini, Stefania; Bracci, Alessandro; Frezzotti, Massimo</t>
  </si>
  <si>
    <t>Characterization of snowfall estimated by in situ and ground-based remote-sensing observations at Terra Nova Bay, Victoria Land, Antarctica</t>
  </si>
  <si>
    <t>Accumulation; ice in the atmosphere; remote sensing; surface mass budget; wind-blown snow</t>
  </si>
  <si>
    <t>SURFACE MASS-BALANCE; MIXED-PHASE CLOUD; VERTICAL STRUCTURE; REGIONAL CLIMATE; ADELIE LAND; FALL SPEEDS; PRECIPITATION; WIND; RAIN; SCATTERING</t>
  </si>
  <si>
    <t>Knowledge of the precipitation contribution to the Antarctic surface mass balance is essential for defining the ice-sheet contribution to sea-level rise. Observations of precipitation are sparse over Antarctica, due to harsh environmental conditions. Precipitation during the summer months (November-December-January) on four expeditions, 2015-16, 2016-17, 2017-18 and 2018-19, in the Terra Nova Bay area, were monitored using a vertically pointing radar, disdrometer, snow gauge, radiosounding and an automatic weather station installed at the Italian Mario Zucchelli Station. The relationship between radar reflectivity and precipitation rate at the site can be estimated using these instruments jointly. The error in calculated precipitation is up to 40%, mostly dependent on reflectivity variability and disdrometer inability to define the real particle fall velocity. Mean derived summer precipitation is similar to 55 mm water equivalent but with a large variability. During collocated measurements in 2018-19, corrected snow gauge amounts agree with those derived from the relationship, within the estimated errors. European Centre for the Medium-Range Weather Forecasts (ECMWF) and the Antarctic Mesoscale Prediction System (AMPS) analysis and operational outputs are able to forecast the precipitation timing but do not adequately reproduce quantities during the most intense events, with overestimation for ECMWF and underestimation for AMPS.</t>
  </si>
  <si>
    <t>[Scarchilli, Claudio; Ciardini, Virginia; Grigioni, Paolo; Iaccarino, Antonio; De Silvestri, Lorenzo; Proposito, Marco] ENEA, Lab Observat &amp; Measurements Environm &amp; Climate, SSPT, PROTER,OEM, Rome, Italy; [Dolci, Stefano] ENEA, Antarctic Tech Unit, Logist Serv, UTA,LOG, Rome, Italy; [Camporeale, Giuseppe] CNR, Inst Electromagnet Sensing Enviroment IREA, Naples, Italy; [Schioppo, Riccardo] ENEA, Lab Mfg Technol Photovolta Cells, DTE, FSD,TEF, Rome, Italy; [Antonelli, Adriano] European Commiss DG Joint Res Ctr Directorate Ene, Transport &amp; Climate Energy Storage Unit, Petten, Netherlands; [Antonelli, Adriano] ENEA, Lab Smart Cities &amp; Communities, DTE,SEN,SCC, Ispra, Italy; [Baldini, Luca; Roberto, Nicoletta; Argentini, Stefania; Bracci, Alessandro] CNR, Inst Atmospher Sci &amp; Climate ISAC, Rome, Italy; [Bracci, Alessandro] Univ Bologna, Dept Phys &amp; Astron, Bologna, Italy; [Frezzotti, Massimo] Univ Roma Tre, Dept Sci, Rome, Italy</t>
  </si>
  <si>
    <t>Italian National Agency New Technical Energy &amp; Sustainable Economics Development; Italian National Agency New Technical Energy &amp; Sustainable Economics Development; Consiglio Nazionale delle Ricerche (CNR); Italian National Agency New Technical Energy &amp; Sustainable Economics Development; Italian National Agency New Technical Energy &amp; Sustainable Economics Development; Consiglio Nazionale delle Ricerche (CNR); Istituto di Scienze dell'Atmosfera e del Clima (ISAC-CNR); University of Bologna; Italfarmaco; Roma Tre University</t>
  </si>
  <si>
    <t>Scarchilli, C (corresponding author), ENEA, Lab Observat &amp; Measurements Environm &amp; Climate, SSPT, PROTER,OEM, Rome, Italy.</t>
  </si>
  <si>
    <t>claudio.scarchilli@enea.it</t>
  </si>
  <si>
    <t>Baldini, Luca/C-7166-2015; FREZZOTTI, Massimo/AAK-7275-2020; Bracci, Alessandro/HGU-6017-2022; Bracci, Alessandro/AGZ-4030-2022</t>
  </si>
  <si>
    <t>Baldini, Luca/0000-0001-5217-1205; FREZZOTTI, Massimo/0000-0002-2461-2883; Bracci, Alessandro/0000-0001-7047-6213; Proposito, Marco/0000-0002-5977-3003; Scarchilli, Claudio/0000-0002-2414-2439; Iaccarino, Antonio/0000-0002-5010-4807</t>
  </si>
  <si>
    <t>Italian National Antarctic Program (PNRA)</t>
  </si>
  <si>
    <t>This work is carried out in the framework of the MALOX (MAss LOst in wind fluX) and the APP (Antarctic Precipitation Properties) projects funded by the Italian National Antarctic Program (PNRA). This is also a contribution to the Year of Polar Prediction (YOPP), a flagship activity of the Polar Prediction Project (PPP), initiated by the World Weather Research Programme (WWRP) of the World Meteorological Organization (WMO). We acknowledge the WMO WWRP for its role in coordinating this international research activity. Meteorological and part of precipitation data were obtained from 'Meteo-Climatological Observatory at MZS and Victoria Land' of PNRA (http://www.climantartide.it).Visual observations were obtained from the Operational Meteorology Service of ENEA UTA-LOG (Antarctic Technical Unit -Logistics Service) in the framework of PNRA (www.enea.uta.it).The ECMWF Era Interim, Era5 and Operational Forecast model data were downloaded from https://apps.ecmwf.int/mars-catalogue/.The AMPS forecast data were downloaded from https://www.earthsystemgrid.org/project/amps.html.The authors wish to thank the Antarctic Technical Unit of ENEA for the logistic support to the projects and Dr M. Maahn for the useful suggestions in setting up the Micro Rain Radar system. The authors are grateful to Todd King Hinkley for his helpful support in both the discussion and the English form, which improved the quality of the paper.</t>
  </si>
  <si>
    <t>10.1017/jog.2020.70</t>
  </si>
  <si>
    <t>WOS:000592212900010</t>
  </si>
  <si>
    <t>Zhuravskiy, DM; Prokhorova, UV; Ivanov, BV; Yanjura, AS; Kuprikov, NM; Kurapov, MV</t>
  </si>
  <si>
    <t>Zhuravskiy, D. M.; Prokhorova, U. V.; Ivanov, B. V.; Yanjura, A. S.; Kuprikov, N. M.; Kurapov, M. V.</t>
  </si>
  <si>
    <t>Field Tests of the Procedure for a Photogrammetric Estimation of Snow-Glacial Surface Albedo</t>
  </si>
  <si>
    <t>albedo; remote methods; solar radiation; exposure metering; photogrammetry</t>
  </si>
  <si>
    <t>The results of using an original procedure for estimating albedo from the photogrammetric data and exposure parameters by an unmanned aerial vehicle (UAV) in Antarctica are discussed. The difficulties of photogrammetric observations performed under extreme conditions are considered. Conclusions are drawn on the ways to improve the recording equipment and on the course of refining the procedure for calculating albedo values based on photogrammetric materials and metadata.</t>
  </si>
  <si>
    <t>[Zhuravskiy, D. M.; Prokhorova, U. V.; Ivanov, B. V.; Yanjura, A. S.] Russian Federat Arctic &amp; Antarctic Res Inst, State Res Ctr, St Petersburg, Russia; [Ivanov, B. V.] St Petersburg State Univ, St Petersburg, Russia; [Kuprikov, N. M.; Kurapov, M. V.] Autonomous Noncommercial Org Polar Initiat, Moscow, Russia; [Kuprikov, N. M.] Moscow Inst Aviat Technol, Moscow, Russia</t>
  </si>
  <si>
    <t>Saint Petersburg State University; Moscow Aviation Institute</t>
  </si>
  <si>
    <t>Ivanov, BV (corresponding author), Russian Federat Arctic &amp; Antarctic Res Inst, State Res Ctr, St Petersburg, Russia.;Ivanov, BV (corresponding author), St Petersburg State Univ, St Petersburg, Russia.</t>
  </si>
  <si>
    <t>Prokhorova, Uliana/0000-0002-7600-4089</t>
  </si>
  <si>
    <t>Russian Foundation for Basic Research [18-05-00471_a]</t>
  </si>
  <si>
    <t>This work was supported by the Russian Foundation for Basic Research, grant no. 18-05-00471_a Thermodynamics of Hummocks-a New Outlook on Heat Exchange between the Atmosphere and the Ice Cover in the Arctic. In Situ Experiments, Modeling, under the Target-Oriented Scientific and Technical Program of Roshydromet 1.5.6.1 Studies of Regime-Climate Characteristics of Antarctica and the Southern Ocean.</t>
  </si>
  <si>
    <t>10.1134/S0001433820090285</t>
  </si>
  <si>
    <t>QM6AJ</t>
  </si>
  <si>
    <t>WOS:000621859500005</t>
  </si>
  <si>
    <t>Connaboy, C; Sinnott, AM; LaGoy, AD; Krajewski, KT; Johnson, CD; Pepping, GJ; Simpson, RJ; Bower, JL; Alfano, CA</t>
  </si>
  <si>
    <t>Connaboy, Christopher; Sinnott, Aaron M.; LaGoy, Alice D.; Krajewski, Kellen T.; Johnson, Caleb D.; Pepping, Gert-Jan; Simpson, Richard J.; Bower, Joanne L.; Alfano, Candice A.</t>
  </si>
  <si>
    <t>Cognitive performance during prolonged periods in isolated, confined, and extreme environments</t>
  </si>
  <si>
    <t>ACTA ASTRONAUTICA</t>
  </si>
  <si>
    <t>Astronaut; Affordance perception; Emotional regulation; Perceptuo-motor</t>
  </si>
  <si>
    <t>Background: Astronauts are required to perform a variety of cognitively demanding tasks in the face of multiple prolonged stressors in isolated, confined and extreme (ICE) environments. Short-term ICE environmental exposure can negatively affect cognitive performance, alter emotional responses, and increase reaction time in affordance-based tasks; however, these domains have not been studied simultaneously in prolonged ICE settings. Coastal and Inland Antarctic stations are excellent analogs for spaceflight based on overlapping environmental features such as limited external communication and confinement in extreme conditions. Our purpose was to investigate the effects of 5-month ICE environment analogs, and co-occurring emotional responses, on cognitive performance and affordance perception. Methods: Participants assigned to either Inland or Coastal stations completed the Psychomotor Vigilance Test (PVT), Spaceflight Cognitive Assessment Tool for Windows (WinSCAT), Perception-Action Coupling Task (PACT), and Mental Health Checklist (MHCL) each month for five consecutive months. A series of 1-way ANOVAs were conducted to evaluate WinSCAT, PVT, and PACT performance across time. A series of backward stepwise linear regressions were conducted to determine if duration of ICE environment exposure (months 1-5), station (Coastal and Inland), gender (male and female), education (college degree and no degree), and time of day, in addition to Positive Adaptation, Poor Self-Regulation, and Anxious Apprehension MHCL subscales, were related to cognitive performance outcomes, including WinSCAT composite, PVT median reaction time and lapses, and PACT accuracy and lapses. Results: A within-subjects' effect indicated improvements across WinSCAT composite score, PACT Accuracy, and PACT lapses. Final regression models were significant across all outcomes, and indicate an improvement in WinSCAT and PACT performance during the winter over, assigned station and education level marginally contributed to the observed variance in cognitive performance. Conclusion: Sustained attention, cognitive performance, and affordance perception and actualization outcomes were marginally affected, or improved, during a prolonged ICE environmental exposure.</t>
  </si>
  <si>
    <t>[Connaboy, Christopher; Sinnott, Aaron M.; LaGoy, Alice D.; Krajewski, Kellen T.] Univ Pittsburgh, Neuromuscular Res Lab, Dept Sports Med &amp; Nutr, Warrior Human Performance Res Ctr, Pittsburgh, PA 15203 USA; [Johnson, Caleb D.] Harvard Med Sch, Dept Phys Med &amp; Rehabil, Boston, MA 02115 USA; [Pepping, Gert-Jan] Australian Catholic Univ, Sch Behav &amp; Hlth Sci, Brisbane, Qld, Australia; [Simpson, Richard J.] Univ Arizona, Dept Nutr Sci, Tucson, AZ USA; [Bower, Joanne L.] Univ East Anglia, Sch Psychol, Norwich, Norfolk, England; [Alfano, Candice A.] Univ Houston, Dept Psychol, Houston, TX USA</t>
  </si>
  <si>
    <t>Pennsylvania Commonwealth System of Higher Education (PCSHE); University of Pittsburgh; Harvard University; Harvard Medical School; Australian Catholic University; University of Arizona; University of East Anglia; University of Houston System; University of Houston</t>
  </si>
  <si>
    <t>Connaboy, C (corresponding author), Univ Pittsburgh, Neuromuscular Res Lab, Dept Sports Med &amp; Nutr, Sch Hlth &amp; Rehabil Sci, 3860 South Water St, Pittsburgh, PA 15203 USA.;Connaboy, C (corresponding author), Univ Pittsburgh, Warrior Human Performance Res Ctr, Dept Sports Med &amp; Nutr, Sch Hlth &amp; Rehabil Sci, 3860 South Water St, Pittsburgh, PA 15203 USA.</t>
  </si>
  <si>
    <t>connaboy@pitt.edu</t>
  </si>
  <si>
    <t>Alfano, Candice/ABD-4455-2021; Connaboy, Christopher/AAH-4514-2020; Sinnott, Aaron/JMQ-8550-2023; Bower, Joanne/AAC-1114-2019; Connaboy, Christopher/HTM-0980-2023; Pepping, Gert-Jan/B-2197-2010</t>
  </si>
  <si>
    <t>Connaboy, Christopher/0000-0002-9031-2192; Sinnott, Aaron/0000-0002-8887-759X; Bower, Joanne/0000-0003-3485-391X; LaGoy, Alice/0000-0002-3243-8096; Pepping, Gert-Jan/0000-0002-5926-2000</t>
  </si>
  <si>
    <t>National Aeronautical Science Administration (NASA) [NNX15AC13G]; NASA [NNX15AC13G, 808642] Funding Source: Federal RePORTER</t>
  </si>
  <si>
    <t>National Aeronautical Science Administration (NASA); NASA(National Aeronautics &amp; Space Administration (NASA))</t>
  </si>
  <si>
    <t>There are no conflicts of interest. This research was supported by a grant from the National Aeronautical Science Administration (NASA) to Drs. Alfano &amp; Simpson (#NNX15AC13G)</t>
  </si>
  <si>
    <t>0094-5765</t>
  </si>
  <si>
    <t>1879-2030</t>
  </si>
  <si>
    <t>ACTA ASTRONAUT</t>
  </si>
  <si>
    <t>Acta Astronaut.</t>
  </si>
  <si>
    <t>10.1016/j.actaastro.2020.08.018</t>
  </si>
  <si>
    <t>Engineering, Aerospace</t>
  </si>
  <si>
    <t>PD6XH</t>
  </si>
  <si>
    <t>WOS:000597824900049</t>
  </si>
  <si>
    <t>Gulbin, YL; Mikhalsky, EV</t>
  </si>
  <si>
    <t>Gulbin, Yu. L.; Mikhalsky, E. V.</t>
  </si>
  <si>
    <t>Modeling of Mineral Parageneses and Thermobarometry of Metavolcanic Rocks of the Ruker Group in the Southern Prince Charles Mountains, East Antarctica</t>
  </si>
  <si>
    <t>GEOLOGY OF ORE DEPOSITS</t>
  </si>
  <si>
    <t>mafic schist; chloritoid schist; isochemical phase diagram; Theriak; Domino; chlorite-phengite thermobarometry; Ruker Group; Palaeoproterozoic; East Antarctica</t>
  </si>
  <si>
    <t>Diverse geological complexes that form the crystalline basement of the East Antarctic Platform crop out in the Prince Charles Mountains. The Ruker Group is a member of the metasedimentary complexes that make up the Paleoproterozoic through Neoproterozoic suprastructure of the Ruker Terrane. It is divided into two sequences consisting of highly deformed and greenschist facies metamorphosed sedimentary and volcanic rocks. The mineral and major element compositions of metavolcanic rocks have been studied and physicochemical modeling of mineral parageneses has been performed to reconstruct the P-T parameters of metamorphism. The dependence of the mineralogy of metabasic schists on the protolith composition and the ratio of components in the H2O-CO2 fluid involved in the phase reactions were analyzed. The calculated mole fraction of CO2 in the fluid equilibrated with carbonate-bearing parageneses is 0.13-0.27. It is assumed that chloritoid schist consists of metamorphosed laterites derived from basalt. Modeling and the data of chlorite-phengite thermobarometry indicate that the Ruker Group rocks were metamorphosed under conditions of the high-pressure part of the greenschist facies (300-450 degrees C, 7-8 kb). These conditions are significantly higher than the stable continental geotherm and are close to those in the zone of a slow subduction geotherm. According to the available geological data, a similar geodynamic setting could be caused by the evolution of the Neoproterozoic intraplate sedimentary basin in connection with deep-sinking basement blocks as a result of tectonic aggregation during the closure of the basin.</t>
  </si>
  <si>
    <t>[Gulbin, Yu. L.] St Petersburg State Univ, St Petersburg 199106, Russia; [Mikhalsky, E. V.] VNIIOkeangeol, St Petersburg 190121, Russia</t>
  </si>
  <si>
    <t>Gulbin, YL (corresponding author), St Petersburg State Univ, St Petersburg 199106, Russia.</t>
  </si>
  <si>
    <t>ygulbin@yandex.ru; emikhalsky@mail.ru</t>
  </si>
  <si>
    <t>Gulbin, Yuri L/A-7432-2016</t>
  </si>
  <si>
    <t>1075-7015</t>
  </si>
  <si>
    <t>1555-6476</t>
  </si>
  <si>
    <t>GEOL ORE DEPOSIT+</t>
  </si>
  <si>
    <t>Geol. Ore Depos.</t>
  </si>
  <si>
    <t>10.1134/S1075701520070053</t>
  </si>
  <si>
    <t>Geology; Mineralogy</t>
  </si>
  <si>
    <t>QE6MK</t>
  </si>
  <si>
    <t>WOS:000616319600005</t>
  </si>
  <si>
    <t>Sayedi, SS; Abbott, BW; Thornton, BF; Frederick, JM; Vonk, JE; Overduin, P; Schädel, C; Schuur, EAG; Bourbonnais, A; Demidov, N; Gavrilov, A; He, SP; Hugelius, G; Jakobsson, M; Jones, MC; Joung, D; Kraev, G; Macdonald, RW; McGuire, AD; Mu, CC; O'Regan, M; Schreiner, KM; Stranne, C; Pizhankova, E; Vasiliev, A; Westermann, S; Zarnetske, JP; Zhang, TJ; Ghandehari, M; Baeumler, S; Brown, BC; Frei, RJ</t>
  </si>
  <si>
    <t>Sayedi, Sayedeh Sara; Abbott, Benjamin W.; Thornton, Brett F.; Frederick, Jennifer M.; Vonk, Jorien E.; Overduin, Paul; Schadel, Christina; Schuur, Edward A. G.; Bourbonnais, Annie; Demidov, Nikita; Gavrilov, Anatoly; He, Shengping; Hugelius, Gustaf; Jakobsson, Martin; Jones, Miriam C.; Joung, DongJoo; Kraev, Gleb; Macdonald, Robie W.; McGuire, A. David; Mu, Cuicui; O'Regan, Matt; Schreiner, Kathryn M.; Stranne, Christian; Pizhankova, Elena; Vasiliev, Alexander; Westermann, Sebastian; Zarnetske, Jay P.; Zhang, Tingjun; Ghandehari, Mehran; Baeumler, Sarah; Brown, Brian C.; Frei, Rebecca J.</t>
  </si>
  <si>
    <t>Subsea permafrost carbon stocks and climate change sensitivity estimated by expert assessment</t>
  </si>
  <si>
    <t>subsea permafrost; carbon stocks; climate change; expert assessment</t>
  </si>
  <si>
    <t>The continental shelves of the Arctic Ocean and surrounding seas contain large stocks of organic matter (OM) and methane (CH4), representing a potential ecosystem feedback to climate change not included in international climate agreements. We performed a structured expert assessment with 25 permafrost researchers to combine quantitative estimates of the stocks and sensitivity of organic carbon in the subsea permafrost domain (i.e. unglaciated portions of the continental shelves exposed during the last glacial period). Experts estimated that the subsea permafrost domain contains similar to 560 gigatons carbon (GtC; 170-740, 90% confidence interval) in OM and 45 GtC (10-110) in CH4. Current fluxes of CH4 and carbon dioxide (CO2) to the water column were estimated at 18 (2-34) and 38 (13-110) megatons C yr(-1), respectively. Under Representative Concentration Pathway (RCP) RCP8.5, the subsea permafrost domain could release 43 Gt CO2-equivalent (CO(2)e) by 2100 (14-110) and 190 Gt CO(2)e by 2300 (45-590), with similar to 30% fewer emissions under RCP2.6. The range of uncertainty demonstrates a serious knowledge gap but provides initial estimates of the magnitude and timing of the subsea permafrost climate feedback.</t>
  </si>
  <si>
    <t>[Sayedi, Sayedeh Sara; Abbott, Benjamin W.; Brown, Brian C.] Brigham Young Univ, Dept Plant &amp; Wildlife Sci, Provo, UT 84602 USA; [Thornton, Brett F.; Jakobsson, Martin; O'Regan, Matt; Stranne, Christian] Stockholm Univ, Dept Geol Sci, Stockholm, Sweden; [Thornton, Brett F.; Hugelius, Gustaf; Jakobsson, Martin; O'Regan, Matt; Stranne, Christian] Stockholm Univ, Bolin Ctr Climate Res, Stockholm, Sweden; [Frederick, Jennifer M.] Sandia Natl Labs, POB 5800, Albuquerque, NM 87185 USA; [Vonk, Jorien E.; Kraev, Gleb] Vrije Univ Amsterdam, Amsterdam, Netherlands; [Overduin, Paul] Helmholtz Ctr Polar &amp; Marine Res, Alfred Wegener Inst, Potsdam, Germany; [Schadel, Christina; Schuur, Edward A. G.] No Arizona Univ, Ctr Ecosyst Sci &amp; Soc, Flagstaff, AZ 86011 USA; [Schadel, Christina; Schuur, Edward A. G.] No Arizona Univ, Dept Biol Sci, Flagstaff, AZ 86011 USA; [Bourbonnais, Annie] Univ South Carolina, Sch Earth Ocean &amp; Environm, Columbia, SC 29208 USA; [Demidov, Nikita] Arctic &amp; Antarctic Res Inst, St Petersburg, Russia; [Gavrilov, Anatoly; Pizhankova, Elena] Lomonosov Moscow State Univ, Fac Geol, Moscow, Russia; [He, Shengping] Univ Bergen, Geophys Inst, Bergen, Norway; [He, Shengping] Bjerknes Ctr Climate Res, Bergen, Norway; [Hugelius, Gustaf] Stockholm Univ, Dept Phys Geog, Stockholm, Sweden; [Jones, Miriam C.] USGS, Florence Bascom Geosci Ctr, Reston, VA USA; [Joung, DongJoo] Univ Rochester, Dept Earth &amp; Environm Sci, Rochester, NY USA; [Kraev, Gleb] Russian Acad Sci, Inst Physicochem &amp; Biol Problems Soil Sci, Pushchino, Russia; [Macdonald, Robie W.] Inst Ocean Sci, Dept Fisheries &amp; Oceans, Sidney, BC, Canada; [McGuire, A. David] Univ Alaska Fairbanks, Inst Arctic Biol, Fairbanks, AK USA; [Mu, Cuicui] Lanzhou Univ, Coll Earth &amp; Environm Sci, Lanzhou, Gansu, Peoples R China; [Schreiner, Kathryn M.] Univ Minnesota, Large Lakes Observ, Duluth, MN 55812 USA; [Schreiner, Kathryn M.] Univ Minnesota, Dept Chem &amp; Biochem, Duluth, MN 55812 USA; [Vasiliev, Alexander] SB RAS, Tyumen Sci Ctr, Tyumen, Russia; [Westermann, Sebastian] Univ Oslo, Dept Geosci, Oslo, Norway; [Westermann, Sebastian] Univ Oslo, Ctr Biogeochem Anthropocene, Oslo, Norway; [Zarnetske, Jay P.] Michigan State Univ, Dept Earth &amp; Environm Sci, E Lansing, MI 48824 USA; [Zhang, Tingjun] Univ Colorado, Natl Snow &amp; Ice Data Ctr, CooperativeInst Res Environm Sci, Boulder, CO 80309 USA; [Ghandehari, Mehran] Med Land Governance, Midvale, UT USA; [Baeumler, Sarah] Ludwig Maximilians Univ Munchen, Munich, Germany; [Frei, Rebecca J.] Univ Alberta, Dept Renewable Resources, Edmonton, AB, Canada</t>
  </si>
  <si>
    <t>Brigham Young University; Stockholm University; United States Department of Energy (DOE); Sandia National Laboratories; Vrije Universiteit Amsterdam; Helmholtz Association; Alfred Wegener Institute, Helmholtz Centre for Polar &amp; Marine Research; Northern Arizona University; Northern Arizona University; University of South Carolina System; University of South Carolina Columbia; Arctic &amp; Antarctic Research Institute; Lomonosov Moscow State University; University of Bergen; Bjerknes Centre for Climate Research; Stockholm University; United States Department of the Interior; United States Geological Survey; University of Rochester; Russian Academy of Sciences; Pushchino Scientific Center for Biological Research (PSCBI) of the Russian Academy of Sciences; Institute of Physicohemical &amp; Biological Problems of Soil Science; Fisheries &amp; Oceans Canada; University of Alaska System; University of Alaska Fairbanks; Lanzhou University; University of Minnesota System; University of Minnesota Duluth; University of Minnesota System; University of Minnesota Duluth; Russian Academy of Sciences; University of Oslo; University of Oslo; Michigan State University; University of Colorado System; University of Colorado Boulder; University of Munich; University of Alberta</t>
  </si>
  <si>
    <t>Sayedi, SS (corresponding author), Brigham Young Univ, Dept Plant &amp; Wildlife Sci, Provo, UT 84602 USA.</t>
  </si>
  <si>
    <t>sarasayedi91@gmail.com</t>
  </si>
  <si>
    <t>Vonk, Jorien E/H-5422-2011; stranne, christian/L-4382-2013; O'Regan, Matt/P-6277-2019; Overduin, Paul P/B-3258-2017; Westermann, Sebastian/I-2976-2012; Frei, Robert/N-6798-2014; Mu, Cuicui/KBD-1913-2024; Abbott, Benjamin W./G-1733-2017; Kraev, Gleb/K-1235-2015; Zarnetske, Jay P/F-4685-2010; Hugelius, Gustaf/C-9759-2011; Frederick, Jennifer/L-6733-2014; Schadel, Christina/F-5948-2013</t>
  </si>
  <si>
    <t>Vonk, Jorien E/0000-0002-1206-5878; O'Regan, Matt/0000-0002-6046-1488; Overduin, Paul P/0000-0001-9849-4712; Westermann, Sebastian/0000-0003-0514-4321; Abbott, Benjamin W./0000-0001-5861-3481; Kraev, Gleb/0000-0002-3565-8641; Hugelius, Gustaf/0000-0002-8096-1594; Frederick, Jennifer/0000-0003-2414-778X; Bourbonnais, Annie/0000-0001-7247-5230; ZHANG, Tingjun/0000-0001-6974-9501; Frei, Rebecca/0000-0002-4272-0474; Schadel, Christina/0000-0003-2145-6210; Jakobsson, Martin/0000-0002-9033-3559; Schreiner, Kathryn/0000-0002-7600-5006</t>
  </si>
  <si>
    <t>Brigham Young University Graduate Studies; Permafrost Carbon Network through the National Science Foundation (NSF) Study of Environmental Arctic Change (SEARCH) [1331083]; NSF [1916565]; National Key R&amp;D Program of China [2019YFA0607003]; Russian Science Foundation [19-77-10065, 19-7710066]; Russian Foundation for Basic Research [18-05-60004]; Swedish Science Foundation (VR) [201804350]; Laboratory Directed Research and Development program at Sandia National Laboratories [DE-NA-0003525]; Russian Science Foundation [19-77-10065] Funding Source: Russian Science Foundation; Directorate For Geosciences; Office of Polar Programs (OPP) [1331083, 1916565] Funding Source: National Science Foundation</t>
  </si>
  <si>
    <t>Brigham Young University Graduate Studies; Permafrost Carbon Network through the National Science Foundation (NSF) Study of Environmental Arctic Change (SEARCH); NSF(National Science Foundation (NSF)); National Key R&amp;D Program of China; Russian Science Foundation(Russian Science Foundation (RSF)); Russian Foundation for Basic Research(Russian Foundation for Basic Research (RFBR)Spanish Government); Swedish Science Foundation (VR)(Swedish Research Council); Laboratory Directed Research and Development program at Sandia National Laboratories; Russian Science Foundation(Russian Science Foundation (RSF)); Directorate For Geosciences; Office of Polar Programs (OPP)(National Science Foundation (NSF)NSF - Directorate for Geosciences (GEO))</t>
  </si>
  <si>
    <t>This work was supported by the Brigham Young University Graduate Studies and the Permafrost Carbon Network through the National Science Foundation (NSF) Study of Environmental Arctic Change (SEARCH) Grant No. 1331083. Benjamin Abbott was supported by NSF award number 1916565. Cuicui Mu was supported by The National Key R&amp;D Program of China (2019YFA0607003). Gleb Kraev was supported by the Russian Science Foundation (project 19-77-10065). Nikita Demidov was supported by the Russian Science Foundation (project 19-7710066). Alexander Vasiliev was supported by the Russian Foundation for Basic Research, project No. 18-05-60004. Christian Stranne was supported by the Swedish Science Foundation (VR, project 201804350). Jennifer M Frederick was supported by the Laboratory Directed Research and Development program at Sandia National Laboratories, a multimission laboratory managed and operated by National Technology and Engineering Solutions of Sandia, LLC., a wholly owned subsidiary of Honeywell International, Inc., for the U.S. Department of Energy's National Nuclear Security Administration under contract DE-NA-0003525. We thank Sebastien Wetterich and Vladimir Romanovsky for providing input on the manuscript and M Bayani Cardenas for input on the questionnaire and conceptual framing of the project. The background drawings in figure 1, were created by Anna Wright.</t>
  </si>
  <si>
    <t>IOP PUBLISHING LTD</t>
  </si>
  <si>
    <t>10.1088/1748-9326/abcc29</t>
  </si>
  <si>
    <t>QJ0VL</t>
  </si>
  <si>
    <t>Green Submitted, gold, Green Published</t>
  </si>
  <si>
    <t>WOS:000619408500001</t>
  </si>
  <si>
    <t>Abreu, NM; Aponte, JC; Cloutis, EA; Nguyen, AN</t>
  </si>
  <si>
    <t>Abreu, N. M.; Aponte, J. C.; Cloutis, E. A.; Nguyen, A. N.</t>
  </si>
  <si>
    <t>The Renazzo-like carbonaceous chondrites as resources to understand the origin, evolution, and exploration of the solar system</t>
  </si>
  <si>
    <t>GEOCHEMISTRY</t>
  </si>
  <si>
    <t>CR chondrites; Carbonaceous chondrites; Aqueous alteration; Primitive meteorites; CR chondrite petrology; CR chondrite mineralogy; CR chondrite spectra</t>
  </si>
  <si>
    <t>INSOLUBLE ORGANIC-MATTER; SPECTRAL REFLECTANCE PROPERTIES; PROGRESSIVE AQUEOUS ALTERATION; EXTRATERRESTRIAL AMINO-ACIDS; ALUMINUM-RICH INCLUSIONS; O-ISOTOPE COMPOSITION; PARENT BODY PROCESSES; FINE-GRAINED RIMS; FE-NI METAL; CR CHONDRITES</t>
  </si>
  <si>
    <t>We present here a review of the characteristics of CR carbonaceous chondrite meteorites. Over the past three decades, our knowledge and understanding of the scientific value of the CR chondrites have increased dramatically, as more samples from cold and hot deserts have become available for analysis. Based on a variety of compositional, mineralogical, isotopic, and spectroscopic studies, we have come to understand that CR chondrites are excellent samples of asteroidal meteorites to look for virtually unaltered solar nebula material and to observe asteroidal processes in progress. This paper summarizes these investigations, their similarities, and differences with other chondritic groups, their relationships to asteroids, and the questions yet to be addressed.</t>
  </si>
  <si>
    <t>[Abreu, N. M.] Penn State Univ, Earth Sci, DuBois Campus, Du Bois, PA 15801 USA; [Aponte, J. C.] NASA, Goddard Space Flight Ctr, Solar Syst Explorat Div, Code 691, Greenbelt, MD 20771 USA; [Aponte, J. C.] Catholic Univ Amer, Dept Chem, Washington, DC 20064 USA; [Cloutis, E. A.] Univ Winnipeg, Dept Geog, 515 Portage Ave, Winnipeg, MB R3B 2E9, Canada; [Nguyen, A. N.] NASA, Jacobs Engn Grp Inc, Johnson Space Ctr, Houston, TX 77058 USA</t>
  </si>
  <si>
    <t>Pennsylvania Commonwealth System of Higher Education (PCSHE); Pennsylvania State University; National Aeronautics &amp; Space Administration (NASA); NASA Goddard Space Flight Center; Catholic University of America; University of Winnipeg; National Aeronautics &amp; Space Administration (NASA)</t>
  </si>
  <si>
    <t>Abreu, NM (corresponding author), Penn State Univ, Earth Sci, DuBois Campus, Du Bois, PA 15801 USA.</t>
  </si>
  <si>
    <t>abreu@psu.edu</t>
  </si>
  <si>
    <t>Aponte, Jose C./B-9091-2013; Nguyen, Ann/KGL-5622-2024</t>
  </si>
  <si>
    <t>NASA [NNX11AH10G]; NSF; NASA</t>
  </si>
  <si>
    <t>NASA(National Aeronautics &amp; Space Administration (NASA)); NSF(National Science Foundation (NSF)); NASA(National Aeronautics &amp; Space Administration (NASA))</t>
  </si>
  <si>
    <t>Funded by NNX11AH10G NASA grant to NMA. Analytical work was conducted at the MRI-Penn State. Thanks for technical assistance to Dr. T. Clark, Dr. J. Gray, and Dr. H. Wang at Penn State. Thanks to three anonymous reviewers who generously contributed their time and expertise to improving this manuscript. To Penn State DuBois research students Benjamin George and Abraham George for great conversations about the need for review papers about chondrites. Samples generously provided by the U.S. Antarctic Meteorite Collection.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t>
  </si>
  <si>
    <t>ELSEVIER GMBH</t>
  </si>
  <si>
    <t>MUNICH</t>
  </si>
  <si>
    <t>HACKERBRUCKE 6, 80335 MUNICH, GERMANY</t>
  </si>
  <si>
    <t>0009-2819</t>
  </si>
  <si>
    <t>1611-5864</t>
  </si>
  <si>
    <t>GEOCHEMISTRY-GERMANY</t>
  </si>
  <si>
    <t>Geochemistry</t>
  </si>
  <si>
    <t>10.1016/j.chemer.2020.125631</t>
  </si>
  <si>
    <t>QG5KE</t>
  </si>
  <si>
    <t>WOS:000617623200002</t>
  </si>
  <si>
    <t>Park, KA; Son, YM</t>
  </si>
  <si>
    <t>Park, Kyung-Ae; Son, Yu-Mi</t>
  </si>
  <si>
    <t>Spatial Distribution of Extremely Low Sea-Surface Temperature in the Global Ocean and Analysis of Data Visualization in Earth Science Textbooks</t>
  </si>
  <si>
    <t>JOURNAL OF THE KOREAN EARTH SCIENCE SOCIETY</t>
  </si>
  <si>
    <t>Korean</t>
  </si>
  <si>
    <t>Sea-surface temperature (SST); extremely low SST; earth science textbook; data visualization; oceanic literacy; data literacy</t>
  </si>
  <si>
    <t>SECONDARY-SCHOOL SCIENCE; ICE</t>
  </si>
  <si>
    <t>Sea-surface temperature (SST) is one of the most important oceanic variables for understanding air-sea interactions, heat flux variations, and oceanic circulation in the global ocean. Extremely low SSTs from 0 degrees C down to -2 degrees C should be more important than other normal temperatures because of their notable roles in inducing and regulating global climate and environmental changes. To understand the temporal and spatial variability of such extremely low SSTs in the global ocean, the long-term SST climatology was calculated using the daily SST database of satellites observed for the period from 1982 to 2018. In addition, the locations of regions with extremely low surface temperatures of less than 0 degrees C and monthly variations of isothermal lines of 0 degrees C were investigated using World Ocean Atlas (WOA) climatology based on in-situ oceanic measurements. As a result, extremely low temperatures occupied considerable areas in polar regions such as the Arctic Ocean and Antarctic Ocean, and marginal seas at high latitudes. Six earth science textbooks were analyzed to investigate how these extremely low temperatures were visualized. In most textbooks, illustrations of SSTs began not from extremely low temperatures below 0 degrees C but from a relatively high temperature of 0 degrees C or higher, which prevented students from understanding of concepts and roles of the low SSTs. As data visualization is one of the key elements of data literacy, illustrations of the textbooks should be improved to ensure that SST data are adequately visualized in the textbooks. This study emphasized that oceanic literacy and data literacy could be cultivated and strengthened simultaneously through visualizations of oceanic big data by using satellite SST data and oceanic in-situ measurements.</t>
  </si>
  <si>
    <t>[Park, Kyung-Ae] Seoul Natl Univ, Dept Earth Sci Educ, Seoul 08826, South Korea; [Park, Kyung-Ae] Seoul Natl Univ, Res Inst Oceanog, Seoul 08826, South Korea; [Son, Yu-Mi] Seoul Global High Sch, Seoul 03066, South Korea</t>
  </si>
  <si>
    <t>Seoul National University (SNU); Seoul National University (SNU)</t>
  </si>
  <si>
    <t>Park, KA (corresponding author), Seoul Natl Univ, Dept Earth Sci Educ, Seoul 08826, South Korea.;Park, KA (corresponding author), Seoul Natl Univ, Res Inst Oceanog, Seoul 08826, South Korea.</t>
  </si>
  <si>
    <t>kapark@snu.ac.kr</t>
  </si>
  <si>
    <t>Park, Kyung-Ae/0000-0001-8899-7201</t>
  </si>
  <si>
    <t>KOREAN EARTH SCIENCE SOC</t>
  </si>
  <si>
    <t>CHEONG-WON-GUN</t>
  </si>
  <si>
    <t>KOREAN EARTH SCIENCE SOC, CHEONG-WON-GUN, 00000, SOUTH KOREA</t>
  </si>
  <si>
    <t>1225-6692</t>
  </si>
  <si>
    <t>2287-4518</t>
  </si>
  <si>
    <t>J KOR EARTH SCI SOC</t>
  </si>
  <si>
    <t>J. Kor. Earth Sci. Soc.</t>
  </si>
  <si>
    <t>10.5467/JKESS.2020.41.6.599</t>
  </si>
  <si>
    <t>QC8TU</t>
  </si>
  <si>
    <t>WOS:000615104700004</t>
  </si>
  <si>
    <t>Wunderling, N; Gelbrecht, M; Winkelmann, R; Kurths, J; Donges, JF</t>
  </si>
  <si>
    <t>Wunderling, Nico; Gelbrecht, Maximilian; Winkelmann, Ricarda; Kurths, Jurgen; Donges, Jonathan F.</t>
  </si>
  <si>
    <t>Basin stability and limit cycles in a conceptual model for climate tipping cascades</t>
  </si>
  <si>
    <t>NEW JOURNAL OF PHYSICS</t>
  </si>
  <si>
    <t>nonlinear dynamics; complex systems; basin stability; climate tipping elements; bifurcation; nonlinear processes in the earth</t>
  </si>
  <si>
    <t>MERIDIONAL OVERTURNING CIRCULATION; EL-NINO; THERMOHALINE CIRCULATION; REGIME SHIFTS; POINTS; FOREST; IMPACT; OCEAN; VARIABILITY; AMAZON</t>
  </si>
  <si>
    <t>Tipping elements in the climate system are large-scale subregions of the Earth that might possess threshold behavior under global warming with large potential impacts on human societies. Here, we study a subset of five tipping elements and their interactions in a conceptual and easily extendable framework: the Greenland Ice Sheets (GIS) and West Antarctic Ice Sheets, the Atlantic meridional overturning circulation (AMOC), the El-Nino Southern Oscillation and the Amazon rainforest. In this nonlinear and multistable system, we perform a basin stability analysis to detect its stable states and their associated Earth system resilience. By combining these two methodologies with a large-scale Monte Carlo approach, we are able to propagate the many uncertainties associated with the critical temperature thresholds and the interaction strengths of the tipping elements. Using this approach, we perform a system-wide and comprehensive robustness analysis with more than 3.5 billion ensemble members. Further, we investigate dynamic regimes where some of the states lose stability and oscillations appear using a newly developed basin bifurcation analysis methodology. Our results reveal that the state of four or five tipped elements has the largest basin volume for large levels of global warming beyond 4 degrees C above pre-industrial climate conditions, representing a highly undesired state where a majority of the tipping elements reside in the transitioned regime. For lower levels of warming, states including disintegrated ice sheets on west Antarctica and Greenland have higher basin volume than other state configurations. Therefore in our model, we find that the large ice sheets are of particular importance for Earth system resilience. We also detect the emergence of limit cycles for 0.6% of all ensemble members at rare parameter combinations. Such limit cycle oscillations mainly occur between the GIS and AMOC (86%), due to their negative feedback coupling. These limit cycles point to possibly dangerous internal modes of variability in the climate system that could have played a role in paleoclimatic dynamics such as those unfolding during the Pleistocene ice age cycles.</t>
  </si>
  <si>
    <t>[Wunderling, Nico; Winkelmann, Ricarda; Donges, Jonathan F.] Leibniz Assoc, Potsdam Inst Climate Impact Res PIK, Earth Syst Anal, D-14473 Potsdam, Germany; [Wunderling, Nico; Winkelmann, Ricarda] Univ Potsdam, Inst Phys &amp; Astron, D-14476 Potsdam, Germany; [Wunderling, Nico; Gelbrecht, Maximilian; Kurths, Jurgen] Humboldt Univ, Dept Phys, D-12489 Berlin, Germany; [Gelbrecht, Maximilian; Kurths, Jurgen] Leibniz Assoc, Potsdam Inst Climate Impact Res PIK, Complex Sci, D-14473 Potsdam, Germany; [Kurths, Jurgen] Lobachevsky State Univ Nizhny Novgorod, Nizhnii Novgorod, Russia; [Donges, Jonathan F.] Stockholm Univ, Stockholm Resilience Ctr, SE-10691 Stockholm, Sweden</t>
  </si>
  <si>
    <t>Potsdam Institut fur Klimafolgenforschung; University of Potsdam; Humboldt University of Berlin; Potsdam Institut fur Klimafolgenforschung; Lobachevsky State University of Nizhni Novgorod; Stockholm University</t>
  </si>
  <si>
    <t>Wunderling, N; Donges, JF (corresponding author), Leibniz Assoc, Potsdam Inst Climate Impact Res PIK, Earth Syst Anal, D-14473 Potsdam, Germany.;Wunderling, N (corresponding author), Univ Potsdam, Inst Phys &amp; Astron, D-14476 Potsdam, Germany.;Wunderling, N (corresponding author), Humboldt Univ, Dept Phys, D-12489 Berlin, Germany.;Donges, JF (corresponding author), Stockholm Univ, Stockholm Resilience Ctr, SE-10691 Stockholm, Sweden.</t>
  </si>
  <si>
    <t>nico.wunderling@pik-potsdam.de; jonathan.donges@pik-potsdam.de</t>
  </si>
  <si>
    <t>Donges, Jonathan F./HCI-2311-2022</t>
  </si>
  <si>
    <t>Kurths, Juergen/0000-0002-5926-4276; Donges, Jonathan/0000-0001-5233-7703; Wunderling, Nico/0000-0002-3566-323X</t>
  </si>
  <si>
    <t>IRTG - DFG [1740/TRP 2015/50122-0]; FAPESP; Studienstiftung des deutschen Volkes; Ministry of Education and Science of the Russian Federation [075-15-2020-808]; Stordalen Foundation via the Planetary Boundary Research Network (PB.net); Earth League's EarthDoc program; European Research Council Advanced Grant project ERA (Earth Resilience in the Anthropocene) [ERC-2016-ADG-743080]; Leibniz Association; European Regional Development Fund (ERDF)</t>
  </si>
  <si>
    <t>IRTG - DFG(German Research Foundation (DFG)); FAPESP(Fundacao de Amparo a Pesquisa do Estado de Sao Paulo (FAPESP)); Studienstiftung des deutschen Volkes; Ministry of Education and Science of the Russian Federation(Ministry of Education and Science, Russian Federation); Stordalen Foundation via the Planetary Boundary Research Network (PB.net); Earth League's EarthDoc program; European Research Council Advanced Grant project ERA (Earth Resilience in the Anthropocene)(European Research Council (ERC)); Leibniz Association; European Regional Development Fund (ERDF)(European Union (EU))</t>
  </si>
  <si>
    <t>This work has been carried out within the framework of PIK's FutureLab on Earth Resilience in the Anthropocene. NW, MG, JK and RW acknowledge the financial support by the IRTG 1740/TRP 2015/50122-0 project funded by DFG and FAPESP. NW is grateful for a scholarship from the Studienstiftung des deutschen Volkes. JK acknowledges support by the grant of the Ministry of Education and Science of the Russian Federation Agreement No. 075-15-2020-808. JFD is grateful for financial support by the Stordalen Foundation via the Planetary Boundary Research Network (PB.net), the Earth League's EarthDoc program and the European Research Council Advanced Grant project ERA (Earth Resilience in the Anthropocene, ERC-2016-ADG-743080). We are thankful for financial support by the Leibniz Association (project DominoES). The authors gratefully acknowledge the European Regional Development Fund (ERDF), the German Federal Ministry of Education and Research and the Land Brandenburg for supporting this project by providing resources on the high performance computer system at the Potsdam Institute for Climate Impact Research.</t>
  </si>
  <si>
    <t>1367-2630</t>
  </si>
  <si>
    <t>NEW J PHYS</t>
  </si>
  <si>
    <t>New J. Phys.</t>
  </si>
  <si>
    <t>10.1088/1367-2630/abc98a</t>
  </si>
  <si>
    <t>QH1JK</t>
  </si>
  <si>
    <t>WOS:000618032100001</t>
  </si>
  <si>
    <t>Chaure, MR; Gudmestad, OT</t>
  </si>
  <si>
    <t>Chaure, M. R.; Gudmestad, O. T.</t>
  </si>
  <si>
    <t>Effectiveness of the Polar Code Training of Cruise Liner Crew for Evacuation in the Arctic and Antarctic</t>
  </si>
  <si>
    <t>TRANSNAV-INTERNATIONAL JOURNAL ON MARINE NAVIGATION AND SAFETY OF SEA TRANSPORTATION</t>
  </si>
  <si>
    <t>In the past decades, we have seen a prolific increase in Polar Cruise Tourism, and thereby, more humans are able to visit the Polar Regions. As a result of this, the IMO implemented the Polar Code in 2017 to better prepare seafarers in polar waters in order to ensure maritime safety. Several researches have been carrying out work, after the Polar Code came into force, to evaluate its realization concerning the harsh climatic conditions of the Arctic and Antarctic. Based on the Polar Code requirements, the crew's preparedness for evacuation and survival in negative temperatures due to remoteness, is somewhat ambiguous. Also, the use of safety equipment in the polar climate still is in the discussion, whether sufficient or not. This paper investigates the cruise crew's preparedness for an evacuation in the Arctic and Antarctic, according to the Polar Code. Here, gaps in the existing Polar Code Basic and Advanced Training modules were identified with respect to evacuation needs. Questionnaires and interviews were used as the research method to evaluate the insights of the potential target audiences. The study findings were analyzed and reveal the Polar Code's ineffectiveness with respect to educating the cruise crew for an evacuation, along with the lack of requirement to passenger survival training. This study recommends specific evacuation training for all the cruise crew members based on the actual needs and, subsequently, the need for improvement in the Polar Code training modules. It also proposes survival training modules for cruise passengers to be developed, for evacuation of a vessel in the Arctic and Antarctic.</t>
  </si>
  <si>
    <t>[Chaure, M. R.; Gudmestad, O. T.] Western Norway Univ Appl Sci, Haugesund, Norway</t>
  </si>
  <si>
    <t>Western Norway University of Applied Sciences</t>
  </si>
  <si>
    <t>Chaure, MR (corresponding author), Western Norway Univ Appl Sci, Haugesund, Norway.</t>
  </si>
  <si>
    <t>Gudmestad, Ove Tobias/AFQ-4245-2022</t>
  </si>
  <si>
    <t>Chaure, Mona/0000-0002-7996-1992</t>
  </si>
  <si>
    <t>GDYNIA MARITIME UNIV, FAC NAVIGATION</t>
  </si>
  <si>
    <t>GDYNIA</t>
  </si>
  <si>
    <t>3, JOHN PAUL II AVE, GDYNIA, 81-345, POLAND</t>
  </si>
  <si>
    <t>2083-6473</t>
  </si>
  <si>
    <t>2083-6481</t>
  </si>
  <si>
    <t>TRANSNAV</t>
  </si>
  <si>
    <t>TransNav</t>
  </si>
  <si>
    <t>10.12716/1001.14.04.17</t>
  </si>
  <si>
    <t>Transportation Science &amp; Technology</t>
  </si>
  <si>
    <t>Transportation</t>
  </si>
  <si>
    <t>QC8QK</t>
  </si>
  <si>
    <t>WOS:000615095900017</t>
  </si>
  <si>
    <t>Ren, CY; Chen, M; Guo, LD; Zeng, J; Jia, RM; Liu, X; Zheng, MF; Qiu, YS</t>
  </si>
  <si>
    <t>Ren, Chunyan; Chen, Min; Guo, Laodong; Zeng, Jian; Jia, Renming; Liu, Xiao; Zheng, Minfang; Qiu, Yusheng</t>
  </si>
  <si>
    <t>Nitrogen isotopic fractionation of particulate organic matter production and remineralization in the Prydz Bay and its adjacent areas</t>
  </si>
  <si>
    <t>PN; δ N-15(PN); isotopic fractionation; POM production; remineralization; Prydz Bay</t>
  </si>
  <si>
    <t>During the 29th Chinese National Antarctic Research Expedition, spatial variations in nitrogen isotopic composition of particulate nitrogen (delta N-15(PN)) and their controlling factors were examined in detail with regard to nitrate drawdown by phytoplankton and particulate nitrogen (PN) remineralization in the Prydz Bay and its adjacent areas. To better constrain the nitrogen transformations, the physical and chemical parameters, including temperature, salinity, nutrients, PN and delta N-15(PN) in seawater column were measured from surface to bottom. In addition, the nitrogen isotopic fractionation factor of nitrate assimilation by phytoplankton in the mixed layer, and the nitrogen isotopic fractionation factor of PN remineralization below the mixed layer were estimated using Rayleigh model and Steady State model, respectively. Our results showed that suspended particles had its lowest delta N-15(PN) in the surface layer, which was due to the preferential assimilation of N-14 in nitrate by phytoplankton. The delta N-15(PN) in the mixed layer of the Prydz Bay and its adjacent areas decreased from the inner shelf to the outer basin, ascribing to the effect of isotope fractionation during phytoplankton assimilation. In mixed layer, the spatial distribution of delta N-15(PN) associated with particulate organic matter (POM) production can be well interpreted according to Rayleigh model and Steady State model. The nitrogen isotope fractionation factor during phytoplankton assimilating nitrate was estimated as 10.0%o by Steady State model, which was more reasonable than that calculated by Rayleigh model. These results validate the previous reports of fractionation factor during nitrate assimilation by phytoplankton. Increasing delta N-15(PN) with depth below the euphotic zone correlated with the decreasing PN contents, and it was attributed to preferential remineralization of N-14 in PN by bacteria. In subsurface and deep layer, the delta N-15(PN) distributions also conformed to Rayleigh model and Steady State model during PN remineralization, with a fractionation factor of about 3.6% and 3.2%, respectively. It is the first time to estimate the fractionation factor during POM production and remineralization in the Prydz Bay and its adjacent areas. Such fractionation may provide a useful tool for the follow-up study of the nitrogen dynamics in the Southern Ocean.</t>
  </si>
  <si>
    <t>[Ren, Chunyan; Chen, Min; Zeng, Jian; Jia, Renming; Liu, Xiao; Zheng, Minfang; Qiu, Yusheng] Xiamen Univ, Coll Ocean &amp; Earth Sci, Xiamen 361005, Peoples R China; [Guo, Laodong] Univ Wisconsin Milwaukee, Sch Freshwater Sci, Milwaukee, WI 53204 USA</t>
  </si>
  <si>
    <t>Xiamen University; University of Wisconsin System; University of Wisconsin Milwaukee</t>
  </si>
  <si>
    <t>Chen, M (corresponding author), Xiamen Univ, Coll Ocean &amp; Earth Sci, Xiamen 361005, Peoples R China.</t>
  </si>
  <si>
    <t>mchen@xmu.edu.cn</t>
  </si>
  <si>
    <t>ma, qiang/HCI-1013-2022; Chen, Min/B-7763-2012; Guo, Laodong/F-6045-2010</t>
  </si>
  <si>
    <t>Chen, Min/0000-0003-0369-694X; Guo, Laodong/0000-0002-5010-1630</t>
  </si>
  <si>
    <t>10.1007/s13131-020-1698-6</t>
  </si>
  <si>
    <t>QB3PV</t>
  </si>
  <si>
    <t>WOS:000614054900005</t>
  </si>
  <si>
    <t>Liu, SY; Wu, TH; Wang, X; Wu, XD; Yao, XJ; Liu, Q; Zhang, Y; Wei, JF; Zhu, XF</t>
  </si>
  <si>
    <t>Liu, ShiYin; Wu, TongHua; Wang, Xin; Wu, XiaoDong; Yao, XiaoJun; Liu, Qiao; Zhang, Yong; Wei, JunFeng; Zhu, XiaoFan</t>
  </si>
  <si>
    <t>Changes in the global cryosphere and their impacts: A review and new perspective</t>
  </si>
  <si>
    <t>SCIENCES IN COLD AND ARID REGIONS</t>
  </si>
  <si>
    <t>cryospheric change; sea-level rise; water resources; climate change</t>
  </si>
  <si>
    <t>ARCTIC SEA-ICE; QINGHAI-TIBET PLATEAU; NORTHERN-HEMISPHERE; HIGH-RISK; LAKE ICE; PERMAFROST; SNOW; GLACIERS; CARBON; COVER</t>
  </si>
  <si>
    <t>As one of the five components of Earth's climatic system, the cryosphere has been undergoing rapid shrinking due to global warming. Studies on the formation, evolution, distribution and dynamics of cryospheric components and their interactions with the human system are of increasing importance to society. In recent decades, the mass loss of glaciers, including the Greenland and Antarctic ice sheets, has accelerated. The extent of sea ice and snow cover has been shrinking, and permafrost has been degrading. The main sustainable development goals in cryospheric regions have been impacted. The shrinking of the cryosphere results in sea-level rise, which is currently affecting, or is soon expected to affect, 17 coastal megacities and some small island countries. In East Asia, South Asia and North America, climate anomalies are closely related to the extent of Arctic sea ice and snow cover in the Northern Hemisphere. Increasing freshwater melting from the ice sheets and sea ice may be one reason for the slowdown in Atlantic meridional overturning circulation in the Arctic and Southern Oceans. The foundations of ports and infrastructure in the circum-Arctic permafrost regions suffer from the consequences of permafrost degradation. In high plateaus and mountainous regions, the cryosphere's shrinking has led to fluctuations in river runoff, caused water shortages and increased flooding risks in certain areas. These changes in cryospheric components have shown significant heterogeneity at different temporal and spatial scales. Our results suggest that the quantitative evaluation of future changes in the cryosphere still needs to be improved by enhancing existing observations and model simulations. Theoretical and methodological innovations are required to strengthen social economies' resilience to the impact of cryospheric change.</t>
  </si>
  <si>
    <t>[Liu, ShiYin] Yunnan Univ, Inst Int Rivers &amp; Ecosecur, Kunming 650500, Yunnan, Peoples R China; [Liu, ShiYin] Yunnan Univ, Yunnan Key Lab Int Rivers &amp; Transboundary Ecosecu, Kunming 650500, Yunnan, Peoples R China; [Liu, ShiYin; Wu, TongHua; Wu, XiaoDong; Zhu, XiaoFan] Chinese Acad Sci, Northwest Inst Ecoenvironm &amp; Resources, Cryosphere Res Stn, Qinghai Tibetan Planteau State Key Lab Cryospher, Lanzhou 730000, Gansu, Peoples R China; [Wang, Xin; Zhang, Yong; Wei, JunFeng] Hunan Univ Sci &amp; Technol, Sch Resource Environm &amp; Safety Engn, Xiangtan 411201, Hunan, Peoples R China; [Yao, XiaoJun] Northwest Normal Univ, Coll Geog &amp; Environm Sci, Lanzhou 730070, Gansu, Peoples R China; [Liu, Qiao] Chinese Acad Sci, Inst Mt Hazards &amp; Environm, Chengdu 610041, Sichuan, Peoples R China</t>
  </si>
  <si>
    <t>Yunnan University; Yunnan University; Chinese Academy of Sciences; Hunan University of Science &amp; Technology; Northwest Normal University - China; Chinese Academy of Sciences; Institute of Mountain Hazards &amp; Environment, CAS</t>
  </si>
  <si>
    <t>Liu, SY (corresponding author), Yunnan Univ, Kunming 650500, Yunnan, Peoples R China.</t>
  </si>
  <si>
    <t>shiyin.liu@ynu.edu.cn</t>
  </si>
  <si>
    <t>Wu, Tonghua/AAE-4563-2019; Liu, Shiyin/AAT-4278-2020; Wang, Yifan/KDO-8319-2024; Zhang, Yong/A-2152-2009</t>
  </si>
  <si>
    <t>Liu, Shiyin/0000-0002-9625-7497;</t>
  </si>
  <si>
    <t>Yunnan University [YJRC3201702]; National Natural Science Foundation of China [41761144075, 41690142, 41941015, 41771075, 41871096, 41671057, 41801052, 41561016, 41701061, 41861013]; Ministry of Science and Technology [2013FY111400]</t>
  </si>
  <si>
    <t>Yunnan University; National Natural Science Foundation of China(National Natural Science Foundation of China (NSFC)); Ministry of Science and Technology(Spanish Government)</t>
  </si>
  <si>
    <t>This research was supported by Yunnan University (YJRC3201702), the National Natural Science Foundation of China (Grant Nos. 41761144075, 41690142, 41941015, 41771075, 41871096, 41671057, 41801052, 41561016, 41701061, 41861013) and the Ministry of Science and Technology (2013FY111400).</t>
  </si>
  <si>
    <t>1674-3822</t>
  </si>
  <si>
    <t>SCI COLD ARID REG</t>
  </si>
  <si>
    <t>Sci. Cold Arid Reg.</t>
  </si>
  <si>
    <t>10.3724/SP.J.1226.2020.00343</t>
  </si>
  <si>
    <t>PT2VY</t>
  </si>
  <si>
    <t>WOS:000608477500003</t>
  </si>
  <si>
    <t>Dunham, CK; O'Donnell, JP; Stuart, GW; Brisbourne, AM; Rost, S; Jordan, TA; Nyblade, AA; Wiens, DA; Aster, RC</t>
  </si>
  <si>
    <t>Dunham, C. K.; O'Donnell, J. P.; Stuart, G. W.; Brisbourne, A. M.; Rost, S.; Jordan, T. A.; Nyblade, A. A.; Wiens, D. A.; Aster, R. C.</t>
  </si>
  <si>
    <t>A joint inversion of receiver function and Rayleigh wave phase velocity dispersion data to estimate crustal structure in West Antarctica</t>
  </si>
  <si>
    <t>Antarctica; Joint inversion; Crustal structure</t>
  </si>
  <si>
    <t>AMUNDSEN SEA EMBAYMENT; UPPER-MANTLE STRUCTURE; PINE ISLAND GLACIER; RUTFORD ICE STREAM; MARIE BYRD LAND; RIFT SYSTEM; ELLSWORTH MOUNTAINS; PALEOMAGNETIC DATA; CONTINENTAL-CRUST; THWAITES GLACIER</t>
  </si>
  <si>
    <t>We determine crustal shear wave velocity structure and crustal thickness at recently deployed seismic stations across West Antarctica, using a joint inversion of receiver functions and fundamental mode Rayleigh wave phase velocity dispersion. The stations are from both the UK Antarctic Network (UKANET) and Polar Earth Observing Network/Antarctic Network (POLENET/ANET). The former include, for the first time, four stations along the spine of the Antarctic Peninsula, three in the Ellsworth Land and five stations in the vicinity of the Pine Island Rift. Within the West Antarctic Rift System (WARS) we model a crustal thickness range of 18-28 km, and show that the thinnest crust (similar to 18 km) is in the vicinity of the Byrd Subglacial Basin and Bentley Subglacial Trench. In these regions we also find the highest ratio of fast (V-s = 4.0-4.3 km s(-1), likely mafic) lower crust to felsic/intermediate upper crust. The thickest mafic lower crust we model is in Ellsworth Land, a critical area for constraining the eastern limits of the WARS. Although we find thinner crust in this region (similar to 30 km) than in the neighbouring Antarctic Peninsula and Haag-Ellsworth Whitmore block (HEW), the Ellsworth Land crust has not undergone as much extension as the central WARS. This suggests that the WARS does not link with the Weddell Sea Rift System through Ellsworth Land, and instead has progressed during its formation towards the Bellingshausen and Amundsen Sea Embayments. We also find that the thin WARS crust extends towards the Pine Island Rift, suggesting that the boundary between the WARS and the Thurston Island block lies in this region, similar to 200 km north of its previously accepted position. The thickest crust (38-40 km) we model in this study is in the Ellsworth Mountain section of the HEW block. We find thinner crust (30-33 km) in the Whitmore Mountains and Haag Nunatak sectors of the HEW, consistent with the composite nature of the block. In the Antarctic Peninsula we find a crustal thickness range of 30-38 km and a likely dominantly felsic/intermediate crustal composition. By forward modelling high frequency receiver functions we also assess if any thick, low velocity subglacial sediment accumulations are present, and find a 0.1-0.8-km-thick layer at 10 stations within the WARS, Thurston Island and Ellsworth Land. We suggest that these units of subglacial sediment could provide a source region for the soft basal till layers found beneath numerous outlet glaciers, and may act to accelerate ice flow.</t>
  </si>
  <si>
    <t>[Dunham, C. K.; O'Donnell, J. P.; Stuart, G. W.; Rost, S.] Univ Leeds, Sch Earth &amp; Environm, Leeds LS29JT, W Yorkshire, England; [Brisbourne, A. M.; Jordan, T. A.] Natl Environm Res Counci, British Antarctic Survey, Cambridge CB30ET, England; [Nyblade, A. A.] Penn State Univ, Dept Geosci, University Pk, PA 16802 USA; [Wiens, D. A.] Washington Univ, Dept Earth &amp; Planetary Sci, St Louis, MO 63160 USA; [Aster, R. C.] Colorado State Univ, Dept Geosci, Ft Collins, CO 80523 USA</t>
  </si>
  <si>
    <t>University of Leeds; UK Research &amp; Innovation (UKRI); Natural Environment Research Council (NERC); NERC British Antarctic Survey; Pennsylvania Commonwealth System of Higher Education (PCSHE); Pennsylvania State University; Pennsylvania State University - University Park; Washington University (WUSTL); Colorado State University</t>
  </si>
  <si>
    <t>Dunham, CK (corresponding author), Univ Leeds, Sch Earth &amp; Environm, Leeds LS29JT, W Yorkshire, England.</t>
  </si>
  <si>
    <t>c.k.dunham@leeds.ac.uk</t>
  </si>
  <si>
    <t>Rost, Sebastian/GOH-2868-2022; Aster, Richard/E-5067-2013; Facility, NERC Geophysical Equipment/G-5260-2010; Brisbourne, Alex/E-6198-2013; Wiens, Douglas/J-9259-2016</t>
  </si>
  <si>
    <t>Aster, Richard/0000-0002-0821-4906; Rost, Sebastian/0000-0003-0218-247X; Wiens, Douglas/0000-0002-5169-4386; O'Donnell, John Paul/0000-0003-1524-2312</t>
  </si>
  <si>
    <t>Natural Environment Research Council [NE/L006065/1]; National Science Foundation Office of Polar Programs [0632230, 0632239, 0652322, 0632335, 0632136, 0632209, 0632185]; SEIS-UK; Incorporated Research Institutions for Seismology (IRIS) through the PASSCAL Instrument Center; NSF [EAR1063471]; NSF Office of Polar Programs; DOE National Nuclear Security Administration; Directorate For Geosciences; Office of Polar Programs (OPP) [0632335, 0632209] Funding Source: National Science Foundation; Office of Polar Programs (OPP); Directorate For Geosciences [0632136, 0632185] Funding Source: National Science Foundation; NERC [bas0100034, bas0100029, NE/L006294/1, NE/L006065/1] Funding Source: UKRI</t>
  </si>
  <si>
    <t>Natural Environment Research Council(UK Research &amp; Innovation (UKRI)Natural Environment Research Council (NERC)); National Science Foundation Office of Polar Programs(National Science Foundation (NSF)NSF - Directorate for Geosciences (GEO)); SEIS-UK; Incorporated Research Institutions for Seismology (IRIS) through the PASSCAL Instrument Center; NSF(National Science Foundation (NSF)); NSF Office of Polar Programs(National Science Foundation (NSF)); DOE National Nuclear Security Administration(National Nuclear Security AdministrationUnited States Department of Energy (DOE)); Directorate For Geosciences; Office of Polar Programs (OPP)(National Science Foundation (NSF)NSF - Directorate for Geosciences (GEO)); Office of Polar Programs (OPP); Directorate For Geosciences(National Science Foundation (NSF)NSF - Directorate for Geosciences (GEO)); NERC(UK Research &amp; Innovation (UKRI)Natural Environment Research Council (NERC))</t>
  </si>
  <si>
    <t>We would like to thank both reviewers and the editor for their constructive comments on our manuscript. We thank all BAS camp staff, field guides and air unit personnel for the logistical support of the UKANET seismic and GNSS networks. We similarly acknowledge all academic members, field teams and camp staff associated with the POLENET/ANET project and thank Kenn Borek Air and the New York Air Guard for flight support. CKD and JPOD are supported by the Natural Environment Research Council [grant NE/L006065/1]. POLENET/ANET is supported by the National Science Foundation Office of Polar Programs [grants 0632230, 0632239, 0652322, 0632335, 0632136, 0632209, and 0632185]. UKANET seismic instrumentation was provided and supported by SEIS-UK. POLENET/ANET seismic instrumentation was provided and supported by the Incorporated Research Institutions for Seismology (IRIS) through the PASSCAL Instrument Center. The UKANET (www.ukanet.wixsite.com/ukanet; network code 1D; ht tps://doi.org/10.7914/SN/1D 2016) data will be accessible through the IRIS Data Management Center (http://www.iris.edu/mda) from January 2021. POLENET/ANET (network code YT), seismic data can be accessed through the IRIS DMC. The facilities of the IRIS Consortium are supported by the NSF under cooperative agreement EAR1063471, the NSF Office of Polar Programs, and the DOE National Nuclear Security Administration. We would also like to thank Joe Cann for helpful comments on the paper. Figures were created using the Generic Mapping Tools (GMT) software (Wessel &amp; Smith 1998).</t>
  </si>
  <si>
    <t>10.1093/gji/ggaa398</t>
  </si>
  <si>
    <t>PP6PJ</t>
  </si>
  <si>
    <t>Green Accepted, Bronze</t>
  </si>
  <si>
    <t>WOS:000605982100012</t>
  </si>
  <si>
    <t>McClintock, JB; Amsler, CD; Baker, BJ; Moran, AL; Woods, HA</t>
  </si>
  <si>
    <t>McClintock, James B.; Amsler, Charles D.; Baker, Bill J.; Moran, Amy L.; Woods, H. Arthur</t>
  </si>
  <si>
    <t>Introduction to the Symposium: New Frontiers in Antarctic Marine Biology INTRODUCTION</t>
  </si>
  <si>
    <t>INTEGRATIVE AND COMPARATIVE BIOLOGY</t>
  </si>
  <si>
    <t>CLIMATE-CHANGE; RESPONSES</t>
  </si>
  <si>
    <t>Antarctica's erose coastline, where the ebullient cold sea blooms around the clock and, for a season, flourishes, taught me of life's voluptuous capacity to prosper just about anywhere.</t>
  </si>
  <si>
    <t>[McClintock, James B.; Amsler, Charles D.] Univ Alabama Birmingham, Dept Biol, Birmingham, AL 35294 USA; [Baker, Bill J.] Univ S Florida, Dept Chem, Tampa, FL 33620 USA; [Moran, Amy L.] Univ Hawaii Manoa, Sch Life Sci, Honolulu, HI 96822 USA; [Woods, H. Arthur] Univ Montana, Div Biol Sci, Missoula, MT 59812 USA</t>
  </si>
  <si>
    <t>University of Alabama System; University of Alabama Birmingham; State University System of Florida; University of South Florida; University of Hawaii System; University of Hawaii Manoa; University of Montana System; University of Montana</t>
  </si>
  <si>
    <t>McClintock, JB (corresponding author), Univ Alabama Birmingham, Dept Biol, Birmingham, AL 35294 USA.</t>
  </si>
  <si>
    <t>mcclinto@uab.edu</t>
  </si>
  <si>
    <t>Baker, Bill/N-4312-2019</t>
  </si>
  <si>
    <t>Office of Polar Programs at NSF [ANT-1925160]</t>
  </si>
  <si>
    <t>Office of Polar Programs at NSF</t>
  </si>
  <si>
    <t>As with the three previous symposia on Antarctic Marine Biology hosted by SICB, we enthusiastically thank the Office of Polar Programs at NSF for their generous support (ANT-1925160).</t>
  </si>
  <si>
    <t>1540-7063</t>
  </si>
  <si>
    <t>1557-7023</t>
  </si>
  <si>
    <t>INTEGR COMP BIOL</t>
  </si>
  <si>
    <t>Integr. Comp. Biol.</t>
  </si>
  <si>
    <t>10.1093/icb/icaa135</t>
  </si>
  <si>
    <t>PQ7EO</t>
  </si>
  <si>
    <t>WOS:000606706200003</t>
  </si>
  <si>
    <t>Heiser, S; Amsler, CD; McClintock, JB; Shilling, AJ; Baker, BJ</t>
  </si>
  <si>
    <t>Heiser, Sabrina; Amsler, Charles D.; McClintock, James B.; Shilling, Andrew J.; Baker, Bill J.</t>
  </si>
  <si>
    <t>Every Rule Has an Exception: a Cheater in the Community-Wide Mutualism in Antarctic Seaweed Forests</t>
  </si>
  <si>
    <t>PLOCAMIUM-CARTILAGINEUM; POLYHALOGENATED MONOTERPENES; SUBTIDAL MACROALGAE; ENDOPHYTE PRESENCE; AMPHIPODS; PENINSULA; PALATABILITY; DIVERSITY; GROWTH; ALGAE</t>
  </si>
  <si>
    <t>Dense macroalgal forests on the Western Antarctic Peninsula serve important ecological roles both in terms of considerable biomass for primary production as well as in being ecosystem engineers. Their function within the Antarctic ecosystem has been described as a crucial member of a community-wide mutualism which benefits macroalgal species and dense assemblages of associated amphipod grazers. However, there is a cheater within the system that can feed on one of the most highly chemically defended macroalgal hosts. The amphipod Paradexamine fissicauda has been found to readily consume the finely branched red macroalga Plocamium cartilagineum. This amphipod grazer not only feeds on its host, but also appears to sequester its host's chemical defenses for its own utilization. This review summarizes what we know about both of these exceptions to the community-wide mutualism.</t>
  </si>
  <si>
    <t>[Heiser, Sabrina; Amsler, Charles D.; McClintock, James B.] Univ Alabama Birmingham, Dept Biol, 1300 Univ Blvd,CH 464, Birmingham, AL 35294 USA; [Shilling, Andrew J.; Baker, Bill J.] Univ S Florida, Dept Chem, 4202 E Fowler Ave,CHE 205, Tampa, FL 33620 USA</t>
  </si>
  <si>
    <t>University of Alabama System; University of Alabama Birmingham; State University System of Florida; University of South Florida</t>
  </si>
  <si>
    <t>Heiser, S (corresponding author), Univ Alabama Birmingham, Dept Biol, 1300 Univ Blvd,CH 464, Birmingham, AL 35294 USA.</t>
  </si>
  <si>
    <t>heiser@uab.edu</t>
  </si>
  <si>
    <t>Baker, Bill/N-4312-2019; Heiser, Sabrina/HJH-9098-2023</t>
  </si>
  <si>
    <t>Heiser, Sabrina/0000-0003-3307-3233</t>
  </si>
  <si>
    <t>National Science Foundation Antarctic Organisms and Ecosystems Program [PLR-1341333, PLR-1341339]; Endowed Professorship in Polar and Marine Biology from the University of Alabama at Birmingham</t>
  </si>
  <si>
    <t>National Science Foundation Antarctic Organisms and Ecosystems Program(National Science Foundation (NSF)NSF - Directorate for Geosciences (GEO)); Endowed Professorship in Polar and Marine Biology from the University of Alabama at Birmingham</t>
  </si>
  <si>
    <t>This work was supported, for many years, by the National Science Foundation Antarctic Organisms and Ecosystems Program [most recently by awards PLR-1341333 to C.D.A. and J.B.M.; and PLR1341339 to B.J.B.]. J.B.M. wishes to acknowledge the support of an Endowed Professorship in Polar and Marine Biology from the University of Alabama at Birmingham.</t>
  </si>
  <si>
    <t>10.1093/icb/icaa058</t>
  </si>
  <si>
    <t>WOS:000606706200004</t>
  </si>
  <si>
    <t>Ziegler, AF; Hahn-Woernle, L; Powell, B; Smith, CR</t>
  </si>
  <si>
    <t>Ziegler, Amanda F.; Hahn-Woernle, Lisa; Powell, Brian; Smith, Craig R.</t>
  </si>
  <si>
    <t>Larval Dispersal Modeling Suggests Limited Ecological Connectivity Between Fjords on the West Antarctic Peninsula</t>
  </si>
  <si>
    <t>CRINOID PROMACHOCRINUS-KERGUELENSIS; MARINE INVERTEBRATE LARVAE; REPRODUCTIVE-BIOLOGY; POPULATION-STRUCTURE; PARTICLE-TRACKING; GENETIC-STRUCTURE; DYNAMIC-MODELS; LIFE-HISTORIES; OCEAN BARRIERS; SIBLING LARVAE</t>
  </si>
  <si>
    <t>Larval dispersal is a key process for community assembly and population maintenance in the marine environment, yet it is extremely difficult to measure at ecologically relevant spatio-temporal scales. We used a high-resolution hydrodynamic model and particle-tracking model to explore the dispersal of simulated larvae in a hydrographically complex region of fjords on the West Antarctic Peninsula. Modeled larvae represented two end members of dispersal potential observed in Antarctic benthos resulting from differing developmental periods and swimming behavior. For simulations of low dispersing larvae (pre-competency period = 8 days, settlement period = 15 days, swimming downward) self-recruitment within fjords was important, with no larval settlement occurring in adjacent fjords &lt;50 km apart. For simulations of highly dispersing organisms (pre-competency period = 35-120 days, settlement period = 30-115 days, no swimming behavior), dispersal between fjords occurred when larvae were in the water column for at least 35 days, but settlement was rarely successful even for larvae spending up to 150 days in the plankton. The lack of ecological connectivity between fjords within a single spawning event suggests that these fjords harbor ecologically distinct populations in which self-recruitment may maintain populations, and genetic connectivity between fjords is likely achieved through stepping-stone dispersal. Export of larvae from natal fjord populations to the broader shelf region (&gt;100 km distance) occurred within surface layers (&lt;100 m depth) and was enhanced by episodic katabatic wind events that may be common in glaciomarine fjords worldwide.</t>
  </si>
  <si>
    <t>[Ziegler, Amanda F.; Hahn-Woernle, Lisa; Powell, Brian; Smith, Craig R.] Univ Hawaii Manoa, Dept Oceanog, Honolulu, HI 96822 USA</t>
  </si>
  <si>
    <t>University of Hawaii System; University of Hawaii Manoa</t>
  </si>
  <si>
    <t>Ziegler, AF (corresponding author), Univ Hawaii Manoa, Dept Oceanog, Honolulu, HI 96822 USA.</t>
  </si>
  <si>
    <t>ziegler8@hawaii.edu</t>
  </si>
  <si>
    <t>Hahn-Woernle, Lisa/0000-0002-5945-589X; Ziegler, Amanda/0000-0002-9027-5766</t>
  </si>
  <si>
    <t>National Science Foundation [OPP 1443680]</t>
  </si>
  <si>
    <t>Funding for this research was provided by the National Science Foundation under grant OPP 1443680 to C.R.S.</t>
  </si>
  <si>
    <t>10.1093/icb/icaa094</t>
  </si>
  <si>
    <t>WOS:000606706200005</t>
  </si>
  <si>
    <t>Conroy, JA; Reiss, CS; Gleiber, MR; Steinberg, DK</t>
  </si>
  <si>
    <t>Conroy, John A.; Reiss, Christian S.; Gleiber, Miram R.; Steinberg, Deborah K.</t>
  </si>
  <si>
    <t>Linking Antarctic krill larval supply and recruitment along the Antarctic Peninsula</t>
  </si>
  <si>
    <t>EUPHAUSIA-SUPERBA DANA; CLIMATE-CHANGE; MODEL SELECTION; INTERANNUAL VARIABILITY; TEMPORAL VARIABILITY; MULTIMODEL INFERENCE; BEHAVIORAL ECOLOGY; SOUTH GEORGIA; SEA-ICE; WEST</t>
  </si>
  <si>
    <t>Antarctic krill (Euphausia superba) larval production and overwinter survival drive recruitment variability, which in turn determines abundance trends. The Antarctic Peninsula has been described as a recruitment hot spot and as a potentially important source region for larval and juvenile krill dispersal. However, there has been no analysis to spatially resolve regional-scale krill population dynamics across life stages. We assessed spatiotemporal patterns in krill demography using two decades of austral summer data collected along the North and West Antarctic Peninsula since 1993. We identified persistent spatial segregation in the summer distribution of euphausiid larvae (E. superba plus other species), which were concentrated in oceanic waters along the continental slope, and E. superba recruits, which were concentrated in shelf and coastal waters. Mature females of E. superba were more abundant over the continental shelf than the slope or coast. Euphausiid larval abundance was relatively localized and weakly correlated between the North and West Antarctic Peninsula, while E. superba recruitment was generally synchronized throughout the entire region. Euphausiid larval abundance along the West Antarctic Peninsula slope explained E. superba recruitment in shelf and coastal waters the next year. Given the localized nature of krill productivity, it is critical to evaluate the connectivity between upstream and downstream areas of the Antarctic Peninsula and beyond. Krill fishery catch distributions and population projections in the context of a changing climate should account for ontogenetic habitat partitioning, regional population connectivity, and highly variable recruitment.</t>
  </si>
  <si>
    <t>[Conroy, John A.; Gleiber, Miram R.; Steinberg, Deborah K.] Virginia Inst Marine Sci, William &amp; Mary, Gloucester Point, VA 23062 USA; [Reiss, Christian S.] NOAA, Antarctic Ecosyst Res Div, Southwest Fisheries Sci Ctr, La Jolla, CA USA; [Gleiber, Miram R.] Oregon State Univ, Hatfield Marine Sci Ctr, Dept Integrat Biol, Newport, OR USA</t>
  </si>
  <si>
    <t>William &amp; Mary; Virginia Institute of Marine Science; National Oceanic Atmospheric Admin (NOAA) - USA; Oregon State University</t>
  </si>
  <si>
    <t>Conroy, JA (corresponding author), Virginia Inst Marine Sci, William &amp; Mary, Gloucester Point, VA 23062 USA.</t>
  </si>
  <si>
    <t>jaconroy@vims.edu</t>
  </si>
  <si>
    <t>Conroy, Jack/0000-0001-6559-8240; Gleiber, Miram/0000-0003-2580-5887; Steinberg, Deborah K./0000-0001-9884-4655</t>
  </si>
  <si>
    <t>National Science Foundation Antarctic Organisms and Ecosystems Program [PLR-1440435]; Commission for the Conservation of Antarctic Marine Living Resources</t>
  </si>
  <si>
    <t>National Science Foundation Antarctic Organisms and Ecosystems Program(National Science Foundation (NSF)NSF - Directorate for Geosciences (GEO)); Commission for the Conservation of Antarctic Marine Living Resources</t>
  </si>
  <si>
    <t>This work was supported by the National Science Foundation Antarctic Organisms and Ecosystems Program (PLR-1440435). The Commission for the Conservation of Antarctic Marine Living Resources funded J.A.C.'s attendance of the 2019 SCAR Krill Action Group meeting where the idea for this manuscript was conceived.</t>
  </si>
  <si>
    <t>10.1093/icb/icaa111</t>
  </si>
  <si>
    <t>WOS:000606706200006</t>
  </si>
  <si>
    <t>Weitzner, EL; Fanter, CE; Hindle, AG</t>
  </si>
  <si>
    <t>Weitzner, Emma L.; Fanter, Cornelia E.; Hindle, Allyson G.</t>
  </si>
  <si>
    <t>Pinniped Ontogeny as a Window into the Comparative Physiology and Genomics of Hypoxia Tolerance</t>
  </si>
  <si>
    <t>BODY OXYGEN STORES; SEALS HALICHOERUS-GRYPUS; NORTHERN ELEPHANT SEALS; AEROBIC DIVE LIMITS; HARBOR SEALS; WEDDELL SEALS; SKELETAL-MUSCLES; DIVING CAPACITY; HEART-RATE; HATCHLING TURTLES</t>
  </si>
  <si>
    <t>Diving physiology has received considerable scientific attention as it is a central element of the extreme phenotype of marine mammals. Many scientific discoveries have illuminated physiological mechanisms supporting diving, such as massive, internally bound oxygen stores and dramatic cardiovascular regulation. However, the cellular and molecular mechanisms that support the diving phenotype remain mostly unexplored as logistic and legal restrictions limit the extent of scientific manipulation possible. With next-generation sequencing (NGS) tools becoming more widespread and cost-effective, there are new opportunities to explore the diving phenotype. Genomic investigations come with their own challenges, particularly those including cross-species comparisons. Studying the regulatory pathways that underlie diving mammal ontogeny could provide a window into the comparative physiology of hypoxia tolerance. Specifically, in pinnipeds, which shift from terrestrial pups to elite diving adults, there is potential to characterize the transcriptional, epigenetic, and post-translational differences between contrasting phenotypes while leveraging a common genome. Here we review the current literature detailing the maturation of the diving phenotype in pinnipeds, which has primarily been explored via biomarkers of metabolic capability including antioxidants, muscle fiber typing, and key aerobic and anaerobic metabolic enzymes. We also discuss how NGS tools have been leveraged to study phenotypic shifts within species through ontogeny, and how this approach may be applied to investigate the biochemical and physiological mechanisms that develop as pups become elite diving adults. We conclude with a specific example of the Antarctic Weddell seal by overlapping protein biomarkers with gene regulatory microRNA datasets.</t>
  </si>
  <si>
    <t>[Weitzner, Emma L.; Fanter, Cornelia E.; Hindle, Allyson G.] Univ Nevada, Sch Life Sci, Las Vegas, NV 89154 USA</t>
  </si>
  <si>
    <t>Nevada System of Higher Education (NSHE); University of Nevada Las Vegas</t>
  </si>
  <si>
    <t>Hindle, AG (corresponding author), Univ Nevada, Sch Life Sci, Las Vegas, NV 89154 USA.</t>
  </si>
  <si>
    <t>allyson.hindle@unlv.edu</t>
  </si>
  <si>
    <t>Hindle, Allyson/0000-0002-1983-9573; Weitzner, Emma/0000-0002-6871-3678</t>
  </si>
  <si>
    <t>10.1093/icb/icaa083</t>
  </si>
  <si>
    <t>WOS:000606706200008</t>
  </si>
  <si>
    <t>Todgham, AE; Mandic, M</t>
  </si>
  <si>
    <t>Todgham, Anne E.; Mandic, Milica</t>
  </si>
  <si>
    <t>Understanding the Metabolic Capacity of Antarctic Fishes to Acclimate to Future Ocean Conditions</t>
  </si>
  <si>
    <t>ELEVATED-TEMPERATURE; NOTOTHENIOID FISHES; PHYSIOLOGICAL-RESPONSES; MITOCHONDRIAL-FUNCTION; THERMAL-ACCLIMATION; TOLERANCE; OXYGEN; ACIDIFICATION; STRESSORS; ECOPHYSIOLOGY</t>
  </si>
  <si>
    <t>Antarctic fishes have evolved under stable, extreme cold temperatures for millions of years. Adapted to thrive in the cold environment, their specialized phenotypes will likely render them particularly susceptible to future ocean warming and acidification as a result of climate change. Moving from a period of stability to one of environmental change, species persistence will depend on maintaining energetic equilibrium, or sustaining the increased energy demand without compromising important biological functions such as growth and reproduction. Metabolic capacity to acclimate, marked by a return to metabolic equilibrium through physiological compensation of routine metabolic rate (RMR), will likely determine which species will be better poised to cope with shifts in environmental conditions. Focusing on the suborder Notothenioidei, a dominant group of Antarctic fishes, and in particular four well studied species, Trematomus bernacchii, Pagothenia borchgrevinki, Notothenia rossii, and N. coriiceps, we discuss metabolic acclimation potential to warming and CO2-acidification using an integrative and comparative framework. There are species-specific differences in the physiological compensation of RMR during warming and the duration of acclimation time required to achieve compensation; for some species, RMR fully recovered within 3.5 weeks of exposure, such as P. borchgrevinki, while for other species, such as N. coriiceps, RMR remained significantly elevated past 9 weeks of exposure. In all instances, added exposure to increased PCO2, further compromised the ability of species to return RMR to pre-exposure levels. The period of metabolic imbalance, marked by elevated RMR, was underlined by energetic disturbance and elevated energetic costs, which shifted energy away from fitness-related functions, such as growth. In T. bernacchii and N. coriiceps, long duration of elevated RMR impacted condition factor and/or growth rate. Low growth rate can affect development and ultimately the timing of reproduction, severely compromising the species' survival potential and the biodiversity of the notothenioid lineage. Therefore, the ability to achieve full compensation of RMR, and in a short-time frame, in order to avoid long term consequences of metabolic imbalance, will likely be an important determinant in a species' capacity to persist in a changing environment. Much work is still required to develop our understanding of the bioenergetics of Antarctic fishes in the face of environmental change, and a targeted approach of nesting a mechanistic focus in an ecological and comparative framework will better aid our predictions on the effect of global climate change on species persistence in the polar regions.</t>
  </si>
  <si>
    <t>[Todgham, Anne E.; Mandic, Milica] Univ Calif Davis, Dept Anim Sci, Davis, CA 95616 USA</t>
  </si>
  <si>
    <t>University of California System; University of California Davis</t>
  </si>
  <si>
    <t>Todgham, AE (corresponding author), Univ Calif Davis, Dept Anim Sci, Davis, CA 95616 USA.</t>
  </si>
  <si>
    <t>todgham@ucdavis.edu</t>
  </si>
  <si>
    <t>National Science Foundation [NSF ANT-1142122, ANT-1744999]; University of California Agricultural Experiment Station [CA-D-ASC-2252-H]</t>
  </si>
  <si>
    <t>National Science Foundation(National Science Foundation (NSF)); University of California Agricultural Experiment Station(University of California System)</t>
  </si>
  <si>
    <t>This work was supported by the National Science Foundation [NSF ANT-1142122 and ANT-1744999 to AET] and the University of California Agricultural Experiment Station [grant CA-D-ASC-2252-H to A.E.T.].</t>
  </si>
  <si>
    <t>10.1093/icb/icaa121</t>
  </si>
  <si>
    <t>WOS:000606706200009</t>
  </si>
  <si>
    <t>Hobday, AJ; Robinson, C; Murphy, EJ; Newton, A; Glaser, M; Brodie, S</t>
  </si>
  <si>
    <t>Hobday, Alistair J.; Robinson, Carol; Murphy, Eugene J.; Newton, Alice; Glaser, Marion; Brodie, Stephanie</t>
  </si>
  <si>
    <t>Fostering Global Science Networks in a Post-COVID-19 World COMMENT</t>
  </si>
  <si>
    <t>OCEANOGRAPHY</t>
  </si>
  <si>
    <t>COVID-19</t>
  </si>
  <si>
    <t>[Hobday, Alistair J.] CSIRO Oceans &amp; Atmosphere, Hobart, Tas, Australia; [Robinson, Carol] Univ East Anglia, Sch Environm Sci, Ctr Ocean &amp; Atmospher Sci, Marine Sci, Norwich, Norfolk, England; [Murphy, Eugene J.] British Antarctic Survey, Ecosyst Programme, Cambridge, England; [Newton, Alice] Univ Algarve, Marine &amp; Environm Res Ctr CIMA, Faro, Portugal; [Glaser, Marion] Leibniz Ctr Trop Marine Res ZMT, Bremen, Germany; [Brodie, Stephanie] Univ Calif Santa Cruz, Inst Marine Sci, Santa Cruz, CA 95064 USA</t>
  </si>
  <si>
    <t>Commonwealth Scientific &amp; Industrial Research Organisation (CSIRO); University of East Anglia; UK Research &amp; Innovation (UKRI); Natural Environment Research Council (NERC); NERC British Antarctic Survey; Universidade do Algarve; Leibniz Zentrum fur Marine Tropenforschung (ZMT); University of California System; University of California Santa Cruz</t>
  </si>
  <si>
    <t>Hobday, AJ (corresponding author), CSIRO Oceans &amp; Atmosphere, Hobart, Tas, Australia.</t>
  </si>
  <si>
    <t>alistair.hobday@csiro.au</t>
  </si>
  <si>
    <t>Robinson, Carol/F-7649-2011; Hobday, Alistair/A-1460-2012; Newton, Alice/AAL-7152-2021; Robinson, Carol/AAW-1857-2021; murphy, eugene/GZL-1620-2022</t>
  </si>
  <si>
    <t>Robinson, Carol/0000-0003-3033-4565; Newton, Alice/0000-0001-9286-5914; Robinson, Carol/0000-0003-3033-4565; Brodie, Stephanie/0000-0003-0869-9939</t>
  </si>
  <si>
    <t>OCEANOGRAPHY SOC</t>
  </si>
  <si>
    <t>ROCKVILLE</t>
  </si>
  <si>
    <t>P.O. BOX 1931, ROCKVILLE, MD USA</t>
  </si>
  <si>
    <t>1042-8275</t>
  </si>
  <si>
    <t>10.5670/oceanog.2020.414</t>
  </si>
  <si>
    <t>PQ1QD</t>
  </si>
  <si>
    <t>WOS:000606322400002</t>
  </si>
  <si>
    <t>Song, SJ; Lee, SK; Lee, JS; Khim, JS</t>
  </si>
  <si>
    <t>Song, Sung Joon; Lee, Sang-Kyu; Lee, Jung-Suk; Khim, Jong Seong</t>
  </si>
  <si>
    <t>A NEW SPECIES OF XOUTHOUS THOMSON (COPEPODA: HARPACTICOIDA: PSEUDOTACHIDIIDAE), WIDELY DISTRIBUTED IN THE KOREAN WATERS</t>
  </si>
  <si>
    <t>ANNALES ZOOLOGICI</t>
  </si>
  <si>
    <t>Biodiversity; Pseudotachidiinae; meiofauna; taxonomy; Pacific</t>
  </si>
  <si>
    <t>LANG; KEYS</t>
  </si>
  <si>
    <t>A new species of the genus Xouthous Thomson, 1883, previously known as Idomene, obtained from the 1995-2015 collections, from the coasts of the Korean Peninsula, is described and illustrated. To date 16 valid species of the genus including X. yeonghooni sp. nov. presented herein, have been reported from the Antarctic, Atlantic, Indian, and Pacific oceans. The new species can be easily distinguished from its congeners by the combination of the following characters: 7-segmented female antennule; antenna with 2 exopodal segments; mandibular exopod with 2 lateral strong spines and 4 distal plumose setae; exp-3 of P2-P4 with 2 strong pectinate spines; and P5 baseoendopod with truncate margin, and spatulate and parallel-sided setae. In addition to the description of the new species from Korea, comparisons to 5 closely related congeners (palisade group) from the Indian Ocean are also included. Finally, a mini-review on the global distribution of the genus, with a taxonomic revisit to X. laticaudatus sensu Kim (2014), is provided. The new species described herein is the first record of Xouthous from East Asia.</t>
  </si>
  <si>
    <t>[Song, Sung Joon; Khim, Jong Seong] Seoul Natl Univ, Sch Earth &amp; Environm Sci, Seoul 08826, South Korea; [Song, Sung Joon; Khim, Jong Seong] Seoul Natl Univ, Res Inst Oceanog, Seoul 08826, South Korea; [Lee, Sang-Kyu] Korea Natl Pk Serv, Natl Pk Res Inst, Marine Res Ctr, Yeosu 59769, South Korea; [Lee, Jung-Suk] NeoEnBiz Co, Inst Environm Protect &amp; Safety, Dodang Dong 187-7, Bucheon 14523, South Korea</t>
  </si>
  <si>
    <t>Khim, JS (corresponding author), Seoul Natl Univ, Sch Earth &amp; Environm Sci, Seoul 08826, South Korea.;Khim, JS (corresponding author), Seoul Natl Univ, Res Inst Oceanog, Seoul 08826, South Korea.</t>
  </si>
  <si>
    <t>sungjoons@gmail.com; bio249@gmail.com; neoenbiz@gmail.com; jskocean@snu.ac.kr</t>
  </si>
  <si>
    <t>Khim, Jong Seong/0000-0001-7977-0929; Lee, Sang-kyu/0000-0003-3450-3389; Song, Sung Joon/0000-0001-6177-2723</t>
  </si>
  <si>
    <t>Discovery of Korean Indigenous Species Project, National Institute of Biological Resources; National Research Foundation of Korea (NRF) - South Korean government [NRF-2017R1E1A1A01075067]</t>
  </si>
  <si>
    <t>Discovery of Korean Indigenous Species Project, National Institute of Biological Resources; National Research Foundation of Korea (NRF) - South Korean government</t>
  </si>
  <si>
    <t>This research was supported by Discovery of Korean Indigenous Species Project, National Institute of Biological Resources. This work was also supported by National Research Foundation of Korea (NRF) grants funded by the South Korean government [grant number NRF-2017R1E1A1A01075067]. Finally, we appreciate two reviewers (Kai Horst George and Maria Holynska) for their kind and critical comments and suggestions given to the present manuscript.</t>
  </si>
  <si>
    <t>MUSEUM &amp; INST ZOOLOGY PAS-POLISH ACAD SCIENCES</t>
  </si>
  <si>
    <t>WILCZA STREET 64, 00-679 WARSAW, POLAND</t>
  </si>
  <si>
    <t>0003-4541</t>
  </si>
  <si>
    <t>1734-1833</t>
  </si>
  <si>
    <t>ANN ZOOL</t>
  </si>
  <si>
    <t>Ann. Zool.</t>
  </si>
  <si>
    <t>10.3161/00034541ANZ2020.70.4.003</t>
  </si>
  <si>
    <t>PR1LF</t>
  </si>
  <si>
    <t>WOS:000607003300003</t>
  </si>
  <si>
    <t>Chiang, HC; Dyson, T; Egan, E; Eyono, S; Ghazi, N; Hickish, J; Jáuregui-Garcia, JM; Manukha, V; Ménard, T; Moso, T; Peterson, J; Philip, L; Sievers, JL; Tartakovsky, S</t>
  </si>
  <si>
    <t>Chiang, H. C.; Dyson, T.; Egan, E.; Eyono, S.; Ghazi, N.; Hickish, J.; Jauregui-Garcia, J. M.; Manukha, V.; Menard, T.; Moso, T.; Peterson, J.; Philip, L.; Sievers, J. L.; Tartakovsky, S.</t>
  </si>
  <si>
    <t>The Array of Long Baseline Antennas for Taking Radio Observations from the Sub-Antarctic</t>
  </si>
  <si>
    <t>JOURNAL OF ASTRONOMICAL INSTRUMENTATION</t>
  </si>
  <si>
    <t>Cosmology; observations; dark ages; instrumentation; interferometers</t>
  </si>
  <si>
    <t>10 MHZ; EMISSION; SPECTRUM; ATOMS; MODEL</t>
  </si>
  <si>
    <t>Measurements of redshifted 21 cm emission of neutral hydrogen at.30MHz have the potential to probe the cosmic dark ages, a period of the universe's history that remains unobserved to date. Observations at these frequencies are exceptionally challenging because of bright Galactic foregrounds, ionospheric contamination, and terrestrial radio-frequency interference. Very few sky maps exist at.30 MHz, and most have modest resolution. We introduce the Array of Long Baseline Antennas for Taking Radio Observations from the Sub-Antarctic (ALBATROS), a new experiment that aims to image low-frequency Galactic emission with an order-of-magnitude improvement in resolution over existing data. The ALBATROS array will consist of antenna stations that operate autonomously, each recording baseband data that will be interferometrically combined offline. The array will be installed on Marion Island and will ultimately comprise 10 stations, with an operating frequency range of 1.2-125MHz and maximum baseline lengths of similar to 20 km. We present the ALBATROS instrument design and discuss pathfinder observations that were taken from Marion Island during 2018-2019.</t>
  </si>
  <si>
    <t>[Chiang, H. C.; Dyson, T.; Egan, E.; Menard, T.; Sievers, J. L.; Tartakovsky, S.] McGill Univ, Dept Phys, Montreal, PQ H3A 2T8, Canada; [Chiang, H. C.; Eyono, S.; Ghazi, N.; Moso, T.] Univ KwaZulu Natal, Sch Math Stat &amp; Comp Sci, ZA-4000 Durban, South Africa; [Hickish, J.] Univ Calif Berkeley, Dept Astron, 601 Campbell Hall, Berkeley, CA 94720 USA; [Jauregui-Garcia, J. M.] Canadian Inst Theoret Astrophys, Toronto, ON M5R 2M8, Canada; [Manukha, V.] South African Natl Space Agcy, ZA-7200 Hermanus, South Africa; [Peterson, J.] Carnegie Mellon Univ, Dept Phys, Pittsburgh, PA 15213 USA; [Philip, L.; Sievers, J. L.] Univ KwaZulu Natal, Sch Chem &amp; Phys, ZA-4000 Durban, South Africa</t>
  </si>
  <si>
    <t>McGill University; University of Kwazulu Natal; University of California System; University of California Berkeley; Carnegie Mellon University; University of Kwazulu Natal</t>
  </si>
  <si>
    <t>Chiang, HC (corresponding author), McGill Univ, Dept Phys, Montreal, PQ H3A 2T8, Canada.;Chiang, HC (corresponding author), Univ KwaZulu Natal, Sch Math Stat &amp; Comp Sci, ZA-4000 Durban, South Africa.</t>
  </si>
  <si>
    <t>hsin.chiang@mcgill.ca</t>
  </si>
  <si>
    <t>Peterson, Jeffrey/O-4794-2014</t>
  </si>
  <si>
    <t>Peterson, Jeffrey/0000-0003-1340-818X; Philip, Liju/0000-0001-7612-2379</t>
  </si>
  <si>
    <t>National Research Foundation [110929]; South African National Antarctic Programme; Natural Sciences and Engineering Research Council of Canada [RGPNS-2019-534549]; Polar Continental Shelf Program; Canada 150 Program; SciNet; Compute Canada</t>
  </si>
  <si>
    <t>National Research Foundation; South African National Antarctic Programme; Natural Sciences and Engineering Research Council of Canada(Natural Sciences and Engineering Research Council of Canada (NSERC)CGIAR); Polar Continental Shelf Program; Canada 150 Program; SciNet; Compute Canada</t>
  </si>
  <si>
    <t>We gratefully acknowledge the National Research Foundation (grant number 110929), the South African National Antarctic Programme, the Natural Sciences and Engineering Research Council of Canada (grant number RGPNS-2019-534549), and the Polar Continental Shelf Program for providing funding and logistical support for our research program. This research was undertaken, in part, thanks to funding from the Canada 150 Program. This research was enabled in part by support provided by SciNet (https://www.scinethpc.ca/) and Compute Canada (www.computecanada.ca).The financial assistance of the South African SKA Project (SKA SA) towards this research is hereby acknowledged (www.ska.ac.za).We additionally extend our sincere gratitude to the sta (R) at SKA SA for hosting our lab tests. We thank the South African National Space Agency for their technical support, the crew of Ultimate Heli for safely delivering us and our cargo, and all of the Marion takeover and winter team members who provided invaluable advice and field help. The authors also wish to thank members of the LWA and RAPID collaborations for useful discussions, and Raul Monsalve for helping make our first MARS campaign a success.</t>
  </si>
  <si>
    <t>WORLD SCIENTIFIC PUBL CO PTE LTD</t>
  </si>
  <si>
    <t>SINGAPORE</t>
  </si>
  <si>
    <t>5 TOH TUCK LINK, SINGAPORE 596224, SINGAPORE</t>
  </si>
  <si>
    <t>2251-1717</t>
  </si>
  <si>
    <t>2251-1725</t>
  </si>
  <si>
    <t>J ASTRON INSTRUM</t>
  </si>
  <si>
    <t>J. Astron. Instrum.</t>
  </si>
  <si>
    <t>10.1142/S2251171720500191</t>
  </si>
  <si>
    <t>PP1UP</t>
  </si>
  <si>
    <t>WOS:000605653800005</t>
  </si>
  <si>
    <t>Nikolskiy, PA; Basilyan, AE; Anisimov, AM; Zazhigin, VS; Pavlova, EY; Pitulko, VV</t>
  </si>
  <si>
    <t>Nikolskiy, P. A.; Basilyan, A. E.; Anisimov, A. M.; Zazhigin, V. S.; Pavlova, E. Yu; Pitulko, V. V.</t>
  </si>
  <si>
    <t>Implications of the Discovery of a Stag Moose (Cervalces sp., Cervidae) Skull with Antler Beams of Different Lengths</t>
  </si>
  <si>
    <t>BIOLOGY BULLETIN</t>
  </si>
  <si>
    <t>paleobiology; moose; stag-moose; Cervalces; Pleistocene; eastern Siberia; biostratigraphy; morphology; antlers</t>
  </si>
  <si>
    <t>A stag-moose Cervalces sp. (Cervidae) skull with antler beams of substantially different lengths has been analyzed. This skull was found in the lower reaches of the Yana River along with the lower jaw and four vertebrae. Its geological age has been assigned to the range from the very end of Eopleistocene to the first half of the early Neopleistocene. The unequal lengths of the beams in the individual analyzed was reproduced during each antler regeneration throughout the animal's life. This may be indicative of the genetic nature of the phenomenon, even though a nongenetic cause of this disproportion is also possible, as many field observations and experimental data demonstrated frequent asymmetric disturbances in antler growth in modern deer due to injuries, especially forelimb injuries. If the genetic hypothesis is true, such an anomaly may be a manifestation of intensive form genesis, a putative adaptive reaction to the first substantial cooling of the climate in the Pleistocene. Antler beam proportions are the most valuable criterion for species and subspecies taxonomy and diagnosis of fossil moose. The case described by us does not render this trait useless, since the case is exceptionally rare. However, this genetic anomaly may be indicative of an increase in evolutionary trait variability during periods of significant climate change, which should be borne in mind when the morphology of animals that lived during such epochs is interpreted.</t>
  </si>
  <si>
    <t>[Nikolskiy, P. A.; Basilyan, A. E.; Zazhigin, V. S.] Russian Acad Sci, Geol Inst, Moscow 119017, Russia; [Anisimov, A. M.] St Petersburg State Univ, Inst Earth Sci, St Petersburg 199034, Russia; [Anisimov, A. M.; Pavlova, E. Yu] Arctic &amp; Antarctic Res Inst, Russian Fed Serv Hydrometeorol &amp; Environm Monitor, St Petersburg 199397, Russia; [Pitulko, V. V.] Russian Acad Sci, Inst Hist Mat Culture, St Petersburg 191186, Russia</t>
  </si>
  <si>
    <t>Geological Institute, Russian Academy of Sciences; Russian Academy of Sciences; Saint Petersburg State University; Arctic &amp; Antarctic Research Institute; Russian Academy of Sciences; St. Petersburg Scientific Centre of the Russian Academy of Sciences; Institute for the History of Material Culture, Russian Academy of Sciences</t>
  </si>
  <si>
    <t>Nikolskiy, PA (corresponding author), Russian Acad Sci, Geol Inst, Moscow 119017, Russia.</t>
  </si>
  <si>
    <t>cervalces@rambler.ru; alexandr.basilyan@gmail.com; m.anisimov@spbu.ru; zazhvol@gmail.com; pavlovaelena759@gmail.com; pitulko.vladimir@gmail.com</t>
  </si>
  <si>
    <t>Nikolskiy, Pavel/JNT-4697-2023; Nikolskiy, Pavel A/C-5041-2012; Pavlova, Elena/AAA-3291-2019; Pitulko, Vladimir/N-4009-2019</t>
  </si>
  <si>
    <t>Pavlova, Elena/0000-0002-3010-6290</t>
  </si>
  <si>
    <t>Geological Institute, Russian Academy of Sciences; Russian Science Foundation [16-18-10265]; Russian Science Foundation [16-18-10265] Funding Source: Russian Science Foundation</t>
  </si>
  <si>
    <t>Geological Institute, Russian Academy of Sciences; Russian Science Foundation(Russian Science Foundation (RSF)); Russian Science Foundation(Russian Science Foundation (RSF))</t>
  </si>
  <si>
    <t>This work was carried out as part of the research work plan of the Geological Institute, Russian Academy of Sciences, with financial support from the Russian Science Foundation (project no. 16-18-10265).</t>
  </si>
  <si>
    <t>1062-3590</t>
  </si>
  <si>
    <t>1608-3059</t>
  </si>
  <si>
    <t>BIOL BULL+</t>
  </si>
  <si>
    <t>Biol. Bull</t>
  </si>
  <si>
    <t>10.1134/S1062359020070110</t>
  </si>
  <si>
    <t>PS0BN</t>
  </si>
  <si>
    <t>WOS:000607594100016</t>
  </si>
  <si>
    <t>Castillo, P; Fanning, CM; Riley, TR</t>
  </si>
  <si>
    <t>Castillo, Paula; Fanning, C. Mark; Riley, Teal R.</t>
  </si>
  <si>
    <t>Zircon O and Hf isotopic constraints on the genesis of Permian-Triassic magmatic and metamorphic rocks in the Antarctic Peninsula and correlations with Patagonia</t>
  </si>
  <si>
    <t>Tierra del Fuego; West Antarctica; Gondwana</t>
  </si>
  <si>
    <t>U-PB; PACIFIC MARGIN; IN-SITU; WEST ANTARCTICA; GRAHAM LAND; PALMER LAND; SHRIMP; GEOCHRONOLOGY; EVOLUTION; BASEMENT</t>
  </si>
  <si>
    <t>The Permian-Triassic is a critical period for interpreting and understanding the development of West Antarctica and its correlations into Patagonia, South America. The Antarctic Peninsula preserves isolated outcrops of Permian-Triassic age magmatic and metamorphic rocks of granodiorite, orthogneiss, paragneiss and migmatites. Outcrops from the eastern margin of the Antarctic Peninsula (Eastern Domain) have the strongest affinity with continental Gondwana, and have igneous zircons with initial epsilon Hf values ranging from -2.8 to -21.6, and delta O-18 from 10.5 to 5.6 parts per thousand. These values record a strong sedimentary influence on the magma source and imply crustal recycling. This is in concert with the extensive inherited zircon components that record late Mesoproterozoic-early Neoproterozoic ages, Cambrian and older Permian ages. U-Pb zircon ages for a ca. 202 Ma orthogneiss from the western Antarctic Peninsula (Central Domain) record the presence of a Permian protolith with zircon overgrowth at ca. 222 Ma due to partial melting. These zircon rims have initial epsilon Hf values of +1.5 to -0.9 and delta O-18 of 5.3 to 4.2 parts per thousand, similar to those determined for the cores. This indicates that the new zircon crystallised from dissolution of partly dissolved cores. Our new data indicate strong similarities between the Eastern Domain of the Antarctic Peninsula and the southern tip of Patagonia, supporting a continuation of both areas, without the need for a great degree of geographical overlap during the Permian and Triassic.</t>
  </si>
  <si>
    <t>[Castillo, Paula] Westfalische Wilhelms Univ, Inst Geol &amp; Palaontol, Corrensstr 24, D-48149 Munster, Germany; [Castillo, Paula; Fanning, C. Mark] Australian Natl Univ, Res Sch Earth Sci, GPO Box 4, Canberra, ACT 0200, Australia; [Riley, Teal R.] British Antarctic Survey, Madingley Rd, Cambridge CB3 0ET, England</t>
  </si>
  <si>
    <t>University of Munster; Australian National University; UK Research &amp; Innovation (UKRI); Natural Environment Research Council (NERC); NERC British Antarctic Survey</t>
  </si>
  <si>
    <t>Castillo, P (corresponding author), Westfalische Wilhelms Univ, Inst Geol &amp; Palaontol, Corrensstr 24, D-48149 Munster, Germany.</t>
  </si>
  <si>
    <t>paula.castillo@uni-muenster.de</t>
  </si>
  <si>
    <t>Fanning, C. Mark/I-6449-2016</t>
  </si>
  <si>
    <t>Chilean government through the Anillo Antartico [ACT-105]; NERC [bas0100029] Funding Source: UKRI</t>
  </si>
  <si>
    <t>Chilean government through the Anillo Antartico; NERC(UK Research &amp; Innovation (UKRI)Natural Environment Research Council (NERC))</t>
  </si>
  <si>
    <t>S. Paxon and B. Fu assisted during sample preparation and Lu Hf analysis, respectively. Special thanks to Ian Millar for providing samples. This work was supported by the Chilean government through the Anillo Antartico ACT-105 project and BecasCHILE. We thank Editor-inChief Francisco J. Vega, Joaquin Bastias, and an anonymous reviewer for constructive and useful reviews.</t>
  </si>
  <si>
    <t>10.1016/j.jsames.2020.102848</t>
  </si>
  <si>
    <t>PH2TX</t>
  </si>
  <si>
    <t>WOS:000600273000001</t>
  </si>
  <si>
    <t>Devendra, D; Zhang, LL; Su, X; Bandulage, AH; Thilakanayaka, V; Zhong, FC; Yang, YP; Xiang, R</t>
  </si>
  <si>
    <t>Devendra, Dhanushka; Zhang, Lan-Lan; Su, Xiang; Bandulage, Asanthi Hewa; Thilakanayaka, Vidusanka; Zhong, Fu-Chang; Yang, Yi-Ping; Xiang, Rong</t>
  </si>
  <si>
    <t>Late Quaternary deep and surface water mass evolution in the northeastern Indian Ocean inferred from carbon and oxygen isotopes of benthic and planktonic foraminifera</t>
  </si>
  <si>
    <t>PALAEOWORLD</t>
  </si>
  <si>
    <t>Stable isotopes; Northeastern Indian Ocean; Water mass evolution; Holocene; Last Glacial Maximum</t>
  </si>
  <si>
    <t>SUMMER MONSOON VARIABILITY; LAST GLACIAL MAXIMUM; NORTH-ATLANTIC; CIRCULATION; BAY; DELTA-C-13; PRODUCTIVITY; TEMPERATURE; HEMISPHERE; PATTERNS</t>
  </si>
  <si>
    <t>New planktonic and benthic foraminiferal stable isotope records from core YDY05 (northeastern Indian Ocean) provide new insights into paleoceanographic changes in the northeastern Indian Ocean since the last glacial period. The distinct delta O-18 decrease was observed since the beginning of the deglaciation to the mid-Holocene (similar to 8-6 kyr BP), possibly reflecting a reduction in surface salinity in the central Bay of Bengal (BoB) water, which probably resulted from strengthened precipitation, concurrent enhanced river discharge and rising sea-level, related to the intensification of Indian Summer Monsoon (ISM). Variations in benthic delta C-13 and delta C-13(Planktonic-Benthic) in our core site reflect significant variations in source water characteristics over the LGM-Holocene. The large delta C-13(Planktonic-Benthic) offset during the glacial period suggests a more sluggish deep water circulation, and lower delta C-13(Planktonic-Benthic) from the deglaciation to the Holocene suggests an enhanced deep water circulation in the central BoB. The drastic depletion in benthic delta C-13 during the glacial period suggests a significant reduction of North Atlantic Deep Water (NADW) intrusion and a progressive influx of Antarctic Bottom Water (AABW) and C-12-rich Circumpolar Deep Water (CDW) into the central BoB. In contrast, since the deglaciation, the central BoB experienced a drastically increased intrusion of better ventilated and C-13-rich NADW. The differences in benthic delta O-18 between the LGM section and the Holocene exceeds the ice volume effect by similar to 0.5 parts per thousand, providing further evidence that the deep water mass of the central BoB was influenced by the less dense NADW, instead of the AABW, since the last deglaciation. (C) 2020 Elsevier B.V. and Nanjing Institute of Geology and Palaeontology, CAS. All rights reserved.</t>
  </si>
  <si>
    <t>[Devendra, Dhanushka; Zhang, Lan-Lan; Su, Xiang; Thilakanayaka, Vidusanka; Zhong, Fu-Chang; Yang, Yi-Ping; Xiang, Rong] Chinese Acad Sci, South China Sea Inst Oceanol, Key Lab Ocean &amp; Marginal Sea Geol, Guangzhou 510301, Peoples R China; [Devendra, Dhanushka; Thilakanayaka, Vidusanka; Zhong, Fu-Chang] Univ Chinese Acad Sci, Beijing 100049, Peoples R China; [Devendra, Dhanushka; Bandulage, Asanthi Hewa] Univ Ruhuna, Fac Fisheries &amp; Marine Sci &amp; Technol, Matara, Sri Lanka; [Zhang, Lan-Lan; Su, Xiang; Yang, Yi-Ping; Xiang, Rong] Chinese Acad Sci, Innovat Acad South China Sea Ecol &amp; Environm Engn, Guangzhou 510301, Peoples R China</t>
  </si>
  <si>
    <t>Chinese Academy of Sciences; South China Sea Institute of Oceanology, CAS; Chinese Academy of Sciences; University of Chinese Academy of Sciences, CAS; University Ruhuna; Chinese Academy of Sciences</t>
  </si>
  <si>
    <t>Zhang, LL; Xiang, R (corresponding author), Chinese Acad Sci, South China Sea Inst Oceanol, Key Lab Ocean &amp; Marginal Sea Geol, Guangzhou 510301, Peoples R China.</t>
  </si>
  <si>
    <t>llzhang@scsio.ac.cn; rxiang@scsio.ac.cn</t>
  </si>
  <si>
    <t>Devendra, Dhanushka/AAZ-5385-2020</t>
  </si>
  <si>
    <t>Devendra, Dhanushka/0000-0003-1005-1621; /0000-0002-6141-8414; THILAKANAYAKA, VIDUSANKA/0000-0002-8461-6640</t>
  </si>
  <si>
    <t>Natural Science Foundation of China (NSFC) [41749910]; Innovative Development Fund projects of the Innovation Academy of South China Sea Ecology and Environmental Engineering, Chinese Academy of Sciences [ISEE2018PY02]; NSFC [41876063, 41576044, 41876056]; Chinese Academy of Sciences [XDA11030104]</t>
  </si>
  <si>
    <t>Natural Science Foundation of China (NSFC)(National Natural Science Foundation of China (NSFC)); Innovative Development Fund projects of the Innovation Academy of South China Sea Ecology and Environmental Engineering, Chinese Academy of Sciences; NSFC(National Natural Science Foundation of China (NSFC)); Chinese Academy of Sciences(Chinese Academy of Sciences)</t>
  </si>
  <si>
    <t>The samples used in this study were kindly made available by the shared cruise of the Natural Science Foundation of China (NSFC) (No. 41749910). We thank two anonymous reviewers and editors for their helpful comments and constructive suggestions. This research received financial support from the Innovative Development Fund projects of the Innovation Academy of South China Sea Ecology and Environmental Engineering, Chinese Academy of Sciences (No. ISEE2018PY02), the NSFC (Grant Nos. 41876063, 41576044, 41876056) and the Strategic Priority Research Program of the Chinese Academy of Sciences (Grant No. XDA11030104).</t>
  </si>
  <si>
    <t>1871-174X</t>
  </si>
  <si>
    <t>1875-5887</t>
  </si>
  <si>
    <t>Palaeoworld</t>
  </si>
  <si>
    <t>10.1016/j.palwor.2020.03.001</t>
  </si>
  <si>
    <t>PL4EI</t>
  </si>
  <si>
    <t>WOS:000603076800007</t>
  </si>
  <si>
    <t>Zhang, CY; von Frese, RRB; Shum, CK; Leftwich, TE; Kim, HR; Golynsky, AV</t>
  </si>
  <si>
    <t>Zhang, Chaoyang; von Frese, Ralph R. B.; Shum, C. K.; Leftwich, Timothy E.; Kim, Hyung Rae; Golynsky, Alexander V.</t>
  </si>
  <si>
    <t>Satellite Gravity Constraints on the Antarctic Moho and Its Potential Isostatic Adjustments</t>
  </si>
  <si>
    <t>Antarctic; GOCE; Moho; isostatic; adjustments; Gamburtsev subglacial; mountains; Kerguelen mantle; hotspot</t>
  </si>
  <si>
    <t>LARGE IGNEOUS PROVINCE; CORRELATED FREE-AIR; WEST ANTARCTICA; CRUSTAL THICKNESS; MANTLE PLUMES; RAYLEIGH-WAVE; MODEL; EAST; SEA; LITHOSPHERE</t>
  </si>
  <si>
    <t>We investigate the impact of combining Gravity Field and Steady-state Ocean Circulation Explorer (GOCE) satellite gravity anomaly and Bedmap2 terrain relief data to enhance Antarctic seismic Moho estimates over the satellite's coverage region south of latitude 60 degrees S. The study considers improving the seismic surface wave-inferred AN1 Moho (An et al., 2015a, ) from misfits of the gravitational effects of the terrain and the seismic Moho computed at 250 km altitude. The updates also relate the GOCE gravity anomalies that correlate directly and inversely with the terrain's gravity effects as isostatic anomalies of the uncompensated mantle relief. These terrain-correlated effects infer potential isostatic adjustments of the Moho that may help constrain the crust's stress field, track the Gamburtsev Subglacial Mountains to the Kerguelen mantle hotspot, and further test the putative Wilkes Land impact basin for its crustal attributes. Analysis of the gravity-updated seismic AN1 Moho (sAMoho) estimates suggests that most are within the seismic errors of several kilometers or less. However, the gravity-updated estimates that are deeper than the sAMoho estimates tend to characterize anomalously hot upper mantle where the assumed mantle-to-crust density contrast may be too low. These Moho difference estimates discern elevated heat flow for the Maud Rise, Kerguelen Plateau, Pacific-Antarctic Ridge, and most of western Antarctica extending from the Pacific-Antarctic Ridge along the Transantarctic Mountains and across the Ross Sea through Marie Byrd Land and the western margin of the Antarctic Peninsula Microplate to the Scotia Ridge. The methodology of this study also is effective in updating any Moho model for improved gravity and terrain data.</t>
  </si>
  <si>
    <t>[Zhang, Chaoyang; von Frese, Ralph R. B.; Shum, C. K.; Leftwich, Timothy E.] Ohio State Univ, Sch Earth Sci, Columbus, OH 43210 USA; [Shum, C. K.] Chinese Acad Sci, Inst Geodesy &amp; Geophys, Wuhan, Peoples R China; [Kim, Hyung Rae] Kongju Natl Univ, Dept GeoEnvironm Sci, Gongju, Chungnam, South Korea; [Golynsky, Alexander V.] All Russian Sci Res Inst Geol &amp; Mineral Resources, VNIIOkeangeol, St Petersburg, Russia</t>
  </si>
  <si>
    <t>University System of Ohio; Ohio State University; Chinese Academy of Sciences; Innovation Academy for Precision Measurement Science &amp; Technology, CAS; Kongju National University</t>
  </si>
  <si>
    <t>Zhang, CY (corresponding author), Ohio State Univ, Sch Earth Sci, Columbus, OH 43210 USA.</t>
  </si>
  <si>
    <t>zhang.6404@osu.edu</t>
  </si>
  <si>
    <t>Zhang, Chaoyang/JPK-5044-2023</t>
  </si>
  <si>
    <t>Kim, Hyung Rae/0000-0002-6576-9457; Golynsky, Alexander/0000-0003-2546-4082; Shum, C K/0000-0001-9378-4067; Zhang, Chaoyang/0000-0001-6297-7034</t>
  </si>
  <si>
    <t>Republic of Korea's National Research Foundation - Korean Ministry of Science, Industry, and Trade [NRF2019-R1F1A1051876]; National Key Research &amp; Development Program of China [2017YFA0603103]; Chinese Academy of Sciences [XDA19070302]; U.S. National Science Foundation; Ohio State University's Friends of Orton Hall</t>
  </si>
  <si>
    <t>Republic of Korea's National Research Foundation - Korean Ministry of Science, Industry, and Trade; National Key Research &amp; Development Program of China; Chinese Academy of Sciences(Chinese Academy of Sciences); U.S. National Science Foundation(National Science Foundation (NSF)); Ohio State University's Friends of Orton Hall</t>
  </si>
  <si>
    <t>This study benefitted from the constructive comments of J. P. O'Donnell and P. Haas, as well as discussions with D. H. Elliot and A. M. Grunow on the possible origins of the Gamburtsev subglacial mountains. Elements of this research were partially supported by the Republic of Korea's National Research Foundation grant (NRF2019-R1F1A1051876) to HRK funded by the Korean Ministry of Science, Industry, and Trade, the National Key Research &amp; Development Program of China (2017YFA0603103), the Strategic Priority Research Program of the Chinese Academy of Sciences (XDA19070302), and travel grants from the U.S. National Science Foundation and The Ohio State University's Friends of Orton Hall to Chaoyang Zhang to present these results at the 2019 International Symposium on Antarctic Earth Sciences.</t>
  </si>
  <si>
    <t>e2020GC009048</t>
  </si>
  <si>
    <t>10.1029/2020GC009048</t>
  </si>
  <si>
    <t>PM2VD</t>
  </si>
  <si>
    <t>WOS:000603662700017</t>
  </si>
  <si>
    <t>Duprat, L; Corkill, M; Genovese, C; Townsend, AT; Moreau, S; Meiners, KM; Lannuzel, D</t>
  </si>
  <si>
    <t>Duprat, L.; Corkill, M.; Genovese, C.; Townsend, A. T.; Moreau, S.; Meiners, K. M.; Lannuzel, D.</t>
  </si>
  <si>
    <t>Nutrient Distribution in East Antarctic Summer Sea Ice: A Potential Iron Contribution From Glacial Basal Melt</t>
  </si>
  <si>
    <t>JOURNAL OF GEOPHYSICAL RESEARCH-OCEANS</t>
  </si>
  <si>
    <t>East Antarctica; iron; platelet ice; sea ice; summer</t>
  </si>
  <si>
    <t>EXOPOLYMER PARTICLES TEP; ROSS SEA; SOUTHERN-OCEAN; TRACE-METALS; MARINE ICE; BACTERIAL-COLONIZATION; PHYTOPLANKTON BLOOMS; PRIMARY PRODUCTIVITY; LIGHT TRANSMISSION; SURFACE-PROPERTIES</t>
  </si>
  <si>
    <t>Antarctic sea ice can incorporate high levels of iron (Fe) during its formation and has been suggested as an important source of this essential micronutrient to Southern Ocean surface waters during the melt season. Over the last decade, a limited number of studies have quantified the Fe pool in Antarctic sea ice, with a focus on late winter and spring. Here we study the distribution of operationally defined dissolved and particulate Fe from nine sites sampled between Wilkes Land and King George V Land during austral summer 2016/2017. Results point toward a net heterotrophic sea-ice community, consistent with the observed nitrate limitation (&lt;1 mu M). We postulate that the recycling of the high particulate Fe pool in summer sea ice supplies sufficient (similar to 3 nM) levels of dissolved Fe to sustain ice algal growth. The remineralization of particulate Fe is likely favored by high concentrations of exopolysaccharides (113-16,290 mu g xeq L-1) which can serve as a hotspot for bacterial activity. Finally, results indicate a potential relationship between glacial meltwater discharged from the Moscow University Ice Shelf and the occurrence of Fe-rich (similar to 4.3 mu M) platelet ice in its vicinity. As climate change is expected to result in enhanced Fe-rich glacial discharge and changes in summer sea-ice extent and quality, the processes influencing Fe distribution in sea ice that persists into summer need to be better constrained.</t>
  </si>
  <si>
    <t>[Duprat, L.; Corkill, M.; Genovese, C.; Lannuzel, D.] Univ Tasmania, Inst Marine &amp; Antarctic Studies, Hobart, Tas, Australia; [Townsend, A. T.] Univ Tasmania, Cent Sci Lab, Hobart, Tas, Australia; [Moreau, S.] Norwegian Polar Res Inst, Tromso, Norway; [Meiners, K. M.] Australian Antarctic Div, Dept Agr Water &amp; Environm, Kingston, Tas, Australia; [Meiners, K. M.] Univ Tasmania, Australian Antarctic Program Partnership, Inst Marine &amp; Antarctic Studies, Hobart, Tas, Australia</t>
  </si>
  <si>
    <t>University of Tasmania; University of Tasmania; Norwegian Polar Institute; Australian Antarctic Division; University of Tasmania</t>
  </si>
  <si>
    <t>Duprat, L (corresponding author), Univ Tasmania, Inst Marine &amp; Antarctic Studies, Hobart, Tas, Australia.</t>
  </si>
  <si>
    <t>luis.duprat@utas.edu.au</t>
  </si>
  <si>
    <t>Townsend, Ashley/J-7445-2014; lannuzel, delphine/J-7937-2014</t>
  </si>
  <si>
    <t>Townsend, Ashley/0000-0002-2972-2678; lannuzel, delphine/0000-0001-6154-1837; Moreau, Sebastien/0000-0001-9446-812X; Corkill, Matthew/0000-0002-5847-3738; Genovese, Cristina/0000-0002-9015-020X</t>
  </si>
  <si>
    <t>Australian Government Cooperative Research Centre Program through the Antarctic Climate and Ecosystems (ACE CRC); Australian Antarctic Science (AAS) project [4291]; Australian Research Council's Special Research Initiative for Antarctic Gateway Partnership [SR140300001]; ARC LIEF [LE0989539]</t>
  </si>
  <si>
    <t>Australian Government Cooperative Research Centre Program through the Antarctic Climate and Ecosystems (ACE CRC); Australian Antarctic Science (AAS) project; Australian Research Council's Special Research Initiative for Antarctic Gateway Partnership(Australian Research Council); ARC LIEF(Australian Research Council)</t>
  </si>
  <si>
    <t>This work was co-funded by the Australian Government Cooperative Research Centre Program through the Antarctic Climate and Ecosystems (ACE CRC), the Australian Antarctic Science (AAS) project no. 4291 and the Australian Research Council's Special Research Initiative for Antarctic Gateway Partnership (Project ID SR140300001). Access to ICP instrumentation was supported through ARC LIEF LE0989539 funding.</t>
  </si>
  <si>
    <t>2169-9275</t>
  </si>
  <si>
    <t>2169-9291</t>
  </si>
  <si>
    <t>J GEOPHYS RES-OCEANS</t>
  </si>
  <si>
    <t>J. Geophys. Res.-Oceans</t>
  </si>
  <si>
    <t>e2020JC016130</t>
  </si>
  <si>
    <t>10.1029/2020JC016130</t>
  </si>
  <si>
    <t>PM2NR</t>
  </si>
  <si>
    <t>WOS:000603643300005</t>
  </si>
  <si>
    <t>Nishizawa, B; Yamada, N; Hayashi, H; Wright, C; Kuletz, K; Ueno, H; Mukai, T; Yamaguchi, A; Watanuki, Y</t>
  </si>
  <si>
    <t>Nishizawa, Bungo; Yamada, Nodoka; Hayashi, Haruka; Wright, Charlie; Kuletz, Kathy; Ueno, Hiromichi; Mukai, Tohru; Yamaguchi, Atsushi; Watanuki, Yutaka</t>
  </si>
  <si>
    <t>Timing of spring sea-ice retreat and summer seabird-prey associations in the northern Bering Sea</t>
  </si>
  <si>
    <t>DEEP-SEA RESEARCH PART II-TOPICAL STUDIES IN OCEANOGRAPHY</t>
  </si>
  <si>
    <t>Arctic; Sea ice; Seabird distribution; Acoustic; Water mass; Zooplankton; Fish; Northern bering sea</t>
  </si>
  <si>
    <t>SHORT-TAILED SHEARWATERS; ST-LAWRENCE ISLAND; CHUKCHI SEAS; PERCEPTUAL CONSTRAINTS; FORAGING ECOLOGY; ANTARCTIC KRILL; WATER MASS; AUKLETS; LEAST; SOUTH</t>
  </si>
  <si>
    <t>To understand the effect of an unusually early sea-ice retreat in the northern Bering Sea in the spring of 2018 on the marine ecosystem of the northern Bering Sea, we compared at-sea observations of seabird density and acoustic observations of prey (fish and zooplankton) biomass during shipboard surveys around St. Lawrence Island in the summers of 2017 and 2018. Densities of foraging seabirds in 2018 (piscivorous divers: 4.7 birds km(-2), planktivorous divers: 5.1, shearwaters: 0.7, surface feeders: 6.6) were lower than those in 2017 (piscivorous divers: 14.7 birds km(-2), planktivomus divers: 10.3, shearwaters: 11.9, surface feeders:11.9). Acousticallydetermined prey biomass in 2018 (fish: 6.4 m(2) nmi (-2), zooplankton: 2.3) was also lower than in 2017 (fish: 18.4 m(2) nmi(-2), zooplankton: 5.5). Similarly, biomass of macrozooplankton (amphipods, euphausiids, Neocalanus spp. and Calanus marshallae) sampled using bongo nets was smaller in 2018. At scales of 5-30 km, correlations between the seabird density and prey biomass were weaker (-0.2-0.3 of Pearson's r) in 2018 than those in 2017 (0.4-0.9) for all seabirds except planktivomus divers. We suggest that the lack of sea ice, and the resulting lack of ice-edge phytoplankton blooms, may weaken trophic linkages by causing a low biomass of secondary consumers and hence a reduced density of seabirds.</t>
  </si>
  <si>
    <t>[Nishizawa, Bungo] Natl Inst Polar Res, Midori Cho 10-3, Tokyo 1908518, Japan; [Yamada, Nodoka; Hayashi, Haruka; Ueno, Hiromichi; Mukai, Tohru; Yamaguchi, Atsushi; Watanuki, Yutaka] Hokkaido Univ, Grad Sch Fisheries Sci, 3-1-1 Minato Cho, Hakodate, Hokkaido 0418611, Japan; [Wright, Charlie; Kuletz, Kathy] US Fish &amp; Wildlife Serv, 1011 E Tudor Rd, Anchorage, AK 99503 USA</t>
  </si>
  <si>
    <t>Research Organization of Information &amp; Systems (ROIS); National Institute of Polar Research (NIPR) - Japan; Hokkaido University; United States Department of the Interior; US Fish &amp; Wildlife Service</t>
  </si>
  <si>
    <t>Nishizawa, B (corresponding author), Natl Inst Polar Res, Midori Cho 10-3, Tokyo 1908518, Japan.</t>
  </si>
  <si>
    <t>nishizawa@salmon.fish.hokudai.ac.jp</t>
  </si>
  <si>
    <t>Mukai, Tohru/F-9143-2012; Yamaguchi, Atsushi/A-8613-2012; Ueno, Hiromichi/JMB-9305-2023</t>
  </si>
  <si>
    <t>Yamaguchi, Atsushi/0000-0002-5646-3608;</t>
  </si>
  <si>
    <t>Bureau of Ocean Energy Management [M17PG00039]; MEXT (Japanese Ministry of Education, Culture, Sports, Science and Technology) through the Arctic Challenge for Sustainability Project</t>
  </si>
  <si>
    <t>Bureau of Ocean Energy Management; MEXT (Japanese Ministry of Education, Culture, Sports, Science and Technology) through the Arctic Challenge for Sustainability Project</t>
  </si>
  <si>
    <t>We thank the captain, officers, and crews of the T/S Oshoro-Maru, as well as Dr. Atushi Ooki and Dr. Toru Hirawake (chief scientists of the T/S Oshoro-Maru cruise in 2017 and 2018) for their help with the field operations. Support for the U.S. Fish and Wildlife (USFWS) observer was from a grant from the Bureau of Ocean Energy Management (Interagency Agreement M17PG00039). Elizabeth Labunski (USFWS) assisted with data compilation. This study was supported by MEXT (Japanese Ministry of Education, Culture, Sports, Science and Technology) through the Arctic Challenge for Sustainability Project.</t>
  </si>
  <si>
    <t>0967-0645</t>
  </si>
  <si>
    <t>1879-0100</t>
  </si>
  <si>
    <t>DEEP-SEA RES PT II</t>
  </si>
  <si>
    <t>Deep-Sea Res. Part II-Top. Stud. Oceanogr.</t>
  </si>
  <si>
    <t>10.1016/j.dsr2.2020.104898</t>
  </si>
  <si>
    <t>PI1QH</t>
  </si>
  <si>
    <t>WOS:000600873000008</t>
  </si>
  <si>
    <t>He, T; Kong, K</t>
  </si>
  <si>
    <t>He, Tong; Kong, Kaman</t>
  </si>
  <si>
    <t>High-Resolution Carbonate Variability in Red Earth Deposits: Implications for Water Cycling Dynamics during the Late Miocene</t>
  </si>
  <si>
    <t>JOURNAL OF COASTAL RESEARCH</t>
  </si>
  <si>
    <t>Asian monsoon; carbonate leaching; obliquity; Chinese Loess Plateau; Antarctic glaciation</t>
  </si>
  <si>
    <t>CHINESE LOESS PLATEAU; SEQUENCES; PALEOSOL; CLIMATE</t>
  </si>
  <si>
    <t>The late Miocene provides the chance to assess the changing boundary conditions on a warmer world than present. While the climate variability is well understood for the oceanographic records, the water availability and dynamics in terrestrial environment in the densely populated East Asian remains enigmatic. Little is known about the precipitation response to the Antarctic ice-sheets during this time interval. To understand this critical relationship between low- and high-latitude climates, we use a new indicator based on the carbonate variability in Red Earth on the northern Chinese Loess Plateau to reconstruct water availability throughout the interval (7.5-6.9 Ma). Our high-resolution reconstructions show that the carbonate leaching/reprecipitation cycle is dominantly forced by the astronomical parameter obliquity (40-kyr) that is in accord with the Antarctic ice-volume controlled oceanography records at similar to 7 Ma. Supported by goethite and hematite records in the same site, soil temperatures and precipitations are fully coupled, interpreted as marking the climate pattern of Asian monsoon during the late Miocene. Cyclic correlation between the carbonate variability and the goethite, hematite data, reveal that the obliquity controlled precipitation oscillations were superimposed on a long-term increase of the Asian monsoon, which was synchronous with intensification of climate cooling, the declining of partial pressure of carbon dioxide, and the growing of Antarctic ice-volume. Combined with the atmospheric- and oceanic-adjustments, we suggest that the cross-equatorial pressure gradient has led to the rise of Asian monsoon.</t>
  </si>
  <si>
    <t>[He, Tong] Nanjing Univ Informat Sci &amp; Technol, Sch Geog Sci, Nanjing 210042, Peoples R China; [Kong, Kaman] Nagoya Univ, Grad Sch Environm Studies, Nagoya, Aichi 4648601, Japan</t>
  </si>
  <si>
    <t>Nanjing University of Information Science &amp; Technology; Nagoya University</t>
  </si>
  <si>
    <t>He, T (corresponding author), Nanjing Univ Informat Sci &amp; Technol, Sch Geog Sci, Nanjing 210042, Peoples R China.</t>
  </si>
  <si>
    <t>hetong198507@163.com</t>
  </si>
  <si>
    <t>He, Tong/0000-0003-3080-5128</t>
  </si>
  <si>
    <t>National Natural Science Foundation of China [41877284]</t>
  </si>
  <si>
    <t>This study is supported by National Natural Science Foundation of China (Grant no. 41877284).</t>
  </si>
  <si>
    <t>COASTAL EDUCATION &amp; RESEARCH FOUNDATION</t>
  </si>
  <si>
    <t>COCONUT CREEK</t>
  </si>
  <si>
    <t>5130 NW 54TH STREET, COCONUT CREEK, FL 33073 USA</t>
  </si>
  <si>
    <t>0749-0208</t>
  </si>
  <si>
    <t>1551-5036</t>
  </si>
  <si>
    <t>J COASTAL RES</t>
  </si>
  <si>
    <t>J. Coast. Res.</t>
  </si>
  <si>
    <t>WIN</t>
  </si>
  <si>
    <t>10.2112/JCR-SI105-020.1</t>
  </si>
  <si>
    <t>Environmental Sciences; Geography, Physical; Geosciences, Multidisciplinary</t>
  </si>
  <si>
    <t>Environmental Sciences &amp; Ecology; Physical Geography; Geology</t>
  </si>
  <si>
    <t>PN9MB</t>
  </si>
  <si>
    <t>WOS:000604796700020</t>
  </si>
  <si>
    <t>Ke, H; Wang, AX; Lei, JT; Wu, JW; Wang, ZM; Zhang, SK</t>
  </si>
  <si>
    <t>Ke, Hao; Wang, Aixue; Lei, Jintao; Wu, Jingwen; Wang, Zemin; Zhang, Shengkai</t>
  </si>
  <si>
    <t>Establishment of Seamless Chart Datum and Vertical Datum Transformation for Hydrography with a Combining Geoid, Sea Surface Topography, and Ocean Tide Model in Prydz Bay, Antarctica</t>
  </si>
  <si>
    <t>Transformation model; seamless chart datum; hydrography; Prydz Bay; Antarctic</t>
  </si>
  <si>
    <t>The establishment of a seamless chart datum and a transformation model with other vertical datums are the key to unifying sea-land measurement achievements. Since construction of the Chinese Antarctic Zhongshan scientific research station, nearby Prydz Bay has become a significant investigation area. However, it is still difficult to unify bathymetric measurements in Prydz Bay and topographic measurements in the station to the same vertical datum. In response to this problem, the Earth Gravitational Model 2008 geoid model, the Indian Ocean 2010 tide model, and sea surface topography model product of a satellite altimeter were used to establish a seamless chart datum and a transformation model between the WGS84 ellipsoidal reference and the chart datum through the fusion method, with a scope of -69 degrees 48' to -66 degrees 24' S and 70 degrees 00' to 82 degrees 00' E. The accuracy of the transformation model had been evaluated to be 10.7 cm on the basis of the error of each model and the law of error propagation. Meanwhile, the difference between the transformation model estimation and the field-measured value derived from a GPS tide was 8.8 cm. To some extent, this comparison result can reflect the accuracy of the model, but more field-measured data still needed to verify it.</t>
  </si>
  <si>
    <t>[Ke, Hao; Wang, Zemin; Zhang, Shengkai] Wuhan Univ, Chinese Antarctic Ctr Surveying &amp; Mapping, Luoyu Rd 129, Wuhan 430072, Peoples R China; [Wang, Aixue] Wuhan Univ, Sch Geodesy &amp; Geomat, Louyu Rd 129, Wuhan 430072, Peoples R China; [Lei, Jintao] Hong Kong Polytech Univ, Dept Land Surveying &amp; Geoinformat, Hung Hom, Kowloon, 181 Chatham Rd South, Hong Kong, Peoples R China; [Wu, Jingwen] Changjiang Water Resources Commiss, Bur Hydrol, Hydrol &amp; Water Resources Survey Bur Yangtze River, Pudong Ave 2412, Shanghai 200136, Peoples R China</t>
  </si>
  <si>
    <t>Wuhan University; Wuhan University; Hong Kong Polytechnic University</t>
  </si>
  <si>
    <t>Wang, AX (corresponding author), Wuhan Univ, Sch Geodesy &amp; Geomat, Louyu Rd 129, Wuhan 430072, Peoples R China.</t>
  </si>
  <si>
    <t>axwang@sgg.whu.edu.cn</t>
  </si>
  <si>
    <t>LEI, Jintao/HHZ-6471-2022</t>
  </si>
  <si>
    <t>Lei, Jintao/0000-0002-4497-5868; Ke, Hao/0000-0003-4997-6111</t>
  </si>
  <si>
    <t>National Natural Science Foundation of China [41941010, 41506120]; Chinese Arctic and Antarctic Administration, Ministry of Natural Resources of the People's Republic of China</t>
  </si>
  <si>
    <t>National Natural Science Foundation of China(National Natural Science Foundation of China (NSFC)); Chinese Arctic and Antarctic Administration, Ministry of Natural Resources of the People's Republic of China</t>
  </si>
  <si>
    <t>The authors appreciate the Chinese Arctic and Antarctic Administration, Ministry of Natural Resources of the People's Republic of China, for sponsoring the field survey and research work. This research is funded by the National Natural Science Foundation of China (41941010 and 41506120).</t>
  </si>
  <si>
    <t>10.2112/JCR-SI105-043.1</t>
  </si>
  <si>
    <t>WOS:000604796700043</t>
  </si>
  <si>
    <t>Holder, L; Duffy, M; Opdyke, B; Leventer, A; Post, A; O'Brien, P; Armand, LK</t>
  </si>
  <si>
    <t>Holder, L.; Duffy, M.; Opdyke, B.; Leventer, A.; Post, A.; O'Brien, P.; Armand, L. K.</t>
  </si>
  <si>
    <t>Controls Since the mid-Pleistocene Transition on Sedimentation and Primary Productivity Downslope of Totten Glacier, East Antarctica</t>
  </si>
  <si>
    <t>Totten Glacier; sediment cores; sea ice; glacial cycles; diatom abundance; Sabrina Coast</t>
  </si>
  <si>
    <t>SEA-SURFACE TEMPERATURE; SOUTHERN-OCEAN SEDIMENTS; CONTINENTAL RISE WEST; WILKES LAND MARGIN; MAJOR DIATOM TAXA; ICE-SHEET; PRYDZ BAY; TURBIDITE SYSTEMS; MARINE-SEDIMENTS; RESERVOIR AGES</t>
  </si>
  <si>
    <t>The rapidly thinning Totten Glacier on the Sabrina Coast, East Antarctica, is the primary drainage outlet for ice within the Aurora Subglacial Basin, which could destabilize under the current atmospheric warming trend. There is growing need for direct geological evidence from the Sabrina Coast to frame late twentieth century Totten melting in the context of past warm climate analogs. Addressing this need, sediment archives were recovered from two sites on the Sabrina Coast slope and rise that record changes in terrigenous sedimentation and primary productivity in the region over glacial cycles since the mid-Pleistocene transition (MPT). This research presents physical properties, grain size, diatom abundance and assemblages, and geochemical analysis from the two sites to determine how the processes that control sedimentation change between glacial and interglacial phases. The stratigraphic sequences in both cores record cyclic variations in physical properties and diatom abundances, which radiocarbon and biostratigraphic chronologies reveal as 100 Kyr glacial-interglacial cyclicity. During glacials, terrigenous sediment deposition is enhanced by advanced grounded ice on the shelf, while primary productivity is restricted due to permanent summer sea ice extending past the continental slope. During interglacials, pelagic sedimentation suggests high surface productivity associated with contractions of regional sea ice cover. Comparison with post-MPT slope records from Wilkes Land and the Amundsen Sea shows that this pattern is consistent in slope sediments around the margin. The higher-amplitude variations in Antarctic ice volume and sea ice extent post-MPT ensure that these signals are pervasive around the Antarctic margin.</t>
  </si>
  <si>
    <t>[Holder, L.] Imperial Coll London, Dept Earth Sci &amp; Engn, London, England; [Holder, L.; Opdyke, B.; Armand, L. K.] Australian Natl Univ, Res Sch Earth Sci, Canberra, ACT, Australia; [Duffy, M.; Leventer, A.] Colgate Univ, Dept Geol, Hamilton, NY 13346 USA; [Post, A.] Geosci Australia, Canberra, ACT, Australia; [O'Brien, P.] Macquarie Univ, Dept Earth &amp; Planetary Sci, N Ryde, NSW, Australia</t>
  </si>
  <si>
    <t>Imperial College London; Australian National University; Colgate University; Geoscience Australia; Macquarie University</t>
  </si>
  <si>
    <t>Holder, L (corresponding author), Imperial Coll London, Dept Earth Sci &amp; Engn, London, England.;Holder, L (corresponding author), Australian Natl Univ, Res Sch Earth Sci, Canberra, ACT, Australia.</t>
  </si>
  <si>
    <t>l.holder18@imperial.ac.uk</t>
  </si>
  <si>
    <t>Armand, Leanne K/C-9004-2009</t>
  </si>
  <si>
    <t>Armand, Leanne/0000-0003-3995-308X; Leventer, Amy/0000-0001-9401-0987; O'Brien, Philip/0000-0003-3446-3292; Holder, Liam/0000-0001-8393-7138; Duffy, Meghan/0000-0001-8016-3667; Opdyke, Bradley/0000-0003-0440-1613</t>
  </si>
  <si>
    <t>Australian Government's Australian Antarctic Science Grant Program [AAS 4333]; Australian Government through the Australian Research Council [DP170100557]; National Science Foundation Antarctic Integrated Systems Science Project [PLR-1143836]</t>
  </si>
  <si>
    <t>Australian Government's Australian Antarctic Science Grant Program(Australian Government); Australian Government through the Australian Research Council(Australian Research Council); National Science Foundation Antarctic Integrated Systems Science Project</t>
  </si>
  <si>
    <t>We thank the Marine National Facility, the IN2017-V01 scientific party-led by the Chief Scientists L. K. Armand and P. O'Brien, and MNF support staff and ASP crew members led by Capt. M. Watson for their help and support on board the RV Investigator. Isabel Dove and Meaghan Kendall contributed to the diatom work. We wish to thank the Associate Editor and three anonymous reviewers for their valuable and constructive comments that greatly improved this manuscript. This Project is supported through funding from the Australian Government's Australian Antarctic Science Grant Program (AAS 4333) and by the Australian Government through the Australian Research Council (DP170100557). Additional funding was provided by the National Science Foundation Antarctic Integrated Systems Science Project (grants PLR-1143836).</t>
  </si>
  <si>
    <t>e2020PA003981</t>
  </si>
  <si>
    <t>10.1029/2020PA003981</t>
  </si>
  <si>
    <t>PM2UT</t>
  </si>
  <si>
    <t>WOS:000603661700004</t>
  </si>
  <si>
    <t>Kim, SL; Zeichner, SS; Colman, AS; Scher, HD; Kriwet, J; Mörs, T; Huber, M</t>
  </si>
  <si>
    <t>Kim, Sora L.; Zeichner, Sarah S.; Colman, Albert S.; Scher, Howie D.; Kriwet, Jurgen; Mors, Thomas; Huber, Matthew</t>
  </si>
  <si>
    <t>Probing the Ecology and Climate of the Eocene Southern Ocean With Sand Tiger Sharks Striatolamia macrota</t>
  </si>
  <si>
    <t>neodymium isotope analysis; oxygen isotope analysis; paleobiology; paleoclimate; Seymour Island; temperature</t>
  </si>
  <si>
    <t>LA-MESETA FORMATION; SEASONAL DISTRIBUTION PATTERNS; OXYGEN-ISOTOPE FRACTIONATION; EARTH SYSTEM MODEL; CARCHARIAS-TAURUS; SEYMOUR ISLAND; BODY-SIZE; EAST-COAST; ANTARCTIC GLACIATION; DEEPMIP CONTRIBUTION</t>
  </si>
  <si>
    <t>Many explanations for Eocene climate change focus on the Southern Ocean-where tectonics influenced oceanic gateways, ocean circulation reduced heat transport, and greenhouse gas declines prompted glaciation. To date, few studies focus on marine vertebrates at high latitudes to discern paleoecological and paleoenvironmental impacts of this climate transition. The Tertiary Eocene La Meseta (TELM) Formation has a rich fossil assemblage to characterize these impacts; Striatolamia macrota, an extinct (dagger) sand tiger shark, is abundant throughout the La Meseta Formation. Body size is often tracked to characterize and integrate across multiple ecological dimensions. dagger S. macrota body size distributions indicate limited changes during TELMs 2-5 based on anterior tooth crown height (n = 450, mean = 19.6 +/- 6.4 mm). Similarly, environmental conditions remained stable through this period based on delta O-18(PO4) values from tooth enameloid (n = 42; 21.5 +/- 1.6 parts per thousand), which corresponds to a mean temperature of 22.0 +/- 4.0 degrees C. Our preliminary epsilon(Nd) (n = 4) results indicate an early Drake Passage opening with Pacific inputs during TELM 2-3 (45-43 Ma) based on single unit variation with an overall radiogenic trend. Two possible hypotheses to explain these observations are (1) dagger S. macrota modified its migration behavior to ameliorate environmental changes related to the Drake Passage opening, or (2) the local climate change was small and gateway opening had little impact. While we cannot rule out an ecological explanation, a comparison with climate model results suggests that increased CO2 produces warm conditions that also parsimoniously explain the observations.</t>
  </si>
  <si>
    <t>[Kim, Sora L.; Zeichner, Sarah S.; Colman, Albert S.] Univ Chicago, Dept Geophys Sci, 5734 S Ellis Ave, Chicago, IL 60637 USA; [Kim, Sora L.] Univ Calif, Dept Life &amp; Environm Sci, Merced, CA 95343 USA; [Zeichner, Sarah S.] CALTECH, Div Geol &amp; Planetary Sci, Pasadena, CA 91125 USA; [Colman, Albert S.] Rice Univ, Dept Earth Environm &amp; Planetary Sci, Houston, TX 77005 USA; [Scher, Howie D.] Univ South Carolina, Dept Earth Ocean &amp; Environm, Columbia, SC 29208 USA; [Kriwet, Jurgen] Univ Vienna, Dept Palaeontol, Vienna, Austria; [Mors, Thomas] Swedish Museum Nat Hist, Dept Palaeobiol, Stockholm, Sweden; [Mors, Thomas] Stockholm Univ, Bolin Ctr Climate Res, Stockholm, Sweden; [Huber, Matthew] Purdue Univ, Dept Earth Atmosphere &amp; Planetary Sci, W Lafayette, IN 47907 USA</t>
  </si>
  <si>
    <t>University of Chicago; University of California System; University of California Merced; California Institute of Technology; Rice University; University of South Carolina System; University of South Carolina Columbia; University of Vienna; Swedish Museum of Natural History; Purdue University System; Purdue University</t>
  </si>
  <si>
    <t>Kim, SL (corresponding author), Univ Chicago, Dept Geophys Sci, 5734 S Ellis Ave, Chicago, IL 60637 USA.;Kim, SL (corresponding author), Univ Calif, Dept Life &amp; Environm Sci, Merced, CA 95343 USA.</t>
  </si>
  <si>
    <t>skim380@ucmerced.edu</t>
  </si>
  <si>
    <t>Kim, Sora/HZK-4185-2023; Scher, Howie/C-4927-2013; Huber, Matthew/A-7677-2008</t>
  </si>
  <si>
    <t>Huber, Matthew/0000-0002-2771-9977; Colman, Albert/0000-0002-8220-8280; Kim, Sora/0000-0002-4900-3101; Zeichner, Sarah/0000-0001-8897-7657; Mors, Thomas/0000-0003-2268-5824; Kriwet, Jurgen/0000-0002-6439-8455</t>
  </si>
  <si>
    <t>Swedish Research Council (VR) [2009-4447]; Austrian Science Fund (FWF) [P26465-B25]; National Science Foundation [NSF OPP 1842049, NSF MRI 0923831, NSF OPP 1842176, NSF OPP 1842059]</t>
  </si>
  <si>
    <t>Swedish Research Council (VR)(Swedish Research Council); Austrian Science Fund (FWF)(Austrian Science Fund (FWF)); National Science Foundation(National Science Foundation (NSF))</t>
  </si>
  <si>
    <t>We thank Dr. Patricia Holroyd at the University of California Museum of Paleontology for her introduction to the sand tiger sharks of Seymour Island and especially her encouragement and support of SLK. In addition, we thank Leslie Skibinski and Dr. Greg Dietl at the Paleontological Research Institution for access to the Zinsmeister Antarctica Collection as well as Leslie Skibinski and Dr. Jeffrey Stilwell for associated locality information. For teeth collected in recent expeditions, we thank the Argentine Antarctic Institute (IAA-DNA), especially Dr. Marcelo Reguero and the Argentine Air Force for logistical fieldwork support and the great hospitality at the Marambio Base; the Swedish Polar Research Secretariat (SPFS) for logistical support; and Dr. Federico Degrange, Jonas Hagstrom, Juan-Jose Moly, Dr. Jose O'Gorman, and Dr. Claudia Tambussi for assistance in the field. Financial support to TM for field work from the Swedish Research Council (VR Grant 2009-4447) is gratefully acknowledged. Financial support was provided by the Austrian Science Fund (FWF, grant P26465-B25) to JK; National Science Foundation to SLK (NSF OPP 1842049), ACS (NSF MRI 0923831), HDS (NSF OPP 1842176), and MH (NSF OPP 1842059). We also thank Dr. Linda Ivany for her ongoing conversations and feedback that shaped many dimensions of this project as well as Dr. Peter Bijl and Dr. Alex Farnsworth for their thoughtful and constructive reviews.</t>
  </si>
  <si>
    <t>e2020PA003997</t>
  </si>
  <si>
    <t>10.1029/2020PA003997</t>
  </si>
  <si>
    <t>WOS:000603661700002</t>
  </si>
  <si>
    <t>Köhler, P; Munhoven, G</t>
  </si>
  <si>
    <t>Koehler, Peter; Munhoven, Guy</t>
  </si>
  <si>
    <t>Late Pleistocene Carbon Cycle Revisited by Considering Solid Earth Processes</t>
  </si>
  <si>
    <t>carbon cycle; Pleistocene; volcanic CO2 release; weathering; coral reefs; modeling</t>
  </si>
  <si>
    <t>LAST GLACIAL MAXIMUM; ATMOSPHERIC CO2; NORTH-ATLANTIC; SEA-ICE; SOUTHERN-OCEAN; CHRONOLOGY AICC2012; CLIMATE VARIABILITY; CALCIUM-CARBONATE; ANTARCTIC ICE; SYSTEM MODEL</t>
  </si>
  <si>
    <t>The importance of volcanic CO2 release, continental weathering, and coral reef growth on the global carbon cycle has been highlighted by several different studies. Based on these independent approaches, we here revisit the last 800 kyr with the box model BICYCLE, which has been extended to be able to address these solid Earth contributions to the carbon cycle. We show that the volcanic outgassing of CO2 as a function of sea level change from mid-ocean ridges and hot spot island volcanoes cannot be the generic process that leads during phases of falling obliquity to a sea level-CO2 decoupling as has been suggested before. The combined contribution from continental and marine volcanism, if both lagging sea level change by 4 kyr, might have added up to 13 ppm to the glacial/interglacial CO2 rise. Coral reef growth as suggested by an independent model is during glacial terminations about an order of magnitude too high to be reconciled with meaningful carbon cycle dynamics. Global riverine input of bicarbonate caused by silicate and carbonate weathering is suggested to have been stable over Termination I. However, if weathering fluxes are changed by up to 50% in sensitivity experiments, the corresponding bicarbonate input might contribute less than 20 ppm to the deglacial atmospheric CO2 rise. The overall agreement of results with the new process-based sediment module and the previously applied time-delayed response function to mimic carbonate compensation gives confidence in the results obtained in previous applications of the BICYCLE model without solid Earth processes.</t>
  </si>
  <si>
    <t>[Koehler, Peter] Helmholtz Zentrum Polar &amp; Meeresforsch AWI, Alfred Wegener Inst, Bremerhaven, Germany; [Munhoven, Guy] Univ Liege, Lab Phys Atmospher &amp; Planetaire, Liege, Belgium</t>
  </si>
  <si>
    <t>Helmholtz Association; Alfred Wegener Institute, Helmholtz Centre for Polar &amp; Marine Research; University of Liege</t>
  </si>
  <si>
    <t>Köhler, P (corresponding author), Helmholtz Zentrum Polar &amp; Meeresforsch AWI, Alfred Wegener Inst, Bremerhaven, Germany.</t>
  </si>
  <si>
    <t>Peter.Koehler@awi.de</t>
  </si>
  <si>
    <t>Köhler, Peter/F-7293-2010</t>
  </si>
  <si>
    <t>Köhler, Peter/0000-0003-0904-8484</t>
  </si>
  <si>
    <t>BMBF; Projekt DEAL</t>
  </si>
  <si>
    <t>BMBF(Federal Ministry of Education &amp; Research (BMBF)); Projekt DEAL</t>
  </si>
  <si>
    <t>P. K. contributed to PACES-II, the current Helmholtz research program at AWI. G. M. is a Research Associate with the Belgian Fund for Scientific Research, F.R.S.-FNRS. We thank M. Willeit for access to CLIMBER simulation output; L. Husson and Y. Yu for sending and discussing data; T. Felis, J. Borker, J. Hartmann, and G. Knorr for comments on early versions of this manuscript; and F. Joos and an anonymous reviewer for their reviews. This study contributes to PALMOD, the German Paleomodeling Research Project funded by BMBF. Open access funding enabled and organized by Projekt DEAL.</t>
  </si>
  <si>
    <t>e2020PA004020</t>
  </si>
  <si>
    <t>10.1029/2020PA004020</t>
  </si>
  <si>
    <t>WOS:000603661700006</t>
  </si>
  <si>
    <t>Sosdian, SM; Lear, CH</t>
  </si>
  <si>
    <t>Sosdian, S. M.; Lear, C. H.</t>
  </si>
  <si>
    <t>Initiation of the Western Pacific Warm Pool at the Middle Miocene Climate Transition?</t>
  </si>
  <si>
    <t>Miocene; tropics; Mg; Ca; planktic foraminifera; glaciation; Indo‐ Pacific</t>
  </si>
  <si>
    <t>SEA-SURFACE TEMPERATURE; FORAMINIFERAL MG/CA-PALEOTHERMOMETRY; EQUATORIAL PACIFIC; OCEAN CIRCULATION; LEEUWIN CURRENT; INDIAN-OCEAN; PLANKTONIC-FORAMINIFERA; SEAWATER CHEMISTRY; CURRENT SYSTEM; ICE VOLUME</t>
  </si>
  <si>
    <t>Across the middle Miocene, Earth's climate underwent a major cooling and expansion of the Antarctic ice sheet. However, the associated response and development of the tropical climate system is not fully understood, in part because this is influenced by both global climate and also low-latitude tectonic gateways and paleoceanography. Here we use combined delta O-18 and Mg/Ca of planktic foraminifera to reconstruct the thermal history and changes in hydrology from the Indo-Pacific region from 16.5 to 11.5 Ma. During the warmth of the early middle Miocene, our records indicate a dynamic ocean-atmosphere system in the Indo-Pacific region, with episodes of saltier and warmer tropical surface waters associated with high pCO(2) and retreat of the Antarctic ice sheet. We show that across the Middle Miocene Climate Transition (MMCT) surface ocean temperatures in the Indo-Pacific cooled by similar to 2 degrees C, synchronous with the advance of the Antarctic ice sheet. The associated cooling in the Southern Ocean appears to have started earlier and was stronger. Further, we show that western Pacific Ocean warmed and eastern tropical Indian Ocean freshened following the MMCT, likely caused by the constriction of the Indonesian Seaway and reduced connectivity between the Pacific and Indian Oceans following Antarctic glaciation. The MMCT therefore represented a key phase in the evolution of the West Pacific Warm Pool and associated tropical climate dynamics.</t>
  </si>
  <si>
    <t>[Sosdian, S. M.; Lear, C. H.] Cardiff Univ, Sch Earth &amp; Ocean Sci, Cardiff, Wales</t>
  </si>
  <si>
    <t>Cardiff University</t>
  </si>
  <si>
    <t>Sosdian, SM (corresponding author), Cardiff Univ, Sch Earth &amp; Ocean Sci, Cardiff, Wales.</t>
  </si>
  <si>
    <t>sosdians@cardiff.ac.uk</t>
  </si>
  <si>
    <t>Lear, Caroline H/D-2582-2009</t>
  </si>
  <si>
    <t>sosdian, sindia/0000-0002-4599-5529; Lear, Caroline/0000-0002-7533-4430</t>
  </si>
  <si>
    <t>Natural Environment Research Council (NERC) [NE/I006427/1]; NERC [NE/I006427/1] Funding Source: UKRI</t>
  </si>
  <si>
    <t>Natural Environment Research Council (NERC)(UK Research &amp; Innovation (UKRI)Natural Environment Research Council (NERC)); NERC(UK Research &amp; Innovation (UKRI)Natural Environment Research Council (NERC))</t>
  </si>
  <si>
    <t>Funding for this research was provided by the Natural Environment Research Council (NERC) Grant NE/I006427/1 to C. H. L. We thank D. Lunt and A. Farnsworth for discussions on the climate implications of this study, P. Moffa Sanchez for constructive criticism on an earlier version of this manuscript, P. Pearson for assistance with foraminiferal taxonomy, and Anabel Morte-Rodenas for lab assistance.</t>
  </si>
  <si>
    <t>e2020PA003920</t>
  </si>
  <si>
    <t>10.1029/2020PA003920</t>
  </si>
  <si>
    <t>WOS:000603661700012</t>
  </si>
  <si>
    <t>Tanner, T; Hernández-Almeida, I; Drury, AJ; Guitián, J; Stoll, H</t>
  </si>
  <si>
    <t>Tanner, Thomas; Hernandez-Almeida, Ivan; Drury, Anna Joy; Guitian, Jose; Stoll, Heather</t>
  </si>
  <si>
    <t>Decreasing Atmospheric CO2 During the Late Miocene Cooling</t>
  </si>
  <si>
    <t>late Miocene cooling; pCO(2) reconstruction; Alkenone</t>
  </si>
  <si>
    <t>CARBON-ISOTOPE FRACTIONATION; ANTARCTIC SEA-ICE; SOUTHERN-OCEAN; EARLY PLIOCENE; EQUATORIAL PACIFIC; PLANKTONIC-FORAMINIFERA; EMILIANIA-HUXLEYI; CLIMATE-CHANGE; ATLANTIC; GROWTH</t>
  </si>
  <si>
    <t>A pronounced late Miocene cooling (LMC) from similar to 7 to 5.7 Ma has been documented in extratropical and tropical sea surface temperature records, but to date, available proxy evidence has not revealed a significant pCO(2) decline over this event. Here, we provide a new, high-resolution pCO(2) proxy record over the LMC based on alkenone carbon isotopic fractionation (epsilon(p)) measured in sediments from the South Atlantic at Ocean Drilling Program (ODP) Site 1088. We apply a recent proxy calibration derived from a compilation of laboratory cultures, which more accurately reflects the proxy sensitivity to pCO(2) changes during late Quaternary glacial-interglacial cycles, together with new micropaleontological proxies to reconstruct past variations in algal growth rate, an important secondary influence on the epsilon(p.) Our resulting pCO(2) record suggests an approximately twofold to threefold decline over the LMC and confirms a strong coupling between climate and pCO(2) through the late Miocene. Within this long-term trend are pCO(2) variations on sub-myr timescales that may reflect 400-kyr long-eccentricity cycles, in which pCO(2) minima coincide with several orbital-scale maxima in published high-resolution benthic delta O-18 records. These may correspond to ephemeral glaciations, potentially in the Northern Hemisphere. Our temperature and planktonic delta O-18 records from Site 1088 are consistent with substantial equatorward movement of Southern Ocean frontal systems during the LMC. This suggests that potential feedbacks between cooling, ocean circulation and deep ocean CO2 storage may warrant further investigation during the LMC.</t>
  </si>
  <si>
    <t>[Tanner, Thomas; Hernandez-Almeida, Ivan; Guitian, Jose; Stoll, Heather] Swiss Fed Inst Technol, Geol Inst, Zurich, Switzerland; [Drury, Anna Joy] UCL, Dept Earth Sci, London, England</t>
  </si>
  <si>
    <t>Swiss Federal Institutes of Technology Domain; ETH Zurich; University of London; University College London</t>
  </si>
  <si>
    <t>Tanner, T (corresponding author), Swiss Fed Inst Technol, Geol Inst, Zurich, Switzerland.</t>
  </si>
  <si>
    <t>thomas.tanner@erdw.ethz.ch</t>
  </si>
  <si>
    <t>Guitián, José/AAB-1241-2021; ALMEIDA, IVAN HERNANDEZ/G-3134-2015; Guitian, Jose/GLN-7735-2022; Drury, Anna Joy/A-5237-2017; Stoll, Heather/G-9066-2012</t>
  </si>
  <si>
    <t>Guitián, José/0000-0002-3346-4472; ALMEIDA, IVAN HERNANDEZ/0000-0002-9329-8357; Guitian, Jose/0000-0002-3346-4472; Drury, Anna Joy/0000-0001-6206-7284; Tanner, Thomas/0000-0003-1233-3294; Stoll, Heather/0000-0002-2953-7835</t>
  </si>
  <si>
    <t>Swiss National Science Foundation [200021_182070]; Swiss National Science Foundation (SNF) [200021_182070] Funding Source: Swiss National Science Foundation (SNF)</t>
  </si>
  <si>
    <t>Swiss National Science Foundation(Swiss National Science Foundation (SNSF)); Swiss National Science Foundation (SNF)(Swiss National Science Foundation (SNSF))</t>
  </si>
  <si>
    <t>Sediment samples were provided by the Integrated Ocean Drilling Program (IODP). The authors thank Madallina Jaggi and Stewart Bishop from Climate Geology Group at ETH Zurich for their support and assistance in the laboratory and three anonymous reviewers whose comments greatly improved the manuscript. This research was funded by the Swiss National Science Foundation (Award 200021_182070 to Heather Stoll).</t>
  </si>
  <si>
    <t>e2020PA003925</t>
  </si>
  <si>
    <t>10.1029/2020PA003925</t>
  </si>
  <si>
    <t>WOS:000603661700015</t>
  </si>
  <si>
    <t>van der Weijst, CMH; Winkelhorst, J; Lourens, L; Raymo, ME; Sangiorgi, F; Sluijs, A</t>
  </si>
  <si>
    <t>van der Weijst, Carolien M. H.; Winkelhorst, Josse; Lourens, Lucas; Raymo, Maureen E.; Sangiorgi, Francesca; Sluijs, Appy</t>
  </si>
  <si>
    <t>A Ternary Mixing Model Approach Using Benthic Foraminifer δ13C-δ18O Data to Reconstruct Late Pliocene Deep Atlantic Water Mass Mixing</t>
  </si>
  <si>
    <t>Pliocene; Atlantic Meridional Overturning Circulation; benthic δ 13C‐ δ 18O; ternary mixing model; M2 glacial; eastern equatorial Atlantic</t>
  </si>
  <si>
    <t>ANTARCTIC BOTTOM WATER; NORTH-ATLANTIC; OCEAN CIRCULATION; EQUATORIAL ATLANTIC; ISOTOPE COMPOSITION; CARBON; OXYGEN; VARIABILITY; DELTA-O-18; TEMPERATURES</t>
  </si>
  <si>
    <t>Late Pliocene deep Atlantic delta C-13 data have been interpreted as evidence for enhanced Atlantic Meridional Overturning Circulation (AMOC) compared to the present, but this hypothesis is not supported by the Pliocene Model Intercomparison Project (PlioMIP). Here, we adopt a new approach to assess variability in deep ocean circulation based on paired stable carbon (delta C-13) and oxygen isotopes (delta O-18) of benthic foraminifera, both (semi)conservative water mass tracers. Assuming that deep Atlantic benthic delta C-13-delta O-18 variability is predominantly driven by mixing, we extrapolate the delta C-13-delta O-18 data outside the sampled range to identify the end-members. At least three end-members are needed to explain the spatial delta C-13-delta O-18 variability in the deep North Atlantic Ocean: two Northern Component Water (NCW) and one Southern Component Water (SCW) water masses. We use a ternary mixing model to quantify the mixing proportions between SCW and NCW in the deep Atlantic Ocean. Our analysis includes new data from Ocean Drilling Program Sites 959 and 662 in the eastern equatorial Atlantic and suggests that the AMOC cell was deeper during the M2 glacial than during late Pliocene interglacials. Moreover, we identify a new cold and well-ventilated water mass that was geographically restricted to the southeast Atlantic Ocean between 3.6 and 2.7 Ma and did not contribute significantly to the delta C-13-delta O-18 variability of the rest of the basin. This high-delta C-13 high-delta O-18 water mass has led to the misconception of a reduced latitudinal delta C-13 gradient. Our analyses show that the late Pliocene delta C-13 gradient between NCW and SCW was similar to the present-day value of 1.1 parts per thousand.</t>
  </si>
  <si>
    <t>[van der Weijst, Carolien M. H.; Winkelhorst, Josse; Lourens, Lucas; Sangiorgi, Francesca; Sluijs, Appy] Univ Utrecht, Fac Geosci, Dept Earth Sci, Utrecht, Netherlands; [Raymo, Maureen E.] Columbia Univ, Lamont Doherty Earth Observ, New York, NY USA</t>
  </si>
  <si>
    <t>Utrecht University; Columbia University</t>
  </si>
  <si>
    <t>van der Weijst, CMH (corresponding author), Univ Utrecht, Fac Geosci, Dept Earth Sci, Utrecht, Netherlands.</t>
  </si>
  <si>
    <t>c.m.h.vanderweijst@uu.nl</t>
  </si>
  <si>
    <t>Sluijs, Appy/B-3726-2009</t>
  </si>
  <si>
    <t>Ministry of Education, Culture and Science</t>
  </si>
  <si>
    <t>Ministry of Education, Culture and Science(Ministry of Education, Culture, Sports, Science and Technology, Japan (MEXT))</t>
  </si>
  <si>
    <t>We thank the International Ocean Discovery Program and the predecessor drilling programs for samples and data, and Walter Hale (Bremen Core Repository), Wilrieke Boterblom, and Hans van Hateren (both of Utrecht University) for their help in core sampling. Arnold van Dijk (Utrecht University) is thanked for analytical support, and Tanja Kouwenhoven for taxonomic advice. We are grateful to Stijn de Schepper (University of Bergen) for sharing MIS-M2 delta13C data of Site U1308. We thank Molly Patterson (Binghamton University) for sharing and advising on the data from Site 1123. Finally, we thank two anonymous reviewers whose constructive comments helped to improve this manuscript. This work was carried out under the program of the Netherlands Earth System Science Centre (NESSC), financially supported by the Ministry of Education, Culture and Science (OCW).</t>
  </si>
  <si>
    <t>e2019PA003804</t>
  </si>
  <si>
    <t>10.1029/2019PA003804</t>
  </si>
  <si>
    <t>WOS:000603661700017</t>
  </si>
  <si>
    <t>Yang, XP; Groeneveld, J; Jian, ZM; Steinke, S; Giosan, L</t>
  </si>
  <si>
    <t>Yang, Xueping; Groeneveld, Jeroen; Jian, Zhimin; Steinke, Stephan; Giosan, Liviu</t>
  </si>
  <si>
    <t>Middle Miocene Intensification of South Asian Monsoonal Rainfall</t>
  </si>
  <si>
    <t>middle Miocene; South Asian monsoon; Arabian Sea; stable isotopes; trace elements</t>
  </si>
  <si>
    <t>PLANKTONIC-FORAMINIFERA; INTERMEDIATE WATER; CLIMATIC TRANSITION; TIBETAN PLATEAU; SEA; EVOLUTION; CIRCULATION; RECORD; UPLIFT; PALEOCLIMATE</t>
  </si>
  <si>
    <t>During the middle Miocene, Earth's climate changed from a global warm period (Miocene Climatic Optimum) into a colder one with the expansion of the Antarctic ice sheet. This prominent climate transition was also a period of drastic changes in global atmospheric circulation. The development of the South Asian monsoon is not well understood and mainly derived from proxy records of wind strength. Data for middle Miocene changes in rainfall are virtually non-existent for India and the Arabian Sea prior to 11 Ma. This study presents planktic foraminiferal trace element (Mg/Ca and Ba/Ca) and stable oxygen isotope records from NGHP-01 Site 01A off the coast of West India in the Eastern Arabian Sea (EAS) to reconstruct the regional surface hydrography and hydroclimate in the South Asian monsoon (SAM) region during the middle Miocene. The Ba/Ca and local seawater delta O-18 (delta(18)Osw) changes reveal a notable gradual increase in SAM rainfall intensity during the middle Miocene. Additionally to this long-term increase in precipitation, the seawater delta O-18 is punctuated by a prominent decrease, i.e. freshening, at similar to 14 Ma contemporary with Antarctic glaciation. This suggests that Southern Ocean Intermediate Waters (SOIW) transmitted Antarctic salinity changes into the Arabian Sea via an oceanic tunnel mechanism. The middle Miocene increase in SAM rainfall is consistent with climate model simulations of an overall strengthening Asian monsoon from the Eocene to the middle/late Miocene with a further acceleration after the middle Miocene climate transition.</t>
  </si>
  <si>
    <t>[Yang, Xueping; Steinke, Stephan] Xiamen Univ, Dept Geol Oceanog, Xiamen, Peoples R China; [Yang, Xueping; Steinke, Stephan] Xiamen Univ, State Key Lab Marine Environm Sci, Xiamen, Peoples R China; [Groeneveld, Jeroen] Helmholtz Ctr Polar &amp; Marine Res, Alfred Wegener Inst, Potsdam, Germany; [Jian, Zhimin] Tongji Univ, State Key Lab Marine Geol, Shanghai, Peoples R China; [Giosan, Liviu] Woods Hole Oceanog Inst, Geol &amp; Geophys, Woods Hole, MA 02543 USA</t>
  </si>
  <si>
    <t>Xiamen University; Xiamen University; Helmholtz Association; Alfred Wegener Institute, Helmholtz Centre for Polar &amp; Marine Research; Tongji University; Woods Hole Oceanographic Institution</t>
  </si>
  <si>
    <t>Steinke, S (corresponding author), Xiamen Univ, Dept Geol Oceanog, Xiamen, Peoples R China.;Steinke, S (corresponding author), Xiamen Univ, State Key Lab Marine Environm Sci, Xiamen, Peoples R China.</t>
  </si>
  <si>
    <t>ssteinke@xmu.edu.cn</t>
  </si>
  <si>
    <t>Groeneveld, Jeroen/0000-0002-8382-8019</t>
  </si>
  <si>
    <t>National Natural Science Foundation of China [41776055, 919582080]; State Key Laboratory of Marine Environmental Science (Xiamen University) [MELRS1915]</t>
  </si>
  <si>
    <t>National Natural Science Foundation of China(National Natural Science Foundation of China (NSFC)); State Key Laboratory of Marine Environmental Science (Xiamen University)(Xiamen University)</t>
  </si>
  <si>
    <t>This study has been funded by the National Natural Science Foundation of China through a grant to S. Steinke (NSFC grant No. 41776055) and Z. Jian and S. Steinke (NSFC grant No. 919582080). We express our gratitude to H. Kuhnert (MARUM, University of Bremen) and his team for stable isotope analyses. We thank P. Qiao (Tongji University Shanghai) for technical and analytical support with the ICP-MS analyses, A. Dolman (Alfred-Wegener Institute, Helmholtz Centre for Polar and Marine Research, Potsdam, Germany) for statistical analyses, and B. Wang (State Key Laboratory of Marine Environmental Science, Xiamen University) and his team for the SEM-EDAX Energy Dispersive X-ray Spectroscopy (EDS) analyses. L. Giosan acknowledges funding from USSP and WHOI and thanks colleagues and crew from the NGHP-01 expedition for intellectual interactions leading to long-standing interests in the fluvial-continental margin systems of Peninsular India. J. Groeneveld thanks the State Key Laboratory of Marine Environmental Science (Xiamen University) for a MEL Senior Visiting Fellowship (Project No. MELRS1915).</t>
  </si>
  <si>
    <t>e2020PA003853</t>
  </si>
  <si>
    <t>10.1029/2020PA003853</t>
  </si>
  <si>
    <t>WOS:000603661700001</t>
  </si>
  <si>
    <t>Noble, TL; Rohling, EJ; Aitken, ARA; Bostock, HC; Chase, Z; Gomez, N; Jong, LM; King, MA; Mackintosh, AN; McCormack, FS; McKay, RM; Menviel, L; Phipps, SJ; Weber, ME; Fogwill, CJ; Gayen, B; Golledge, NR; Gwyther, DE; Hogg, AM; Martos, YM; Pena-Molino, B; Roberts, J; van de Flierdt, T; Williams, T</t>
  </si>
  <si>
    <t>Noble, T. L.; Rohling, E. J.; Aitken, A. R. A.; Bostock, H. C.; Chase, Z.; Gomez, N.; Jong, L. M.; King, M. A.; Mackintosh, A. N.; McCormack, F. S.; McKay, R. M.; Menviel, L.; Phipps, S. J.; Weber, M. E.; Fogwill, C. J.; Gayen, B.; Golledge, N. R.; Gwyther, D. E.; Hogg, A. McC; Martos, Y. M.; Pena-Molino, B.; Roberts, J.; van de Flierdt, T.; Williams, T.</t>
  </si>
  <si>
    <t>The Sensitivity of the Antarctic Ice Sheet to a Changing Climate: Past, Present, and Future</t>
  </si>
  <si>
    <t>REVIEWS OF GEOPHYSICS</t>
  </si>
  <si>
    <t>past; Antarctic Ice Sheet; processes; sea level; interaction; climate</t>
  </si>
  <si>
    <t>PINE ISLAND GLACIER; SEA-LEVEL RISE; CIRCUMPOLAR DEEP-WATER; GROUNDING-LINE RETREAT; BENEATH THWAITES GLACIER; CENOZOIC LANDSCAPE EVOLUTION; CONTINENTAL-MARGIN SEDIMENTS; DYNAMIC TOPOGRAPHY CHANGE; SUBGLACIAL LAKE WHILLANS; SEISMIC-WAVE PROPAGATION</t>
  </si>
  <si>
    <t>The Antarctic Ice Sheet (AIS) is out of equilibrium with the current anthropogenic-enhanced climate forcing. Paleoenvironmental records and ice sheet models reveal that the AIS has been tightly coupled to the climate system during the past and indicate the potential for accelerated and sustained Antarctic ice mass loss into the future. Modern observations by contrast suggest that the AIS has only just started to respond to climate change in recent decades. The maximum projected sea level contribution from Antarctica to 2100 has increased significantly since the Intergovernmental Panel on Climate Change (IPCC) 5th Assessment Report, although estimates continue to evolve with new observational and theoretical advances. This review brings together recent literature highlighting the progress made on the known processes and feedbacks that influence the stability of the AIS. Reducing the uncertainty in the magnitude and timing of the future sea level response to AIS change requires a multidisciplinary approach that integrates knowledge of the interactions between the ice sheet, solid Earth, atmosphere, and ocean systems and across time scales of days to millennia. We start by reviewing the processes affecting AIS mass change, from atmospheric and oceanic processes acting on short time scales (days to decades), through to ice processes acting on intermediate time scales (decades to centuries) and the response to solid Earth interactions over longer time scales (decades to millennia). We then review the evidence of AIS changes from the Pliocene to the present and consider the projections of global sea level rise and their consequences. We highlight priority research areas required to improve our understanding of the processes and feedbacks governing AIS change.</t>
  </si>
  <si>
    <t>[Noble, T. L.; Chase, Z.; Phipps, S. J.; Gwyther, D. E.] Univ Tasmania, Inst Marine &amp; Antarctic Studies, Hobart, Tas, Australia; [Rohling, E. J.; Hogg, A. McC] Australian Natl Univ, Res Sch Earth Sci, Canberra, ACT, Australia; [Rohling, E. J.] Univ Southampton, Natl Oceanog Ctr, Ocean &amp; Earth Sci, Southampton, Hants, England; [Aitken, A. R. A.] Univ Western Australia, Sch Earth Sci, Perth, WA, Australia; [Bostock, H. C.] Univ Queensland, Sch Earth &amp; Environm Sci, Brisbane, Qld, Australia; [Gomez, N.] McGill Univ, Dept Earth &amp; Planetary Sci, Montreal, PQ, Canada; [Jong, L. M.; Roberts, J.] Dept Agr Water &amp; Environm, Australian Antarctic Div, Kingston, Tas, Australia; [Jong, L. M.; Pena-Molino, B.; Roberts, J.] Univ Tasmania, Inst Marine &amp; Antarctic Studies, Australian Antarctic Program Partnership, Hobart, Tas, Australia; [King, M. A.] Univ Tasmania, Sch Technol Environm &amp; Design, Hobart, Tas, Australia; [Mackintosh, A. N.; McCormack, F. S.] Monash Univ, Sch Earth Atmosphere &amp; Environm, Melbourne, Vic, Australia; [McKay, R. M.; Golledge, N. R.] Victoria Univ Wellington, Antarctic Res Ctr, Wellington, New Zealand; [Menviel, L.] Univ New South Wales, Climate Change Res Ctr, PANGEA, Sydney, NSW, Australia; [Weber, M. E.] Univ Bonn, Steinmann Inst, Bonn, Germany; [Fogwill, C. J.] Keele Univ, Geog Geol &amp; Environm, Keele, Staffs, England; [Gayen, B.] Univ Melbourne, Dept Mech Engn, Melbourne, Vic, Australia; [Hogg, A. McC] ARC Ctr Excellence Climate Syst Sci, Sydney, NSW, Australia; [Martos, Y. M.] Univ Maryland, Dept Astron, College Pk, MD 20742 USA; [Martos, Y. M.] NASA, Planetaty Magnetospheres Lab, Goddard Space Flight Ctr, Greenbelt, MD USA; [Pena-Molino, B.] CSIRO, Ocean &amp; Atmosphere, Hobart, Tas, Australia; [van de Flierdt, T.] Imperial Coll London, Dept Earth Sci &amp; Engn, London, England; [Williams, T.] Texas A&amp;M Univ, Int Ocean Discovery Program, College Stn, TX USA</t>
  </si>
  <si>
    <t>University of Tasmania; Australian National University; University of Southampton; NERC National Oceanography Centre; University of Western Australia; University of Queensland; McGill University; Australian Antarctic Division; University of Tasmania; University of Tasmania; Melbourne Genomics Health Alliance; Monash University; Victoria University Wellington; University of New South Wales Sydney; University of Bonn; Keele University; University of Melbourne; Melbourne Bioinformatics; ARC Centre of Excellence for Climate System Science; University System of Maryland; University of Maryland College Park; National Aeronautics &amp; Space Administration (NASA); NASA Goddard Space Flight Center; Commonwealth Scientific &amp; Industrial Research Organisation (CSIRO); Imperial College London; Texas A&amp;M University System; Texas A&amp;M University College Station</t>
  </si>
  <si>
    <t>Noble, TL (corresponding author), Univ Tasmania, Inst Marine &amp; Antarctic Studies, Hobart, Tas, Australia.</t>
  </si>
  <si>
    <t>taryn.noble@utas.edu.au</t>
  </si>
  <si>
    <t>Jong, Lenneke M/AAT-3230-2020; Bostock, Helen/A-6834-2013; Fogwill, Christopher/HPF-1150-2023; Pena-Molino, Beatriz/IYK-0313-2023; Fogwill, Chris/AAW-3502-2021; Phipps, Steven J/B-3135-2008; Rohling, Eelco J/B-9736-2008; Hogg, Andy/AAZ-8733-2021; Gwyther, David E/Q-2987-2018; King, Matt/B-4622-2008; Hogg, Andy McC./A-7553-2011; McCormack, Felicity/B-9218-2015; Gayen, Bishakhdatta/D-9679-2011; Chase, Zanna/E-9232-2013</t>
  </si>
  <si>
    <t>Jong, Lenneke M/0000-0001-6707-570X; Bostock, Helen/0000-0002-8903-8958; Pena-Molino, Beatriz/0000-0003-1587-1696; Fogwill, Chris/0000-0002-6471-1106; Rohling, Eelco J/0000-0001-5349-2158; Hogg, Andy/0000-0001-5898-7635; Gwyther, David E/0000-0002-7218-2785; King, Matt/0000-0001-5611-9498; Hogg, Andy McC./0000-0001-5898-7635; McKay, Robert/0000-0002-5602-6985; McCormack, Felicity/0000-0002-2324-2120; Gayen, Bishakhdatta/0000-0001-6543-2590; Noble, Taryn/0000-0002-5708-751X; Aitken, Alan/0000-0002-6375-2504; Golledge, Nicholas/0000-0001-7676-8970; Chase, Zanna/0000-0001-5060-779X; Mackintosh, Andrew/0000-0002-6430-4711</t>
  </si>
  <si>
    <t>Australian Academy of Sciences; Australian Research Council's Special Research Initiative for Antarctic Gateway Partnership [SR140300001]; University of Tasmania; Australian Research Council [SR200100008]; Science Industry Endowment Fund John Stocker Postdoctoral Fellowship; Australian Research Council [SR200100008] Funding Source: Australian Research Council; NERC [NE/H014144/1, NE/R018219/1, NE/L004607/1, NE/I006257/1] Funding Source: UKRI</t>
  </si>
  <si>
    <t>Australian Academy of Sciences; Australian Research Council's Special Research Initiative for Antarctic Gateway Partnership(Australian Research Council); University of Tasmania; Australian Research Council(Australian Research Council); Science Industry Endowment Fund John Stocker Postdoctoral Fellowship; Australian Research Council; NERC(UK Research &amp; Innovation (UKRI)Natural Environment Research Council (NERC))</t>
  </si>
  <si>
    <t>This review paper is the result of a workshop sponsored by the Australian Academy of Sciences Frederick and Elizabeth White Award, the Australian Research Council's Special Research Initiative for Antarctic Gateway Partnership (Project ID SR140300001), and the University of Tasmania. This work contributes to The Australian Centre for Excellence in Antarctic Science funded by Australian Research Council Project ID SR200100008. T. L. N. was supported by the Science Industry Endowment Fund John Stocker Postdoctoral Fellowship. The authors are grateful to C.-D. Hillenbrand and S. S. R. Jamieson for extensive and thorough reviews and for sharing their knowledge of all things Antarctic. Thanks to A. Durand for initial reference support, S. Cook and T. Staal for editing text, and L. Bell for graphic design.</t>
  </si>
  <si>
    <t>8755-1209</t>
  </si>
  <si>
    <t>1944-9208</t>
  </si>
  <si>
    <t>REV GEOPHYS</t>
  </si>
  <si>
    <t>Rev. Geophys.</t>
  </si>
  <si>
    <t>e2019RG000663</t>
  </si>
  <si>
    <t>10.1029/2019RG000663</t>
  </si>
  <si>
    <t>PM2VY</t>
  </si>
  <si>
    <t>WOS:000603664800001</t>
  </si>
  <si>
    <t>Chang, P; Zhang, SQ; Danabasoglu, G; Yeager, SG; Fu, HH; Wang, H; Castruccio, FS; Chen, YH; Edwards, J; Fu, D; Jia, YL; Laurindo, LC; Liu, X; Rosenbloom, N; Small, RJ; Xu, GP; Zeng, YH; Zhang, QY; Bacmeister, J; Bailey, DA; Duan, XH; DuVivier, AK; Li, DP; Li, YX; Neale, R; Stössel, A; Wang, L; Zhuang, Y; Baker, A; Bates, S; Dennis, J; Diao, XL; Gan, BL; Gopal, A; Jia, DN; Jing, Z; Ma, XH; Saravanan, R; Strand, WG; Tao, J; Yang, HY; Wang, XQ; Wei, ZQ; Wu, LX</t>
  </si>
  <si>
    <t>Chang, Ping; Zhang, Shaoqing; Danabasoglu, Gokhan; Yeager, Stephen G.; Fu, Haohuan; Wang, Hong; Castruccio, Frederic S.; Chen, Yuhu; Edwards, James; Fu, Dan; Jia, Yinglai; Laurindo, Lucas C.; Liu, Xue; Rosenbloom, Nan; Small, R. Justin; Xu, Gaopeng; Zeng, Yunhui; Zhang, Qiuying; Bacmeister, Julio; Bailey, David A.; Duan, Xiaohui; DuVivier, Alice K.; Li, Dapeng; Li, Yuxuan; Neale, Richard; Stossel, Achim; Wang, Li; Zhuang, Yuan; Baker, Allison; Bates, Susan; Dennis, John; Diao, Xiliang; Gan, Bolan; Gopal, Abishek; Jia, Dongning; Jing, Zhao; Ma, Xiaohui; Saravanan, R.; Strand, Warren G.; Tao, Jian; Yang, Haiyuan; Wang, Xiaoqi; Wei, Zhiqiang; Wu, Lixin</t>
  </si>
  <si>
    <t>An Unprecedented Set of High-Resolution Earth System Simulations for Understanding Multiscale Interactions in Climate Variability and Change</t>
  </si>
  <si>
    <t>JOURNAL OF ADVANCES IN MODELING EARTH SYSTEMS</t>
  </si>
  <si>
    <t>climate change; climate variability; Earth system models; high resolution</t>
  </si>
  <si>
    <t>MERIDIONAL OVERTURNING CIRCULATION; ANTARCTIC CIRCUMPOLAR CURRENT; STORM-TRACK RESPONSE; ATLANTIC-OCEAN; NORTH-ATLANTIC; SURFACE TEMPERATURE; MULTIDECADAL VARIABILITY; GENERAL-CIRCULATION; MESOSCALE EDDIES; PART I</t>
  </si>
  <si>
    <t>We present an unprecedented set of high-resolution climate simulations, consisting of a 500-year pre-industrial control simulation and a 250-year historical and future climate simulation from 1850 to 2100. A high-resolution configuration of the Community Earth System Model version 1.3 (CESM1.3) is used for the simulations with a nominal horizontal resolution of 0.25 degrees for the atmosphere and land models and 0.1 degrees for the ocean and sea-ice models. At these resolutions, the model permits tropical cyclones and ocean mesoscale eddies, allowing interactions between these synoptic and mesoscale phenomena with large-scale circulations. An overview of the results from these simulations is provided with a focus on model drift, mean climate, internal modes of variability, representation of the historical and future climates, and extreme events. Comparisons are made to solutions from an identical set of simulations using the standard resolution (nominal 1 degrees) CESM1.3 and to available observations for the historical period to address some key scientific questions concerning the impact and benefit of increasing model horizontal resolution in climate simulations. An emerging prominent feature of the high-resolution pre-industrial simulation is the intermittent occurrence of polynyas in the Weddell Sea and its interaction with an Interdecadal Pacific Oscillation. Overall, high-resolution simulations show significant improvements in representing global mean temperature changes, seasonal cycle of sea-surface temperature and mixed layer depth, extreme events and in relationships between extreme events and climate modes.</t>
  </si>
  <si>
    <t>[Chang, Ping; Zhang, Shaoqing; Danabasoglu, Gokhan; Yeager, Stephen G.; Fu, Haohuan; Wang, Hong; Castruccio, Frederic S.; Edwards, James; Fu, Dan; Jia, Yinglai; Laurindo, Lucas C.; Liu, Xue; Rosenbloom, Nan; Small, R. Justin; Xu, Gaopeng; Zhang, Qiuying; Bacmeister, Julio; Bailey, David A.; DuVivier, Alice K.; Li, Dapeng; Stossel, Achim; Baker, Allison; Diao, Xiliang; Gan, Bolan; Gopal, Abishek; Jing, Zhao; Ma, Xiaohui; Saravanan, R.; Tao, Jian; Yang, Haiyuan; Wang, Xiaoqi] Texas A&amp;M Univ, Int Lab High Resolut Earth Syst Model &amp; Predict i, College Stn, TX 77843 USA; [Chang, Ping; Fu, Dan; Liu, Xue; Xu, Gaopeng; Zhang, Qiuying; Li, Dapeng; Stossel, Achim; Diao, Xiliang; Gopal, Abishek; Wang, Xiaoqi] Texas A&amp;M Univ, Dept Oceanog, College Stn, TX 77843 USA; [Chang, Ping; Saravanan, R.] Texas A&amp;M Univ, Dept Atmospher Sci, College Stn, TX 77843 USA; [Zhang, Shaoqing; Wang, Hong; Gan, Bolan; Jing, Zhao; Ma, Xiaohui; Yang, Haiyuan; Wu, Lixin] Qingdao Pilot Natl Lab Marine Sci &amp; Technol, Lab Ocean Dynam &amp; Climate, Qingdao, Peoples R China; [Zhang, Shaoqing; Wang, Hong; Jia, Yinglai; Gan, Bolan; Jing, Zhao; Ma, Xiaohui; Yang, Haiyuan; Wu, Lixin] Ocean Univ China, Coll Ocean &amp; Atmospher Sci, Frontiers Sci Ctr Deep Ocean Multispheres &amp; Earth, Key Lab Phys Oceanog,Minist Educ,Inst Adv Ocean S, Qingdao, Peoples R China; [Danabasoglu, Gokhan; Yeager, Stephen G.; Castruccio, Frederic S.; Edwards, James; Laurindo, Lucas C.; Rosenbloom, Nan; Small, R. Justin; Bacmeister, Julio; Bailey, David A.; DuVivier, Alice K.; Neale, Richard; Baker, Allison; Bates, Susan; Dennis, John; Strand, Warren G.] Natl Ctr Atmospher Res, POB 3000, Boulder, CO 80307 USA; [Fu, Haohuan] Tsinghua Univ, Key Lab Earth Syst Modeling, Minist Educ, Beijing, Peoples R China; [Fu, Haohuan] Tsinghua Univ, Dept Earth Syst Sci, Beijing, Peoples R China; [Fu, Haohuan; Duan, Xiaohui] Natl Supercomp Ctr Wuxi, Wuxi, Jiangsu, Peoples R China; [Chen, Yuhu; Jia, Dongning; Wei, Zhiqiang] Qingdao Pilot Natl Lab Marine Sci &amp; Technol, Dept Supercomp, Qingdao, Peoples R China; [Zeng, Yunhui; Wang, Li; Zhuang, Yuan] Comp Sci Ctr, Jinan, Peoples R China; [Zeng, Yunhui; Wang, Li; Zhuang, Yuan] Natl Supercomp Ctr Jinan, Jinan, Peoples R China; [Duan, Xiaohui; Li, Yuxuan] Tsinghua Univ, Dept Comp Sci &amp; Technol, Beijing, Peoples R China; [Tao, Jian] Texas A&amp;M Univ, Texas A&amp;M Engn Expt Stn, Texas A&amp;M Inst Data Sci, High Performance Res Comp, College Stn, TX USA; [Jing, Zhao] Texas A&amp;M Univ, Dept Elect &amp; Comp Engn, College Stn, TX USA</t>
  </si>
  <si>
    <t>Texas A&amp;M University System; Texas A&amp;M University College Station; Texas A&amp;M University System; Texas A&amp;M University College Station; Texas A&amp;M University System; Texas A&amp;M University College Station; Laoshan Laboratory; Ocean University of China; National Center Atmospheric Research (NCAR) - USA; Tsinghua University; Tsinghua University; Laoshan Laboratory; Qilu University of Technology; Tsinghua University; Texas A&amp;M University System; Texas A&amp;M University College Station; Texas A&amp;M Engineering Experimental Station; Texas A&amp;M University System; Texas A&amp;M University College Station</t>
  </si>
  <si>
    <t>Chang, P; Zhang, SQ; Danabasoglu, G (corresponding author), Texas A&amp;M Univ, Int Lab High Resolut Earth Syst Model &amp; Predict i, College Stn, TX 77843 USA.;Chang, P (corresponding author), Texas A&amp;M Univ, Dept Oceanog, College Stn, TX 77843 USA.;Chang, P (corresponding author), Texas A&amp;M Univ, Dept Atmospher Sci, College Stn, TX 77843 USA.;Zhang, SQ (corresponding author), Qingdao Pilot Natl Lab Marine Sci &amp; Technol, Lab Ocean Dynam &amp; Climate, Qingdao, Peoples R China.;Zhang, SQ (corresponding author), Ocean Univ China, Coll Ocean &amp; Atmospher Sci, Frontiers Sci Ctr Deep Ocean Multispheres &amp; Earth, Key Lab Phys Oceanog,Minist Educ,Inst Adv Ocean S, Qingdao, Peoples R China.;Danabasoglu, G (corresponding author), Natl Ctr Atmospher Res, POB 3000, Boulder, CO 80307 USA.</t>
  </si>
  <si>
    <t>ping@tamu.edu; szhang@ouc.edu.cn; gokhan@ucar.edu</t>
  </si>
  <si>
    <t>Neale, Richard B/H-6551-2017; DuVivier, Alice K./JJC-1516-2023; wang, juan/IUO-6218-2023; Gopal, Abishek/AAC-9002-2022; Liu, Xue/GLT-1745-2022; Wang, Xuezhen/IUN-6267-2023; Saravanan, Ramalingam/G-8879-2012; wang, yue/KDO-9209-2024; Li, Zilong/JEZ-8642-2023; ma, long/JHU-2289-2023; Wang, Yiping/IZQ-2052-2023; wang, yue/ISA-4119-2023; MA, XIAO/HHN-5611-2022; Fu, Dan/JBJ-1775-2023; Diao, Xiliang/G-5801-2017; Li, Yuxuan/GWC-8159-2022; Gan, Bolan/U-2857-2017</t>
  </si>
  <si>
    <t>DuVivier, Alice K./0000-0001-6920-5926; Gopal, Abishek/0000-0002-7300-6740; Saravanan, Ramalingam/0000-0002-0005-6907; Cardoso Laurindo, Lucas/0000-0002-2906-8397; Gan, Bolan/0000-0001-7620-485X; Liu, Xue/0000-0003-3850-8726; Fu, Dan/0000-0001-6423-6117; /0000-0003-4228-6089; Neale, Richard/0000-0003-4222-3918; Zhang, Shaoqing/0000-0001-6569-9842; Bailey, David/0000-0002-6584-0663; Small, Richard/0000-0002-3452-2179; Danabasoglu, Gokhan/0000-0003-4676-2732; Baker, Allison/0000-0003-2436-7838</t>
  </si>
  <si>
    <t>US NSF [1852977]</t>
  </si>
  <si>
    <t>US NSF(National Science Foundation (NSF))</t>
  </si>
  <si>
    <t>This research is completed through the International Laboratory for High Resolution Earth System Prediction (iHESP)-a collaboration among the Qingdao National Laboratory for Marine Science and Technology (QNLM), Texas A&amp;M University (TAMU), and the U.S. National Center for Atmospheric Research (NCAR). NCAR is a major facility sponsored by the US NSF under Cooperative Agreement 1852977. The majority of the simulations were completed on Sunway TaihuLight HPC in Wuxi, China, but initial tuning of high-resolution CESM was performed on HPC systems at the Texas Advanced Computing Center and many simulation analyses were carried out on the HPC systems at the Texas A&amp;M High Performance Research Computing. We knowledge Alper Altuntas for assistance with analyzing simulation datasets. We thank Malcolm Roberts, Anne-Marie Treguier, Magdalena Balmaseda, Arne Biastoch, Bernadette Sloyan, Mark Taylor, Guoxiong Wu, and Colin Zarzycki for their scientific advice and critical evaluation of the iHESP project. We are also grateful to two anonymous reviewers for helpful comments.</t>
  </si>
  <si>
    <t>1942-2466</t>
  </si>
  <si>
    <t>J ADV MODEL EARTH SY</t>
  </si>
  <si>
    <t>J. Adv. Model. Earth Syst.</t>
  </si>
  <si>
    <t>e2020MS002298</t>
  </si>
  <si>
    <t>10.1029/2020MS002298</t>
  </si>
  <si>
    <t>PM2VB</t>
  </si>
  <si>
    <t>WOS:000603662500019</t>
  </si>
  <si>
    <t>Edgar, GJ; Cooper, A; Baker, SC; Barker, W; Barrett, NS; Becerro, MA; Bates, AE; Brock, D; Ceccarelli, DM; Clausius, E; Davey, M; Davis, TR; Day, PB; Green, A; Griffiths, SR; Hicks, J; Hinojosa, IA; Jones, B; Kininmonth, S; Larkin, MF; Lazzari, N; Lefcheck, JS; Ling, SD; Mooney, P; Oh, E; Pérez-Matus, A; Pocklington, JB; Riera, R; Sanabria-Fernandez, JA; Seroussi, Y; Shaw, I; Shields, D; Shields, J; Smith, M; Soler, GA; Stuart-Smith, J; Turnbull, J; Stuart-Smith, RD</t>
  </si>
  <si>
    <t>Edgar, Graham J.; Cooper, Antonia; Baker, Susan C.; Barker, William; Barrett, Neville S.; Becerro, Mikel A.; Bates, Amanda E.; Brock, Danny; Ceccarelli, Daniela M.; Clausius, Ella; Davey, Marlene; Davis, Tom R.; Day, Paul B.; Green, Andrew; Griffiths, Samuel R.; Hicks, Jamie; Hinojosa, Ivan A.; Jones, Ben K.; Kininmonth, Stuart; Larkin, Meryl F.; Lazzari, Natali; Lefcheck, Jonathan S.; Ling, Scott D.; Mooney, Peter; Oh, Elizabeth; Perez-Matus, Alejandro; Pocklington, Jacqueline B.; Riera, Rodrigo; Sanabria-Fernandez, Jose A.; Seroussi, Yanir; Shaw, Ian; Shields, Derek; Shields, Joe; Smith, Margo; Soler, German A.; Stuart-Smith, Jemina; Turnbull, John; Stuart-Smith, Rick D.</t>
  </si>
  <si>
    <t>Reef Life Survey: Establishing the ecological basis for conservation of shallow marine life</t>
  </si>
  <si>
    <t>Citizen science; Climate change; Coral reef; Effects of fishing; Marine protected; Sea snake</t>
  </si>
  <si>
    <t>UNDERWATER VISUAL CENSUS; PROTECTED AREAS; ROCKY-REEF; CITIZEN SCIENCE; GLOBAL ASSESSMENT; BIODIVERSITY; FISH; CORAL; AUSTRALIA; MACROINVERTEBRATE</t>
  </si>
  <si>
    <t>Reef Life Survey (RLS) provides a new model for ecological monitoring through training experienced recreational divers in underwater visual census methods to the level of skilled scientists. Detail produced is similar to that of programs with professional scientific teams, at low cost to allow global coverage. RLS differs from most other citizen science initiatives in its emphasis on rigorous training and data quality rather than open participation, selectively involving the most skilled and committed members. Volunteers participate primarily because they appreciate the close relationship with scientists, other divers, and managers, and see their efforts directly contributing to improved environmental outcomes. RLS works closely with Australian management agencies, scheduling annual events at core monitoring sites associated with 10 inshore marine protected areas Australia wide. Surveys of 12 offshore Australian Marine Parks (AMPs) are realized through 2-4 week voyages in a sailing catamaran crewed by volunteers. Across the AMP network, RLS surveys have quantified densities of fishes, mobile invertebrates, macroalgae and corals at 350 shallow coral reef sites (180 sites surveyed on two or more occasions), providing an understanding of (i) population changes amongst threatened species including sea snakes, (ii) responses of fish and invertebrate populations following fisheries closures, (iii) ecosystem-wide impacts of marine heat-waves, and (iv) the extent that AMPs spanning the network comprehensively encompass national coral reef biodiversity. This scientist/volunteer/manager collaboration could be greatly expanded globally (presently 3537 sites in 53 countries).</t>
  </si>
  <si>
    <t>[Edgar, Graham J.; Cooper, Antonia; Barrett, Neville S.; Clausius, Ella; Ling, Scott D.; Oh, Elizabeth; Shields, Joe; Soler, German A.; Stuart-Smith, Jemina; Stuart-Smith, Rick D.] Univ Tasmania, Inst Marine &amp; Antarctic Studies, Hobart, Tas 7001, Australia; [Edgar, Graham J.; Cooper, Antonia; Clausius, Ella; Davey, Marlene; Mooney, Peter; Shields, Derek; Stuart-Smith, Rick D.] Reef Life Survey Fdn, 60 Napoleon St, Battery Point, Tas 7000, Australia; [Baker, Susan C.] Univ Tasmania, Sch Nat Sci, Hobart, Tas 7001, Australia; [Barker, William] Nat Coast Marine Grp, 20 Trunketabella St, Potato Point, NSW 2545, Australia; [Becerro, Mikel A.; Lazzari, Natali; Sanabria-Fernandez, Jose A.] Ctr Adv Studies Blanes CEAB CSIC, BITES Lab, Acc Cala S Francesc 14, Blanes 17300, Gerona, Spain; [Bates, Amanda E.] Mem Univ Newfoundland, Dept Ocean Sci, St John, NF, Canada; [Brock, Danny; Hicks, Jamie] Dept Environm &amp; Water, 81-95 Waymouth St, Adelaide, SA 5000, Australia; [Ceccarelli, Daniela M.] James Cook Univ, ARC Ctr Excellence Coral Reef Studies, Townsville, Qld 4811, Australia; [Davis, Tom R.] NSW Dept Primary Ind, Fisheries Res, POB 4321, Coffs Harbour, NSW 2450, Australia; [Day, Paul B.] Carijoa Marine Environm Consulting, 29 Sydenham St, Perth, WA 6103, Australia; [Green, Andrew] Nat Coast Marine Grp, 10 Garden St,Victoria, Geelong, Vic, Australia; [Griffiths, Samuel R.] Exto Vism, POB 113, Dodges Ferry, Tas 7173, Australia; [Hinojosa, Ivan A.; Riera, Rodrigo] Univ Catolica Santisima Concepcion, Fac Ciencias, Dept Ecol, Concepcion, Chile; [Hinojosa, Ivan A.; Riera, Rodrigo] Univ Catolica Santisima Concepcion, CIBAS, Concepcion, Chile; [Hinojosa, Ivan A.] Univ Catolica Norte, Dept Biol Marina, Millennium Nucleus Ecol &amp; Sustainable Management, Coquimbo, Chile; [Jones, Ben K.] Edith Cowan Univ, Sch Nat Sci, Joondalup, WA 6027, Australia; [Kininmonth, Stuart] Univ South Pacific, Sch Marine Studies, Suva, Fiji; [Kininmonth, Stuart] Univ Queensland, Heron Isl Res Stn, St Lucia, Qld, Australia; [Larkin, Meryl F.] Southern Cross Univ, Natl Marine Sci Ctr, Coffs Harbour, NSW 2456, Australia; [Larkin, Meryl F.; Smith, Margo] Combined Hunter Underwater Grp, 106 Northcott Dr, Adamstown Heights, NSW 2289, Australia; [Lefcheck, Jonathan S.] Smithsonian Environm Res Ctr, Tennenbaum Marine Observatories Network, POB 28, Edgewater, MD 21037 USA; [Perez-Matus, Alejandro] Pontificia Univ Catolica Chile, Fac Ciencias Biol, Dept Ecol, Subtidal Ecol Lab, Casilla 114-D, Santiago, Chile; [Pocklington, Jacqueline B.] Sci &amp; Management Effectiveness Branch, Parks Victoria, Melbourne, Vic 3000, Australia; [Seroussi, Yanir] Underwater Res Grp Queensland, 24 Pulle St, Yeerongpilly, Qld 4105, Australia; [Shaw, Ian] Solitary Isl Underwater Res Grp, POB 4096, Coffs Harbour, NSW 2450, Australia; [Turnbull, John] Univ NSW, Sch Biol Earth &amp; Environm Sci, Kensington, NSW 2033, Australia</t>
  </si>
  <si>
    <t>University of Tasmania; University of Tasmania; Consejo Superior de Investigaciones Cientificas (CSIC); CSIC - Centre d'Estudis Avancats de Blanes (CEAB); Memorial University Newfoundland; James Cook University; NSW Department of Primary Industries; Universidad Catolica de la Santisima Concepcion; Universidad Catolica de la Santisima Concepcion; Universidad Catolica del Norte; Edith Cowan University; University of the South Pacific; University of Queensland; Southern Cross University; Smithsonian Institution; Smithsonian Environmental Research Center; Pontificia Universidad Catolica de Chile; Melbourne Genomics Health Alliance; University of New South Wales Sydney</t>
  </si>
  <si>
    <t>Edgar, GJ (corresponding author), Univ Tasmania, Inst Marine &amp; Antarctic Studies, Hobart, Tas 7001, Australia.</t>
  </si>
  <si>
    <t>g.edgar@utas.edu.au</t>
  </si>
  <si>
    <t>Edgar, Graham/AAY-3797-2020; Hinojosa, Ivan/ABC-8915-2021; Ceccarelli, Daniela/AGO-7628-2022; Lazzari, Natali/IZD-9060-2023; Lefcheck, Jonathan/H-8768-2019; Stuart-Smith, Rick/I-5214-2019; Bates, Amanda E./ABD-6874-2021; Sanabria-Fernández, José A/JXN-3412-2024; Kininmonth, Stuart/N-9299-2013; Turnbull, John W/AAE-3371-2021; Hinojosa, Ivan Andres/AAQ-7445-2020; Becerro, Mikel/ABC-9478-2021; Lazzari, Natali/AAG-1230-2021; Perez Matus, Alejandro/F-5019-2014; Davis, Thomas/T-5803-2017; Barrett, Neville/J-7593-2014</t>
  </si>
  <si>
    <t>Edgar, Graham/0000-0003-0833-9001; Hinojosa, Ivan/0000-0002-9752-4374; Lazzari, Natali/0000-0002-5546-3382; Lefcheck, Jonathan/0000-0002-8787-1786; Stuart-Smith, Rick/0000-0002-8874-0083; Bates, Amanda E./0000-0002-0198-4537; Sanabria-Fernández, José A/0000-0003-1878-6964; Kininmonth, Stuart/0000-0001-9198-3396; Hinojosa, Ivan Andres/0000-0002-9752-4374; Becerro, Mikel/0000-0002-6047-350X; Lazzari, Natali/0000-0002-5546-3382; Turnbull, John/0000-0002-8935-1012; Oh, Elizabeth/0000-0001-7061-5068; Baker, Susan/0000-0002-7593-0267; Larkin, Meryl/0000-0003-3478-4723; Perez Matus, Alejandro/0000-0001-9591-6721; Davis, Thomas/0000-0003-0199-2024; Barrett, Neville/0000-0002-6167-1356</t>
  </si>
  <si>
    <t>Ian Potter Foundation; Minderoo Foundation; Commonwealth Environment Research Facilities Program; Marine Biodiversity Hub through the Australian Government's National Environmental Science Program; Australian Research Council; Parks Australia</t>
  </si>
  <si>
    <t>Ian Potter Foundation; Minderoo Foundation; Commonwealth Environment Research Facilities Program; Marine Biodiversity Hub through the Australian Government's National Environmental Science Program; Australian Research Council(Australian Research Council); Parks Australia</t>
  </si>
  <si>
    <t>The efforts of all Reef Life Survey volunteer divers, notably Kevin Smith, Nicola Davis, Jen Hoskin, Bob Edgar, Tim Crawford, Don Love and Friends of Beware Reef, are gratefully acknowledged; as is research advice from Emmett Duffy, Scoresby Shepherd, Beth Strain, Bob Pressey, Camilo Mora, Camille Mellin, David Mouillot, Josh Cinner, Just B erkhout, Stuart Campbell and Russell Thompson, and management input from Amanda Richley, Cath Samson, Alan Jordan, Nathan Knott and Steffan Howe. Achievements reported here would not have been possible without their on-going dedication and hard work. Reef Life Survey Foundation has been sustained through grants from the Ian Potter Foundation and Minderoo Foundation, reporting contracts from Parks Australia, and administrative and analytical support from the University of Tasmania. The RLS program was established through a grant to GJE through the former Commonwealth Environment Research Facilities Program. Analyses were supported by the Australian Research Council and the Marine Biodiversity Hub, a collaborative partnership supported through the Australian Government's National Environmental Science Program. Additional advice and assistance have been provided by the Department for Environment and Water (South Australia), Department of Primary Industries, Parks, Water and Environment (Tasmania), Department of Primary Industries (New South Wales), Department of Biodiversity, Conservation and Attractions (Western Australia), and Parks Victoria. Data management and distribution is supported through the Integrated Marine Observing System.</t>
  </si>
  <si>
    <t>10.1016/j.biocon.2020.108855</t>
  </si>
  <si>
    <t>PH5LX</t>
  </si>
  <si>
    <t>WOS:000600455000001</t>
  </si>
  <si>
    <t>Link, JS; Watson, RA; Pranovi, F; Libralato, S</t>
  </si>
  <si>
    <t>Link, Jason S.; Watson, Reg A.; Pranovi, Fabio; Libralato, Simone</t>
  </si>
  <si>
    <t>Comparative production of fisheries yields and ecosystem overfishing in African Large Marine Ecosystems</t>
  </si>
  <si>
    <t>ENVIRONMENTAL DEVELOPMENT</t>
  </si>
  <si>
    <t>Fisheries ecosystem; Thresholds; Systemic overfishing; Comparative analysis; Integrative metrics; Food security; Atlantic ocean; Indian ocean</t>
  </si>
  <si>
    <t>CLIMATE-CHANGE; FOOD SECURITY; BIOMASS ACCUMULATION; SOUTHERN BENGUELA; WORLD FISHERIES; FISH PRODUCTION; TROPHIC LEVELS; MANAGEMENT; IMPACTS; SUSTAINABILITY</t>
  </si>
  <si>
    <t>Marine capture fisheries in African Large Marine Ecosystems (LMEs) are important from economic, cultural, social, and food provision perspectives. These African fisheries have a long history of high exploitation in the context of data-limited situations. There is a growing, global movement (both in terms of management requirements and scientific efforts) to develop measures of ecosystem overfishing (EOF) that detect overfishing of an entire ecosystem using readily available data and based on widely repeatable patterns. These EOF indicators extend the thinking beyond single stock overfishing to an entire ecosystem and are largely based on well-established trophic theory. Moreover, they need to be germane for data limited situations, easily interpretable, and simple to calculate. Here we introduce and present the results of several of these indicators-the Ryther index, Fogarty index, and Friedland index-as well as indices based on cumulative biomass-Trophic Level curve parameters for eight African LMEs. Significantly, all these EOF indicators also have thresholds beyond which EOF is indicated, particularly when coupled with other evidence. These thresholds were applied to the African LME EOF indicators to determine the degree to which EOF may be occurring. Five out of eight African LMEs exhibited symptoms of EOF, one with significant EOF, with at least one LME still currently experiencing EOF, and three more that may be close to EOF thresholds. One LME exhibited evidence of recovering trends. Additionally, EOF indicators detected changes in the LMEs five-ten years prior to major impacts that would be identified by piecing together fishing impacts on a stock-by-stock basis. We conclude that if EOF is detected, at the very least these relative simple measures should be monitored and means to mitigate total fishing pressure in an ecosystem should be explored.</t>
  </si>
  <si>
    <t>[Link, Jason S.] NOAA, Natl Marine Fisheries Serv, 166 Water St, Woods Hole, MA 02543 USA; [Watson, Reg A.] Univ Tasmania, Inst Marine &amp; Antarctic Studies, Private Bag 129, Hobart, Tas 7001, Australia; [Pranovi, Fabio] Univ Venice, Environm Sci Informat &amp; Stat Dept, Via Torino 155, I-30170 Venice, Italy; [Libralato, Simone] Ist Nazl Oceanog &amp; Geofis Sperimentale OGS, Div Oceanog, ECHO Grp Ecol &amp; Computat Hydrodynam Oceanog, Via Beirut 2-4 Ex Sissa Bldg, I-34151 Trieste, Italy</t>
  </si>
  <si>
    <t>National Oceanic Atmospheric Admin (NOAA) - USA; University of Tasmania; Universita Ca Foscari Venezia; Istituto Nazionale di Oceanografia e di Geofisica Sperimentale</t>
  </si>
  <si>
    <t>Link, JS (corresponding author), NOAA, Natl Marine Fisheries Serv, 166 Water St, Woods Hole, MA 02543 USA.</t>
  </si>
  <si>
    <t>jason.link@noaa.gov</t>
  </si>
  <si>
    <t>Watson, Reg A/F-4850-2012; Libralato, Simone/AAR-2198-2020; Link, Jason/HOF-3606-2023</t>
  </si>
  <si>
    <t>Watson, Reg A/0000-0001-7201-8865; Libralato, Simone/0000-0001-8112-1274; Link, Jason/0000-0003-2740-7161</t>
  </si>
  <si>
    <t>2211-4645</t>
  </si>
  <si>
    <t>2211-4653</t>
  </si>
  <si>
    <t>ENVIRON DEV</t>
  </si>
  <si>
    <t>Environ. Dev.</t>
  </si>
  <si>
    <t>10.1016/j.envdev.2020.100529</t>
  </si>
  <si>
    <t>PG7TO</t>
  </si>
  <si>
    <t>WOS:000599933700005</t>
  </si>
  <si>
    <t>Cassarino, L; Hendry, KR; Henley, SF; MacDonald, E; Arndt, S; Freitas, FS; Pike, J; Firing, YL</t>
  </si>
  <si>
    <t>Cassarino, Lucie; Hendry, Katharine R.; Henley, Sian F.; MacDonald, Ellen; Arndt, Sandra; Freitas, Felipe S.; Pike, Jennifer; Firing, Yvonne L.</t>
  </si>
  <si>
    <t>Sedimentary Nutrient Supply in Productive Hot Spots off the West Antarctic Peninsula Revealed by Silicon Isotopes</t>
  </si>
  <si>
    <t>GLOBAL BIOGEOCHEMICAL CYCLES</t>
  </si>
  <si>
    <t>silicon cycle; benthic flux; sediment cycling; continental shelf</t>
  </si>
  <si>
    <t>NORTHERN MARGUERITE BAY; CIRCUMPOLAR DEEP-WATER; BIOGENIC SILICA; EARLY DIAGENESIS; SEA-ICE; MARINE; FRACTIONATION; OPAL; OCEAN; DISSOLUTION</t>
  </si>
  <si>
    <t>In this study we evaluate the benthic fluxes of silicic acid along the West Antarctic Peninsula (WAP). Silicic acid (DSi) is one of the macronutrients essential in fuelling biological hot spots of diatom-dominated primary production along the WAP. Here we measure the concentration and stable silicon isotopic composition of DSi in porewater profiles, biogenic silica content (BSi), and diatom abundance from sediment cores collected along the WAP. We couple these measurements with reaction-transport modeling, to assess the DSi flux and the processes that release this key nutrient from the sediment into the overlying waters. Our results show that the benthic DSi flux is dominated by the diffusive flux, which is estimated to be equivalent to 26.7 +/- 2.7 Gmol yr(-1) for the WAP continental shelf. The DSi isotope profiles reveal the important impact of sedimentary processes on porewater DSi and suggest that biogenic silica dissolution is the main source of DSi in porewaters and consequently of the benthic fluxes. Our integrated data-model assessment highlights the impact of surface productivity on sedimentary processes and the dynamic environment of core-top sediments where dissolution and reverse weathering reactions control DSi exchanges.</t>
  </si>
  <si>
    <t>[Cassarino, Lucie; Hendry, Katharine R.; Freitas, Felipe S.] Univ Bristol, Sch Earth Sci, Bristol, Avon, England; [Henley, Sian F.] Univ Edinburgh, Sch Geosci, Edinburgh, Midlothian, Scotland; [MacDonald, Ellen] Univ Glasgow, Sch Geog &amp; Earth Sci, Glasgow, Lanark, Scotland; [Arndt, Sandra] Univ Libre Bruxelles, BGeosys Biogeochem &amp; Modelling Earth Syst, Dept Geosci Environm &amp; Soc, Fac Sci, Brussels, Belgium; [Pike, Jennifer] Cardiff Univ, Sch Earth &amp; Ocean Sci, Cardiff, Wales; [Firing, Yvonne L.] Natl Oceanog Ctr, Southampton, Hants, England</t>
  </si>
  <si>
    <t>University of Bristol; University of Edinburgh; University of Glasgow; Universite Libre de Bruxelles; Cardiff University; NERC National Oceanography Centre</t>
  </si>
  <si>
    <t>Cassarino, L (corresponding author), Univ Bristol, Sch Earth Sci, Bristol, Avon, England.</t>
  </si>
  <si>
    <t>l.cassarino@bristol.ac.uk</t>
  </si>
  <si>
    <t>Arndt, Sandra/E-7639-2017; Pike, Jennifer/D-2589-2009; Hendry, Katharine/E-4793-2011</t>
  </si>
  <si>
    <t>Henley, Sian Frances/0000-0003-1221-1983; Pike, Jennifer/0000-0001-9415-6003; MacDonald, Ellen/0000-0002-0463-7848; Cassarino, Lucie/0000-0001-5736-1817; Hendry, Katharine/0000-0002-0790-5895; Firing, Yvonne/0000-0002-3640-3974; Sales de Freitas, Felipe/0000-0001-8279-5772</t>
  </si>
  <si>
    <t>UK Natural Environment Research Council (NERC) through the Collaborative Antarctic Science Scheme; Royal Society [RGF\EA\180068]; UK NERC [NE/K010034/1]; NERC through ORCHESTRA [NE/N018095/1]; UKRI NERC through the Changing Arctic Ocean Programme [NE/P006493/1]; NERC [NE/N018095/1, NE/K010034/1, NE/P006493/1] Funding Source: UKRI</t>
  </si>
  <si>
    <t>UK Natural Environment Research Council (NERC) through the Collaborative Antarctic Science Scheme(UK Research &amp; Innovation (UKRI)Natural Environment Research Council (NERC)); Royal Society(Royal Society); UK NERC(UK Research &amp; Innovation (UKRI)Natural Environment Research Council (NERC)); NERC through ORCHESTRA; UKRI NERC through the Changing Arctic Ocean Programme; NERC(UK Research &amp; Innovation (UKRI)Natural Environment Research Council (NERC))</t>
  </si>
  <si>
    <t>We would like to thank the captain and crew of the RRS James Clark Ross. We also want to thank Dr. Pawel Gaca and Adam Cooper for the 210Pb, with helpful input from Professors Andrew B. Cundy, Ian W. Croudace, and Phillip E. Warwick, and Dr. Jade E. Hatton for the BSi analyses. We also thank the two anonymous reviewers for their constructive comments. Data collection was funded by the UK Natural Environment Research Council (NERC) through the Collaborative Antarctic Science Scheme and by Royal Society grant RGF\EA\180068. S. F. H. was funded by the UK NERC grant NE/K010034/1, Y. L. F. was funded by NERC through ORCHESTRA (NE/N018095/1), F. S. F is funded by UKRI NERC through the Changing Arctic Ocean Programme (NE/P006493/1).</t>
  </si>
  <si>
    <t>0886-6236</t>
  </si>
  <si>
    <t>1944-9224</t>
  </si>
  <si>
    <t>GLOBAL BIOGEOCHEM CY</t>
  </si>
  <si>
    <t>Glob. Biogeochem. Cycle</t>
  </si>
  <si>
    <t>e2019GB006486</t>
  </si>
  <si>
    <t>10.1029/2019GB006486</t>
  </si>
  <si>
    <t>PM2WF</t>
  </si>
  <si>
    <t>WOS:000603665500014</t>
  </si>
  <si>
    <t>Pavia, FJ; Anderson, RF; Pinedo-Gonzalez, P; Fleisher, MQ; Brzezinski, MA; Robinson, RS</t>
  </si>
  <si>
    <t>Pavia, Frank J.; Anderson, Robert F.; Pinedo-Gonzalez, Paulina; Fleisher, Martin Q.; Brzezinski, Mark A.; Robinson, Rebecca S.</t>
  </si>
  <si>
    <t>Isopycnal Transport and Scavenging of 230Th and 231Pa in the Pacific Southern Ocean</t>
  </si>
  <si>
    <t>thorium; protactinium; Southern Ocean; isopycnal mixing; GEOTRACES</t>
  </si>
  <si>
    <t>ANTARCTIC CIRCUMPOLAR CURRENT; MERIDIONAL OVERTURNING CIRCULATION; POLAR FRONT; PA-231/TH-230 RATIOS; PARTICLE COMPOSITION; THORIUM ISOTOPES; ORGANIC-CARBON; SECTOR; TH; EVOLUTION</t>
  </si>
  <si>
    <t>The Southern Ocean hosts complex connections between ocean physics, chemistry, and biology. Changes in these connections are hypothesized to be responsible for significant alterations of ocean biogeochemistry and carbon storage both on glacial-interglacial timescales and in the future due to anthropogenic forcing. Isotopes of thorium (Th-230 and Th-232) and protactinium (Pa-231) have been widely applied as tools to study paleoceanographic conditions in the Southern Ocean. However, understanding of the chemical behavior of these isotopes in the modern Southern Ocean has been limited by a paucity of high-resolution observations. In this study, we present measurements of dissolved Th-230, Pa-231, and Th-232 on a meridional transect along 170 degrees W from 67 degrees S to 54 degrees S in the Pacific sector of the Southern Ocean, with high vertical and meridional sampling resolution. We find Th/Pa fractionation factors below 1, highlighting the preferential removal of Pa relative to Th in a region with low lithogenic inputs where the particle flux is dominated by biogenic opal. We also find steep gradients in all three of these isotopes along neutral density surfaces from north to south, demonstrating the importance of isopycnal mixing in transporting these nuclides to the Southern Ocean. Our results suggest that Pa-231 and Th-230 in the Southern Ocean are highly sensitive tracers of physical transport that may find use in studies of Southern Ocean biogeochemical-physical connections in the past, present, and future.</t>
  </si>
  <si>
    <t>[Pavia, Frank J.; Anderson, Robert F.; Pinedo-Gonzalez, Paulina; Fleisher, Martin Q.] Columbia Univ, Lamont Doherty Earth Observ, Palisades, NY 10964 USA; [Pavia, Frank J.; Anderson, Robert F.] Columbia Univ, Dept Earth &amp; Environm Sci, New York, NY 10027 USA; [Pavia, Frank J.] CALTECH, Div Geol &amp; Planetary Sci, Pasadena, CA 91125 USA; [Brzezinski, Mark A.] Univ Calif Santa Barbara, Marine Sci Inst, Santa Barbara, CA 93106 USA; [Robinson, Rebecca S.] Univ Rhode Isl, Grad Sch Oceanog, Narragansett, RI 02882 USA</t>
  </si>
  <si>
    <t>Columbia University; Columbia University; California Institute of Technology; University of California System; University of California Santa Barbara; University of Rhode Island</t>
  </si>
  <si>
    <t>Pavia, FJ (corresponding author), Columbia Univ, Lamont Doherty Earth Observ, Palisades, NY 10964 USA.;Pavia, FJ (corresponding author), Columbia Univ, Dept Earth &amp; Environm Sci, New York, NY 10027 USA.;Pavia, FJ (corresponding author), CALTECH, Div Geol &amp; Planetary Sci, Pasadena, CA 91125 USA.</t>
  </si>
  <si>
    <t>fjpavia@caltech.edu</t>
  </si>
  <si>
    <t>Pinedo-Gonzalez, Paulina/AAI-2469-2021</t>
  </si>
  <si>
    <t>Pavia, Frank/0000-0003-3627-0179; Anderson, Robert/0000-0002-8472-2494; Robinson, Rebecca/0000-0002-8072-1603</t>
  </si>
  <si>
    <t>U.S. National Science Foundation [OPP-1542962]; NSF Graduate Research Fellowship [DGE-1644869]</t>
  </si>
  <si>
    <t>U.S. National Science Foundation(National Science Foundation (NSF)); NSF Graduate Research Fellowship(National Science Foundation (NSF))</t>
  </si>
  <si>
    <t>This work was supported by U.S. National Science Foundation grant OPP-1542962 to LDEO and an NSF Graduate Research Fellowship to F. J. P. (DGE-1644869). We thank the captain and crew of the R/V Nathaniel B. Palmer for their support in difficult conditions on the NBP1702 cruise. Discussions with Spencer Jones and Sophie Hines improved the quality of the paper, as did comments from Matthieu Roy-Barman and an anonymous reviewer.</t>
  </si>
  <si>
    <t>e2020GB006760</t>
  </si>
  <si>
    <t>10.1029/2020GB006760</t>
  </si>
  <si>
    <t>WOS:000603665500002</t>
  </si>
  <si>
    <t>Deng, ZC; Li, XK; Chen, CL; Zhang, N; Zhou, HH; Wang, H; Han, XB; Zhang, CF</t>
  </si>
  <si>
    <t>Deng, Zhaochao; Li, Xinkai; Chen, Chunlei; Zhang, Ning; Zhou, Hanghai; Wang, Heng; Han, Xibin; Zhang, Chunfang</t>
  </si>
  <si>
    <t>Distribution characteristics and environmental fate of PCBs in marine sediments at different latitudinal regions: Insights from congener profiles</t>
  </si>
  <si>
    <t>MARINE POLLUTION BULLETIN</t>
  </si>
  <si>
    <t>Polychlorinated biphenyls; Antarctica; Hangzhou Bay; South China Sea; Marine sediment</t>
  </si>
  <si>
    <t>POLYCHLORINATED-BIPHENYLS PCBS; PERSISTENT ORGANIC POLLUTANTS; ORGANOCHLORINE PESTICIDES; SURFACE SEDIMENTS; REDUCTIVE DECHLORINATION; SOUTH SCOTIA; RIVER; WATER; CHINA; RISK</t>
  </si>
  <si>
    <t>Sediments were sampled from Hangzhou Bay (HB), the South China Sea (SCS), and Antarctica (AZ) to better understand the distribution characteristics and environmental fate of polychlorinated biphenyls (PCBs) at different latitudes. Numerous PCB congeners (68) were detected among the sampling sites, supporting the ubiquity of PCB congeners. High and low chlorinated congeners dominated the PCB profiles of AZ and SCS, respectively, whereas the PCB homologues were evenly distributed in the HB. As a fraction of low chlorinated PCBs originates from an exogenous input, the low mean ratios of Sigma Tetra-CBs to Sigma PCBs and Sigma Tetra-CBs to the sum of Sigma Tri- and Sigma Di-CBs suggest that microbial transformation of PCBs is weak in marine surface sediments, if any occurs at all. Furthermore, PCB contamination levels in marine sediments may be primarily influenced by latitude rather than pollution sources. Thus, the findings of this study suggest that Antarctica is becoming a prospective hotspot for PCBs.</t>
  </si>
  <si>
    <t>[Deng, Zhaochao; Li, Xinkai; Chen, Chunlei; Zhang, Ning; Zhou, Hanghai; Zhang, Chunfang] Zhejiang Univ, Ocean Coll, Inst Marine Biol &amp; Pharmacol, Zhoushan 316021, Zhejiang, Peoples R China; [Wang, Heng] Zhoushan City Ctr Dis Control &amp; Prevent, Zhoushan 316021, Zhejiang, Peoples R China; [Han, Xibin] Minist Nat Resources, Key Lab Submarine Geosci, Hangzhou 310012, Zhejiang, Peoples R China; [Han, Xibin] Minist Nat Resources, Inst Oceanog 2, Hangzhou 310012, Zhejiang, Peoples R China; [Zhang, Chunfang] Guangxi Key Lab Theory &amp; Technol Environm Pollut, Guilin 541006, Guangxi, Peoples R China</t>
  </si>
  <si>
    <t>Zhejiang University; Ministry of Natural Resources of the People's Republic of China; Ministry of Natural Resources of the People's Republic of China</t>
  </si>
  <si>
    <t>Zhang, CF (corresponding author), Zhejiang Univ, Ocean Coll, Inst Marine Biol &amp; Pharmacol, Zhoushan 316021, Zhejiang, Peoples R China.</t>
  </si>
  <si>
    <t>zhangcf@zju.edu.cn</t>
  </si>
  <si>
    <t>Zhang, Chunfang/S-9132-2016</t>
  </si>
  <si>
    <t>Research Funds of the Guangxi Key Laboratory of Theory and Technology for Environmental Pollution Control [1801K011]; response and feedback of the Southern Ocean to climate change [RFSOCC2020-2025]; Zhejiang Qingshan Lake Innovation Platform for Marine Science and Technology [2017E80001]; National Natural Science Foundation of China [41977269]; Open Foundation from Fishery Sciences in the First-Class Subjects of Zhejiang [20190009]</t>
  </si>
  <si>
    <t>Research Funds of the Guangxi Key Laboratory of Theory and Technology for Environmental Pollution Control; response and feedback of the Southern Ocean to climate change; Zhejiang Qingshan Lake Innovation Platform for Marine Science and Technology; National Natural Science Foundation of China(National Natural Science Foundation of China (NSFC)); Open Foundation from Fishery Sciences in the First-Class Subjects of Zhejiang</t>
  </si>
  <si>
    <t>We are very grateful to the officers, crew, and technical personnel on board the R/V XUELONG icebreaker for their outstanding support during the 29th Chinese National Antarctic Research Expedition, and to the Repository of Polar Research Institute of China for providing the sediment samples. We also appreciate Dr. Zhichao Zhang for his kind help on instrument debugging. This study was financially supported by the Research Funds of the Guangxi Key Laboratory of Theory and Technology for Environmental Pollution Control (1801K011), by the response and feedback of the Southern Ocean to climate change (RFSOCC2020-2025), by Zhejiang Qingshan Lake Innovation Platform for Marine Science and Technology (2017E80001), by National Natural Science Foundation of China (No. 41977269), and by the Open Foundation from Fishery Sciences in the First-Class Subjects of Zhejiang (No. 20190009).</t>
  </si>
  <si>
    <t>0025-326X</t>
  </si>
  <si>
    <t>1879-3363</t>
  </si>
  <si>
    <t>MAR POLLUT BULL</t>
  </si>
  <si>
    <t>Mar. Pollut. Bull.</t>
  </si>
  <si>
    <t>A</t>
  </si>
  <si>
    <t>10.1016/j.marpolbul.2020.111710</t>
  </si>
  <si>
    <t>PH3MA</t>
  </si>
  <si>
    <t>WOS:000600320100006</t>
  </si>
  <si>
    <t>Belov, AA; Cheptsov, VS; Vorobyova, EA; Manucharova, NA; Ezhelev, ZS</t>
  </si>
  <si>
    <t>Belov, A. A.; Cheptsov, V. S.; Vorobyova, E. A.; Manucharova, N. A.; Ezhelev, Z. S.</t>
  </si>
  <si>
    <t>Culturable Bacterial Communities Isolated from Cryo-Arid Soils: Phylogenetic and Physiological Characteristics</t>
  </si>
  <si>
    <t>PALEONTOLOGICAL JOURNAL</t>
  </si>
  <si>
    <t>culturable bacterial communities; Antarctica; Dry Valleys; Arctic; antibiotic resistance; temperature; pH; halotolerance</t>
  </si>
  <si>
    <t>ANTARCTIC PERMAFROST; MICROBIAL ECOLOGY; DIVERSITY; LIFE; ICE; BIODIVERSITY; TERRESTRIAL; LIMITS</t>
  </si>
  <si>
    <t>The results of the phylogenetic analysis and analysis of the physiological characteristics of metabolic activity of strains isolated from frozen sedimentary rocks collected in the Antarctic and the Severnaya Zemlya archipelago are reported in this article. A comparable abundance of cultured cells and close morphological diversity of colony morphotypes were revealed in all samples. Representatives of the Actinobacteria and Firmicutes phyla were predominant in the cultured bacterial communities. These communities were characterized by mesophilic and neutrophilic optima, as well as by the wide ranges of temperatures and pH suitable for metabolic activity. Moderate halotolerance in the presence of sodium or potassium chloride, as well as the high inhibitory effect of sodium hydrocarbonate and low inhibitory effect of magnesium sulfate, were revealed. The communities were highly resistant to the presence of 5% magnesium perchlorate in the culture medium. Strains resistant to antibiotics in the composition of the medium were revealed: The isolated strains were the most resistant to ampicillin, chloramphenicol, and cephalexin.</t>
  </si>
  <si>
    <t>[Belov, A. A.; Cheptsov, V. S.; Vorobyova, E. A.; Manucharova, N. A.; Ezhelev, Z. S.] Moscow MV Lomonosov State Univ, Moscow 119991, Russia; [Cheptsov, V. S.; Vorobyova, E. A.] Russian Acad Sci, Space Res Inst, Moscow 117997, Russia</t>
  </si>
  <si>
    <t>Lomonosov Moscow State University; Russian Academy of Sciences; Space Research Institute of the Russian Academy of Sciences</t>
  </si>
  <si>
    <t>Belov, AA (corresponding author), Moscow MV Lomonosov State Univ, Moscow 119991, Russia.</t>
  </si>
  <si>
    <t>and.ant.be@gmail.com</t>
  </si>
  <si>
    <t>Cheptsov, Vladimir/I-7843-2018; Ezhelev, Zakhar/ABB-7760-2020; Vorobyova, Elena/ABF-3374-2021; Belov, Andrey/V-2998-2019</t>
  </si>
  <si>
    <t>Cheptsov, Vladimir/0000-0002-2547-2931; Vorobyova, Elena/0000-0002-4636-9933; Belov, Andrey/0000-0002-4617-7237</t>
  </si>
  <si>
    <t>Russian Foundation for Basic Research [18-34-00331]; Program of the Presidium of the Russian Academy of Sciences Evolution of the Organic World and Planetary Processes (Subprogram 1)</t>
  </si>
  <si>
    <t>Russian Foundation for Basic Research(Russian Foundation for Basic Research (RFBR)Spanish Government); Program of the Presidium of the Russian Academy of Sciences Evolution of the Organic World and Planetary Processes (Subprogram 1)</t>
  </si>
  <si>
    <t>This work was supported by the Russian Foundation for Basic Research (project no. 18-34-00331) and by the Program of the Presidium of the Russian Academy of Sciences Evolution of the Organic World and Planetary Processes (Subprogram 1).</t>
  </si>
  <si>
    <t>0031-0301</t>
  </si>
  <si>
    <t>1555-6174</t>
  </si>
  <si>
    <t>PALEONTOL J+</t>
  </si>
  <si>
    <t>Paleontol. J.</t>
  </si>
  <si>
    <t>10.1134/S0031030120080043</t>
  </si>
  <si>
    <t>PL7OB</t>
  </si>
  <si>
    <t>WOS:000603305200013</t>
  </si>
  <si>
    <t>Fobert, EK; Reeves, SE; Swearer, SE</t>
  </si>
  <si>
    <t>Fobert, Emily K.; Reeves, Simon E.; Swearer, Stephen E.</t>
  </si>
  <si>
    <t>Ontogenetic shifts in social aggregation and habitat use in a temperate reef fish</t>
  </si>
  <si>
    <t>ECOSPHERE</t>
  </si>
  <si>
    <t>context‐ dependent; cover; microhabitat; ontogeny; shoaling; social groups; structure; temperate reef; Trachinops caudimaculatus; trade‐ offs</t>
  </si>
  <si>
    <t>PREDATION RISK; GROUP-SIZE; SELFISH-HERD; SHOALING BEHAVIOR; COVER; VIGILANCE; RECRUITMENT; FOOD; COMPLEXITY; SETTLEMENT</t>
  </si>
  <si>
    <t>Cover, both from physical structure or association with social groups, can reduce predation risk and increase foraging, leading to enhanced growth and survival, and is therefore a critical aspect of the niche for many organisms. However, the need for cover, or the need for a specific type of cover, may change as an individual grows in size, leading to niche shifts throughout development to meet these changing needs. In this study, we examine ontogenetic shifts in cover use by wild populations of a temperate reef fish, the southern hulafish, Trachinops caudimaculatus, a small, abundant planktivorous social aggregator found on temperate reefs in southern Australia. Through repeated in situ surveys, we found clear evidence of ontogenetic shifts in both microhabitat use and aggregation patterns by T. caudimaculatus juveniles in the first three months on the reef. The microhabitat associations of juvenile T. caudimaculatus became more similar to those of adult conspecifics over the study period, and over the same time frame, juveniles increasingly aggregated with adult shoals. Our findings also suggest that trade-offs between structural and social cover are context-dependent, with juveniles relying on structural cover longer when adult conspecific density (and thus intra-specific competition) and/or habitat complexity (and thus the availability of shelter) is high. These findings provide rare and important observations into the complex interplay of social aggregations, habitat use, and ontogeny in wild fish populations.</t>
  </si>
  <si>
    <t>[Fobert, Emily K.; Swearer, Stephen E.] Univ Melbourne, Sch BioSci, Melbourne, Vic 3010, Australia; [Reeves, Simon E.] Univ Tasmania, Inst Marine &amp; Antarctic Studies, Hobart, Tas 7004, Australia; [Reeves, Simon E.] Nat Conservancy Australia, Carlton, Vic 3053, Australia; [Swearer, Stephen E.] Univ Melbourne, Natl Ctr Coasts &amp; Climate, Melbourne, Vic 3010, Australia</t>
  </si>
  <si>
    <t>University of Melbourne; Melbourne Genomics Health Alliance; University of Tasmania; University of Melbourne; Melbourne Genomics Health Alliance</t>
  </si>
  <si>
    <t>Fobert, EK (corresponding author), Univ Melbourne, Sch BioSci, Melbourne, Vic 3010, Australia.</t>
  </si>
  <si>
    <t>emily.fobert@unimelb.edu.au</t>
  </si>
  <si>
    <t>Reeves, Simon E/AAJ-3379-2021; Swearer, Stephen/X-4882-2018</t>
  </si>
  <si>
    <t>Swearer, Stephen/0000-0001-6381-9943; Fobert, Emily/0000-0001-5020-0615; Reeves, Simon/0000-0001-6715-466X</t>
  </si>
  <si>
    <t>Victorian Government's Seagrass and Reefs program; Holsworth Wildlife Research Endowment-Equity Trustees Charitable Foundation</t>
  </si>
  <si>
    <t>Field assistance for this study was provided by Chris Taylor. We thank Christos Ioannou and anonymous reviewers for providing feedback on earlier versions of the manuscript. This work was supported by the Victorian Government's Seagrass and Reefs program and by a Holsworth Wildlife Research Endowment-Equity Trustees Charitable Foundation grant to EKF. EKF formulated original idea; EKF, SER and SES developed methodology; EKF conducted fieldwork; EKF and SER analyzed the data; EKF wrote the manuscript; SER and SES provided editorial advice. The authors confirm no conflict of interest.</t>
  </si>
  <si>
    <t>2150-8925</t>
  </si>
  <si>
    <t>Ecosphere</t>
  </si>
  <si>
    <t>e03300</t>
  </si>
  <si>
    <t>10.1002/ecs2.3300</t>
  </si>
  <si>
    <t>PM2TE</t>
  </si>
  <si>
    <t>WOS:000603657600006</t>
  </si>
  <si>
    <t>Sun, HZ; Li, YM; Hao, YF; Zhu, Y; Yang, RQ; Wang, P; Zhang, QH; Jiang, GB</t>
  </si>
  <si>
    <t>Sun, Huizhong; Li, Yingming; Hao, Yanfen; Zhu, Ying; Yang, Ruiqiang; Wang, Pu; Zhang, Qinghua; Jiang, Guibin</t>
  </si>
  <si>
    <t>Bioaccumulation and Trophic Transfer of Polybrominated Diphenyl Ethers and Their Hydroxylated and Methoxylated Analogues in Polar Marine Food Webs</t>
  </si>
  <si>
    <t>Arctic and Antarctic marine ecosystems, which are important components of global biodiversity, have been severely threatened by environmental pollutants in recent decades. In this study, polybrominated diphenyl ethers (PBDEs) and their hydroxylated and methoxylated analogues (OH-PBDEs and MeO-PBDEs) were analyzed in seawater, sediment, and marine organisms (algae, invertebrates, and fishes) collected surrounding the Arctic Yellow River Station (n = 83) and the Antarctic Great Wall Station (n = 72). PBDEs and the analogues were detectable in all polar marine matrices, except MeO-PBDEs in seawater. The concentrations of Sigma PBDEs, Sigma MeO-PBDEs, and Sigma OH-PBDEs in the marine organisms were in the range of 0.33-16 ng/g lipid weight (lw), n.d.-2.6 ng/g lw, and 0.12-2.3 ng/g lw in the Arctic and 0.06-31 ng/g lw, n.d.-5.8 ng/g lw, and 0.17-35 ng/g lw in Antarctica, respectively. Biota-sediment bioaccumulation factor (BSAF, g TOC/g lipid) values of Sigma MeO-PBDEs (0.002-0.14) and Sigma OH-PBDEs (0.004-0.18) were lower than the BSAF values of PBDEs (0.85-12). Trophic magnification was found for Sigma MeO-PBDEs, whereas trophic dilution was observed for EOH-PBDEs in both regions. This is one of very few investigations on trophic transfer of PBDE metabolites in the Antarctic and Arctic regions and will further strengthen concerns about the ecological risk of PBDE metabolites in remote areas.</t>
  </si>
  <si>
    <t>[Sun, Huizhong] Natl Res Ctr Geoanal, Beijing 100037, Peoples R China; [Sun, Huizhong; Li, Yingming; Hao, Yanfen; Zhu, Ying; Yang, Ruiqiang; Zhang, Qinghua; Jiang, Guibin] Chinese Acad Sci, Res Ctr Ecoenvironm Sci, State Key Lab Environm Chem &amp; Ecotoxicol, Beijing 100085, Peoples R China; [Li, Yingming; Hao, Yanfen; Zhang, Qinghua; Jiang, Guibin] Univ Chinese Acad Sci, Beijing 100049, Peoples R China; [Wang, Pu] Jianghan Univ, Inst Environm &amp; Hlth, Hubei Key Lab Environm &amp; Hlth Effects Persistent, Wuhan 430056, Peoples R China; [Zhang, Qinghua] Univ Chinese Acad Sci, Inst Environm &amp; Hlth, Hangzhou Inst Adv Study, Beijing 100049, Peoples R China</t>
  </si>
  <si>
    <t>Chinese Academy of Sciences; Research Center for Eco-Environmental Sciences (RCEES); Chinese Academy of Sciences; University of Chinese Academy of Sciences, CAS; Jianghan University; Chinese Academy of Sciences; University of Chinese Academy of Sciences, CAS</t>
  </si>
  <si>
    <t>Li, YM (corresponding author), Chinese Acad Sci, Res Ctr Ecoenvironm Sci, State Key Lab Environm Chem &amp; Ecotoxicol, Beijing 100085, Peoples R China.;Li, YM (corresponding author), Univ Chinese Acad Sci, Beijing 100049, Peoples R China.</t>
  </si>
  <si>
    <t>Zhang, Qinghua/L-7652-2019; ZHANG, XUCHEN/KBB-7989-2024; Zhu, Ying/K-2797-2012</t>
  </si>
  <si>
    <t>Zhang, Qinghua/0000-0001-9086-7000; Zhu, Ying/0000-0002-2534-290X</t>
  </si>
  <si>
    <t>National Natural Science Foundation of China [91743206, 21777186, 22076215, 41977327]; Eco-environmental Excellent Innovation projects of Research Center for Eco-Environmental Sciences [RCEES-EEI-2019-01]; Chinese Arctic and Antarctic Administration; Polar Research Institute of China</t>
  </si>
  <si>
    <t>National Natural Science Foundation of China(National Natural Science Foundation of China (NSFC)); Eco-environmental Excellent Innovation projects of Research Center for Eco-Environmental Sciences; Chinese Arctic and Antarctic Administration; Polar Research Institute of China</t>
  </si>
  <si>
    <t>This study was supported by National Natural Science Foundation of China (91743206, 21777186, 22076215, and 41977327) and Eco-environmental Excellent Innovation projects of Research Center for Eco-Environmental Sciences (RCEES-EEI-2019-01). We appreciate the support of the Chinese Arctic and Antarctic Administration and Polar Research Institute of China for the arrangements during Chinese Arctic and Antarctic Expeditions.</t>
  </si>
  <si>
    <t>DEC 1</t>
  </si>
  <si>
    <t>10.1021/acs.est.0c05427</t>
  </si>
  <si>
    <t>PC0VQ</t>
  </si>
  <si>
    <t>WOS:000596728600035</t>
  </si>
  <si>
    <t>Das, SS; Ramkumar, G; Koushik, N; Murphy, DJ; Girach, IA; Suneeth, KV; Subrahmanyam, KV; Soni, VK; Kumar, V; Nazeer, M</t>
  </si>
  <si>
    <t>Das, Siddarth Shankar; Ramkumar, Geetha; Koushik, N.; Murphy, D. J.; Girach, I. A.; Suneeth, K., V; Subrahmanyam, K., V; Soni, V. K.; Kumar, Vivek; Nazeer, M.</t>
  </si>
  <si>
    <t>Multiplatform observations of stratosphere-troposphere exchange over the Bharati (69.41 ° S, 76 ° E), Antarctica during ISEA-35</t>
  </si>
  <si>
    <t>Stratosphere-troposphere exchange; Ozone; Antarctica; VHF radar</t>
  </si>
  <si>
    <t>DAKSHIN-GANGOTRI; TROPOPAUSE FOLDS; OZONE DEPLETION; STATION; VARIABILITY; PERFORMANCE; ATMOSPHERE; INTRUSION; RADAR</t>
  </si>
  <si>
    <t>This paper deals with the observations of stratospheric ozone intruding into the troposphere over the Bharati (69.41 degrees S, 76.19 degrees E) station in Antarctica, made during 35th Indian Scientific Expeditions to Antarctica (ISEA-35) during jet stream conditions. High-resolution multiplatform measurements from radiosonde coupled with ozo-nesonde, Very High-Frequency (VHF) radar and Micro-Limb Sounder (MLS) and Indian National Satellite System (INSAT-3D) satellite measurements are used for the present study. The most significant observation is that there is an increase of ozone by 30 ppbv in the upper troposphere and decrease by 100-110 ppbv in the lower stratosphere and this condition persisted for three successive days. The wind shows the presence of jet-stream in the vicinity of tropopause, enhancing the turbulence due to wind shear during the event of stratospheric intrusion. Further, the vertical velocity shows the presence of strong updrafts and downdrafts in the vicinity of tropopause which manifests the tropopause oscillation. Global analysis of satellite and reanalysis data also indicates the horizontal intrusion of stratospheric air from the mid-latitude to upper troposphere over the Bharati station. These observations constitute the first multi-instrumented, experimental evidence of stratospheric intrusions over the coastal Antarctica. These results are presented and discussed in the light of present understanding of turbulence and tropopause oscillation.</t>
  </si>
  <si>
    <t>[Das, Siddarth Shankar; Ramkumar, Geetha; Koushik, N.; Girach, I. A.; Suneeth, K., V; Subrahmanyam, K., V; Nazeer, M.] Vikram Sarabhai Space Ctr, Space Phys Lab, ISRO PO, Trivandrum 695022, Kerala, India; [Murphy, D. J.] Australian Antarctic Div, Kingston, Tas, Australia; [Suneeth, K., V] MoES, India Meteorol Dept, Numer Weather Predict Div, New Delhi 110003, India; [Soni, V. K.; Kumar, Vivek] Indian Meteorol Dept, Polar Meteorol Res Div, New Delhi 110003, India</t>
  </si>
  <si>
    <t>Department of Space (DoS), Government of India; Indian Space Research Organisation (ISRO); Vikram Sarabhai Space Center (VSSC); Australian Antarctic Division; Ministry of Earth Sciences (MoES) - India; India Meteorological Department (IMD); Ministry of Earth Sciences (MoES) - India; India Meteorological Department (IMD)</t>
  </si>
  <si>
    <t>Das, SS (corresponding author), Vikram Sarabhai Space Ctr, Space Phys Lab, ISRO PO, Trivandrum 695022, Kerala, India.</t>
  </si>
  <si>
    <t>siddarth_das@vssc.gov.in</t>
  </si>
  <si>
    <t>Girach, Imran/AHD-4916-2022; N, Koushik/R-4848-2019; Kumar, Vivek/KBA-9081-2024; Das, Siddarth Shankar/C-2345-2011</t>
  </si>
  <si>
    <t>Girach, Imran/0000-0002-8354-1173; N, Koushik/0000-0002-6770-0349; Kumar, Vivek/0000-0002-1774-4837; /0000-0002-3880-3613; Kuniyil Viswanathan, Suneeth/0000-0002-9287-7779; Das, Siddarth Shankar/0000-0002-6973-2774</t>
  </si>
  <si>
    <t>Indian Space Research Organisation (ISRO); India Meteorological Department (IMD); National Centre for Polar and Ocean Research (NCPOR); Australian Antarctic Division (AAD); Indian Space Research Organisation; Australian Antarctic Science project [4025, 4293]</t>
  </si>
  <si>
    <t>Indian Space Research Organisation (ISRO)(Department of Space (DoS), Government of India); India Meteorological Department (IMD); National Centre for Polar and Ocean Research (NCPOR); Australian Antarctic Division (AAD); Indian Space Research Organisation(Department of Space (DoS), Government of India); Australian Antarctic Science project</t>
  </si>
  <si>
    <t>This study is carried out under the Polar Research Programme of Space Physics Laboratory (SPL) of Vikram Sarabhai Space Centre (VSSC) and it is funded by Indian Space Research Organisation (ISRO) and logistic support by Ministry of Earth Sciences (MoES). We gratefully acknowledge the India Meteorological Department (IMD), National Centre for Polar and Ocean Research (NCPOR) and Australian Antarctic Division (AAD) for their support and providing the necessary data used for the present study. The authors also would like to thank other scientific members of SPL/ISRO: Mr. M. Santosh, Ms. Nalini K., and Dr. Shreedevi P.R. of SPL and technical staff of MoES who participated in the 34th to 36th 'Indian Scientific Expeditions to Antarctica (ISEA)' at the Bharati, Antarctica for conducting these balloon campaigns. The authors sincerely acknowledge the present Director, SPL Dr. Radhika Ramachandran, and former Directors Dr. Anil Bhardwaj and Dr. K. Krishnamurthy for their constant support and encouragement for conducting the experiments. The authors N. Koushik and K.V. Suneeth are thankful to the Indian Space Research Organisation for providing doctoral/postdoctoral fellowships during this study period. VHF radar observations at the David station were supported through the Australian Antarctic Science project 4025. They are described at ettpsimlata aad gov au/met adatameeLn LIS/DavisJAST_Radat. Davis ozonesonde observations were supported through Australian Antarctic Science project 4293.</t>
  </si>
  <si>
    <t>10.1016/j.jastp.2020.105455</t>
  </si>
  <si>
    <t>OU2LJ</t>
  </si>
  <si>
    <t>WOS:000591364700001</t>
  </si>
  <si>
    <t>Samui, G; Antony, R; Thamban, M</t>
  </si>
  <si>
    <t>Samui, Gautami; Antony, Runa; Thamban, Meloth</t>
  </si>
  <si>
    <t>Fate of Dissolved Organic Carbon in Antarctic Surface Environments During Summer</t>
  </si>
  <si>
    <t>JOURNAL OF GEOPHYSICAL RESEARCH-BIOGEOSCIENCES</t>
  </si>
  <si>
    <t>cryoconite holes; glacier; melt season; carbon cycling; surface snow</t>
  </si>
  <si>
    <t>DRY VALLEY LAKES; PHOTOCHEMICAL PRODUCTION; MICROBIAL COMMUNITIES; BACTERIAL-ACTIVITY; CRYOCONITE HOLES; CARBOXYLIC-ACIDS; ARCTIC GLACIER; MATTER; SNOW; PERMAFROST</t>
  </si>
  <si>
    <t>While the role of supraglacial environments such as the cryoconite holes and surface snow in cycling of carbon and nutrients has gained momentum in the last decade, little has been done to assess how interactions with sunlight and microbes control the dissolved organic matter cycling in these environments. In this study, the cryoconite holes, which are subjected to different light conditions, were monitored in the coastal Antarctica during the summer in order to determine how the geochemistry of these environments varied through the melt season. Additionally, mesocosm experiments were conducted to understand the impact of photochemical and microbial activities on dissolved organic carbon (DOC) and ionic constituents in the snow and cryoconite holes. In situ measurements of primary and bacterial production carried out in the surface snow and cryoconite holes showed that the primary production rates were higher than the bacterial production rates. Both photochemical and microbial processes resulted in changing the concentration of DOC, carboxylate, and nitrate ions in these environments. Sunlight-induced production of biologically labile compounds, such as acetate and formate, and photochemical degradation of oxalate were also observed. Microbial activity had the opposite effect, resulting in an increase in oxalate and decrease in acetate and formate concentrations. Consequences of these combined processes would determine the fate of DOC and associated nutrients in the Antarctic supraglacial environments and potentially influence the local productivity within these systems.</t>
  </si>
  <si>
    <t>[Samui, Gautami; Antony, Runa; Thamban, Meloth] Minist Earth Sci, Natl Ctr Polar &amp; Ocean Res, Vasco Da Gama, India</t>
  </si>
  <si>
    <t>Samui, G (corresponding author), Minist Earth Sci, Natl Ctr Polar &amp; Ocean Res, Vasco Da Gama, India.</t>
  </si>
  <si>
    <t>gautamisamui@gmail.com</t>
  </si>
  <si>
    <t>Samui, Gautami/AGM-8337-2022</t>
  </si>
  <si>
    <t>Samui, Gautami/0000-0001-5869-5296; Antony, Runa/0000-0003-4829-4207</t>
  </si>
  <si>
    <t>National Centre for Polar and Ocean Research; Ministry of Earth Sciences</t>
  </si>
  <si>
    <t>We thank the Director of National Centre for Polar and Ocean Research for support and encouragement. We are grateful to the Ministry of Earth Sciences for financial support through the project PACER-Cryosphere and Climate. Many thanks to the members of 36th Indian Scientific Expedition to Antarctica for field and laboratory support. We express our gratitude to Shanta Achuthankutty (National Institute of Oceanography, Goa) and Loka Bharathi (NIO, Goa) for help in designing a part of the experiments. We thank N. Ramaiah (NIO, Goa) and R. Kirubagaran (National Institute of Ocean Technology, Chennai) for providing their respective department's facility of liquid scintillation counter. We also thank Lata Gawade (NIO, Goa) and Magesh Peter (NIOT, Chennai) for their assistance in scintillation analysis. Many thanks to Ravidas Naik (NCPOR) for analysis of phytoplankton and Ashish Painginkar (NCPOR) for laboratory assistance. We are grateful to C. T. Achuthankutty (NIO, Goa) for reviewing the manuscript and improving the contents. Norwegian Polar Institute is acknowledged for Quantarctica QGIS package. This is NCPOR Contribution No. J-69/2020-21.</t>
  </si>
  <si>
    <t>2169-8953</t>
  </si>
  <si>
    <t>2169-8961</t>
  </si>
  <si>
    <t>J GEOPHYS RES-BIOGEO</t>
  </si>
  <si>
    <t>J. Geophys. Res.-Biogeosci.</t>
  </si>
  <si>
    <t>e2020JG005958</t>
  </si>
  <si>
    <t>10.1029/2020JG005958</t>
  </si>
  <si>
    <t>Environmental Sciences; Geosciences, Multidisciplinary</t>
  </si>
  <si>
    <t>PL7FD</t>
  </si>
  <si>
    <t>WOS:000603282000013</t>
  </si>
  <si>
    <t>Parravicini, V; Casey, JM; Schiettekatte, NMD; Brandl, SJ; Pozas-Schacre, C; Carlot, J; Edgar, GJ; Graham, NAJ; Harmelin-Vivien, M; Kulbicki, M; Strona, G; Stuart-Smith, RD</t>
  </si>
  <si>
    <t>Parravicini, Valeriano; Casey, Jordan M.; Schiettekatte, Nina M. D.; Brandl, Simon J.; Pozas-Schacre, Chloe; Carlot, Jeremy; Edgar, Graham J.; Graham, Nicholas A. J.; Harmelin-Vivien, Mireille; Kulbicki, Michel; Strona, Giovanni; Stuart-Smith, Rick D.</t>
  </si>
  <si>
    <t>Delineating reef fish trophic guilds with global gut content data synthesis and phylogeny</t>
  </si>
  <si>
    <t>PLOS BIOLOGY</t>
  </si>
  <si>
    <t>FUNCTIONAL DIVERSITY; ECOSYSTEM-FUNCTION; SPECIES RICHNESS; CORAL-REEFS; BODY-SIZE; R PACKAGE; FOOD-WEB; BIODIVERSITY; NICHE; VULNERABILITY</t>
  </si>
  <si>
    <t>Understanding species' roles in food webs requires an accurate assessment of their trophic niche. However, it is challenging to delineate potential trophic interactions across an ecosystem, and a paucity of empirical information often leads to inconsistent definitions of trophic guilds based on expert opinion, especially when applied to hyperdiverse ecosystems. Using coral reef fishes as a model group, we show that experts disagree on the assignment of broad trophic guilds for more than 20% of species, which hampers comparability across studies. Here, we propose a quantitative, unbiased, and reproducible approach to define trophic guilds and apply recent advances in machine learning to predict probabilities of pairwise trophic interactions with high accuracy. We synthesize data from community-wide gut content analyses of tropical coral reef fishes worldwide, resulting in diet information from 13,961 individuals belonging to 615 reef fish. We then use network analysis to identify 8 trophic guilds and Bayesian phylogenetic modeling to show that trophic guilds can be predicted based on phylogeny and maximum body size. Finally, we use machine learning to test whether pairwise trophic interactions can be predicted with accuracy. Our models achieved a misclassification error of less than 5%, indicating that our approach results in a quantitative and reproducible trophic categorization scheme, as well as high-resolution probabilities of trophic interactions. By applying our framework to the most diverse vertebrate consumer group, we show that it can be applied to other organismal groups to advance reproducibility in trait-based ecology. Our work thus provides a viable approach to account for the complexity of predator-prey interactions in highly diverse ecosystems.</t>
  </si>
  <si>
    <t>[Parravicini, Valeriano; Casey, Jordan M.; Schiettekatte, Nina M. D.; Brandl, Simon J.; Pozas-Schacre, Chloe; Carlot, Jeremy] Univ Perpignan, PSL Univ Paris, EPHE UPVD CNRS, USR CRIOBE 3278, Perpignan, France; [Parravicini, Valeriano; Casey, Jordan M.; Schiettekatte, Nina M. D.; Brandl, Simon J.; Pozas-Schacre, Chloe; Carlot, Jeremy] Lab Excellence CORAIL, Perpignan, France; [Casey, Jordan M.; Brandl, Simon J.] Univ Texas Austin, Marine Sci Inst, Dept Marine Sci, Port Aransas, TX USA; [Brandl, Simon J.; Stuart-Smith, Rick D.] Inst Bouisson Bertrand, Ctr Synth &amp; Anal Biodivers CESAB, Montpellier, France; [Edgar, Graham J.] Univ Tasmania, Inst Marine &amp; Antarctic Studies, Hobart, Tas, Australia; [Graham, Nicholas A. J.] Univ Lancaster, Lancaster Environm Ctr, Lancaster, England; [Harmelin-Vivien, Mireille] Aix Marseille Univ, Inst Mediterraneen Oceanol, CNRS INSU, Marseille, France; [Kulbicki, Michel] Univ Perpignan, LabEx Corail, UMR Entropie, IRD, Perpignan, France; [Strona, Giovanni] Univ Helsinki, Dept Biosci, Helsinki, Finland</t>
  </si>
  <si>
    <t>Universite Perpignan Via Domitia; Universite PSL; Ecole Pratique des Hautes Etudes (EPHE); Centre National de la Recherche Scientifique (CNRS); CNRS - Institute of Ecology &amp; Environment (INEE); University of Texas System; University of Texas Austin; University of Tasmania; Lancaster University; Centre National de la Recherche Scientifique (CNRS); CNRS - National Institute for Earth Sciences &amp; Astronomy (INSU); Aix-Marseille Universite; Universite Perpignan Via Domitia; Institut de Recherche pour le Developpement (IRD); University of Helsinki</t>
  </si>
  <si>
    <t>Parravicini, V (corresponding author), Univ Perpignan, PSL Univ Paris, EPHE UPVD CNRS, USR CRIOBE 3278, Perpignan, France.;Parravicini, V (corresponding author), Lab Excellence CORAIL, Perpignan, France.</t>
  </si>
  <si>
    <t>valeriano.parravicini@ephe.psl.eu</t>
  </si>
  <si>
    <t>Pozas-Schacre, Chloe/AAH-6045-2021; Edgar, Graham/AAY-3797-2020; Parravicini, Valeriano/A-8539-2011; Brandl, Simon/H-4150-2019; Carlot, Jérémy/AAL-5945-2020; Graham, Nicholas/C-8360-2014; Stuart-Smith, Rick/I-5214-2019</t>
  </si>
  <si>
    <t>Edgar, Graham/0000-0003-0833-9001; Brandl, Simon/0000-0002-6649-2496; Carlot, Jérémy/0000-0003-0887-8005; Graham, Nicholas/0000-0002-0304-7467; Stuart-Smith, Rick/0000-0002-8874-0083; Schiettekatte, Nina/0000-0002-1925-3484; Casey, Jordan/0000-0002-2434-7207; Pozas-Schacre, Chloe/0000-0002-3044-4644; Strona, Giovanni/0000-0003-2294-4013; Parravicini, Valeriano/0000-0002-3408-1625</t>
  </si>
  <si>
    <t>BNP Paribas Foundation (Reef Services Project); French National Agency for Scientific Research (ANR; REEFLUX Project) [ANR-17-CE32-0006]; Centre de Synthese et d'Analyse sur la Biodiversite (CESAB) of the Foundation pour la Recherche sur la Biodiversite (FRB); Agence Nationale de la Biodiversite (AFB); Institut Universitaire de France (IUF); Make Our Planet Great Again Postdoctoral Grant [mopga-pdf-0000000144]; French Polynesian Government (RisqueRecif project); Agence Nationale de la Recherche (ANR) [ANR-17-CE32-0006] Funding Source: Agence Nationale de la Recherche (ANR)</t>
  </si>
  <si>
    <t>BNP Paribas Foundation (Reef Services Project); French National Agency for Scientific Research (ANR; REEFLUX Project)(Agence Nationale de la Recherche (ANR)); Centre de Synthese et d'Analyse sur la Biodiversite (CESAB) of the Foundation pour la Recherche sur la Biodiversite (FRB); Agence Nationale de la Biodiversite (AFB); Institut Universitaire de France (IUF); Make Our Planet Great Again Postdoctoral Grant; French Polynesian Government (RisqueRecif project); Agence Nationale de la Recherche (ANR)(Agence Nationale de la Recherche (ANR))</t>
  </si>
  <si>
    <t>This research was funded by the BNP Paribas Foundation (Reef Services Project) and the French National Agency for Scientific Research (ANR; REEFLUX Project; ANR-17-CE32-0006). This research is product of the SCORE-REEF group funded by the Centre de Synthese et d'Analyse sur la Biodiversite (CESAB) of the Foundation pour la Recherche sur la Biodiversite (FRB) and the Agence Nationale de la Biodiversite (AFB). VP was supported by the Institut Universitaire de France (IUF), JMC was supported by a Make Our Planet Great Again Postdoctoral Grant (mopga-pdf-0000000144) and JC was supported by the French Polynesian Government (RisqueRecif project). The funders had no role in study design, data collection and analysis, decision to publish, or preparation of the manuscript.</t>
  </si>
  <si>
    <t>1544-9173</t>
  </si>
  <si>
    <t>1545-7885</t>
  </si>
  <si>
    <t>PLOS BIOL</t>
  </si>
  <si>
    <t>PLoS. Biol.</t>
  </si>
  <si>
    <t>e3000702</t>
  </si>
  <si>
    <t>10.1371/journal.pbio.3000702</t>
  </si>
  <si>
    <t>Biochemistry &amp; Molecular Biology; Biology</t>
  </si>
  <si>
    <t>Biochemistry &amp; Molecular Biology; Life Sciences &amp; Biomedicine - Other Topics</t>
  </si>
  <si>
    <t>PM2BK</t>
  </si>
  <si>
    <t>WOS:000603611300002</t>
  </si>
  <si>
    <t>Han, WX; Huang, CL; Duan, HT; Gu, J; Hou, JL</t>
  </si>
  <si>
    <t>Han, Weixiao; Huang, Chunlin; Duan, Hongtao; Gu, Juan; Hou, Jinliang</t>
  </si>
  <si>
    <t>Lake Phenology of Freeze-Thaw Cycles Using Random Forest: A Case Study of Qinghai Lake</t>
  </si>
  <si>
    <t>Random forest; Qinghai Lake; MODIS; Google Earth Engine; lake phenology; land surface temperature</t>
  </si>
  <si>
    <t>DIFFERENCE WATER INDEX; SURFACE-TEMPERATURE; NORTHERN-HEMISPHERE; ICE PHENOLOGY; TIBETAN PLATEAU; CLIMATE-CHANGE; LANDSAT 8; MODIS; TRENDS; NDWI</t>
  </si>
  <si>
    <t>Lake phenology is essential for understanding the lake freeze-thaw cycle effects on terrestrial hydrological processes. The Qinghai-Tibetan Plateau (QTP) has the most extensive ice reserve outside of the Arctic and Antarctic poles and is a sensitive indicator of global climate changes. Qinghai Lake, the largest lake in the QTP, plays a critical role in climate change. The freeze-thaw cycles of lakes were studied using daily Moderate Resolution Imaging Spectroradiometer (MODIS) data ranging from 2000-2018 in the Google Earth Engine (GEE) platform. Surface water/ice area, coverage, critical dates, surface water, and ice cover duration were extracted. Random forest (RF) was applied with a classifier accuracy of 0.9965 and a validation accuracy of 0.8072. Compared with six common water indexes (tasseled cap wetness (TCW), normalized difference water index (NDWI), modified normalized difference water index (MNDWI), automated water extraction index (AWEI), water index 2015 (WI2015) and multiband water index (MBWI)) and ice threshold value methods, the critical freeze-up start (FUS), freeze-up end (FUE), break-up start (BUS), and break-up end (BUE) dates were extracted by RF and validated by visual interpretation. The results showed an R-2 of 0.99, RMSE of 3.81 days, FUS and BUS overestimations of 2.50 days, and FUE and BUE underestimations of 0.85 days. RF performed well for lake freeze-thaw cycles. From 2000 to 2018, the FUS and FUE dates were delayed by 11.21 and 8.21 days, respectively, and the BUS and BUE dates were 8.59 and 1.26 days early, respectively. Two novel key indicators, namely date of the first negative land surface temperature (DFNLST) and date of the first positive land surface temperature (DFPLST), were proposed to comprehensively delineate lake phenology: DFNLST was approximately 37 days before FUS, and DFPLST was approximately 20 days before BUS, revealing that the first negative and first positive land surface temperatures occur increasingly earlier.</t>
  </si>
  <si>
    <t>[Han, Weixiao; Huang, Chunlin; Hou, Jinliang] Chinese Acad Sci, Northwest Inst Ecoenvironm &amp; Resources, Key Lab Remote Sensing Gansu Prov, Heihe Remote Sensing Expt Res Stn, Lanzhou 730000, Peoples R China; [Han, Weixiao] Univ Chinese Acad Sci, Beijing 100049, Peoples R China; [Duan, Hongtao] Chinese Acad Sci, Nanjing Inst Geog &amp; Limnol, Key Lab Watershed Geog Sci, 73 East Beijing Rd, Nanjing 210008, Peoples R China; [Duan, Hongtao] Northwest Univ, Coll Urban &amp; Environm Sci, Xian 710127, Peoples R China; [Gu, Juan] Lanzhou Univ, Key Lab Western Chinas Environm Syst, Minist Educ, Lanzhou 730000, Peoples R China</t>
  </si>
  <si>
    <t>Chinese Academy of Sciences; Chinese Academy of Sciences; University of Chinese Academy of Sciences, CAS; Chinese Academy of Sciences; Nanjing Institute of Geography &amp; Limnology, CAS; Northwest University Xi'an; Lanzhou University</t>
  </si>
  <si>
    <t>Huang, CL (corresponding author), Chinese Acad Sci, Northwest Inst Ecoenvironm &amp; Resources, Key Lab Remote Sensing Gansu Prov, Heihe Remote Sensing Expt Res Stn, Lanzhou 730000, Peoples R China.</t>
  </si>
  <si>
    <t>weixiaohan@lzb.ac.cn; huangcl@lzb.ac.cn; htduan@niglas.ac.cn; gujuan@lzu.edu.cn; jlhours@lzb.ac.cn</t>
  </si>
  <si>
    <t>Han, Weixiao/GXI-0039-2022; Duan, Hongtao/B-7210-2011; Han, Weixiao/E-7873-2016; HUANG, CHUNLIN/G-6715-2011</t>
  </si>
  <si>
    <t>Duan, Hongtao/0000-0002-1985-2292; Han, Weixiao/0000-0001-7594-3159; HUANG, CHUNLIN/0000-0002-1366-5170</t>
  </si>
  <si>
    <t>Strategic Priority Research Program of the Chinese Academy of Sciences CAS Earth Big Data Science Project [XDA19040500]; Open Foundation of MOE Key Laboratory ofWestern China's Environmental System, Lanzhou University Water information extraction of Qinghai Lake based on remote sensing images [lzujbky-2017-kl01]; National Natural Science Foundation of China [41671375, 41871251, 41971326, 41861047]</t>
  </si>
  <si>
    <t>Strategic Priority Research Program of the Chinese Academy of Sciences CAS Earth Big Data Science Project; Open Foundation of MOE Key Laboratory ofWestern China's Environmental System, Lanzhou University Water information extraction of Qinghai Lake based on remote sensing images; National Natural Science Foundation of China(National Natural Science Foundation of China (NSFC))</t>
  </si>
  <si>
    <t>This work is supported by the Strategic Priority Research Program of the Chinese Academy of Sciences CAS Earth Big Data Science Project (Project No. XDA19040500), the Open Foundation of MOE Key Laboratory ofWestern China's Environmental System, Lanzhou University Water information extraction of Qinghai Lake based on remote sensing images (Project No. lzujbky-2017-kl01), and the National Natural Science Foundation of China under Grants (41671375, 41871251, 41971326 and 41861047).</t>
  </si>
  <si>
    <t>10.3390/rs12244098</t>
  </si>
  <si>
    <t>PL7CG</t>
  </si>
  <si>
    <t>WOS:000603274500001</t>
  </si>
  <si>
    <t>D. Hawkins, Jonathan; Lok, Lai Bun; V. Brennan, Paul; Nicholls, Keith W.</t>
  </si>
  <si>
    <t>HF Wire-Mesh Dipole Antennas for Broadband Ice-Penetrating Radar</t>
  </si>
  <si>
    <t>IEEE ANTENNAS AND WIRELESS PROPAGATION LETTERS</t>
  </si>
  <si>
    <t>Radar antennas; Dipole antennas; Broadband antennas; Radar; Bandwidth; Dielectrics; Dipole antennas; high-frequency (HF); very-high-frequency(VHF) radar; ice-penetrating radar</t>
  </si>
  <si>
    <t>MELTWATER; FLOW</t>
  </si>
  <si>
    <t>In this letter, a novel high-frequency to very-high-frequency wire-mesh dipole antenna design for use in polar regions is discussed and evaluated. The antenna was designed to be lightweight, readily demountable, and acceptably robust. This is an initial step in the development of a ground-based, phase-sensitive, synthetic aperture imaging system for use on an autonomous rover platform. The results of initial trials on the Rhone Glacier, Switzerland, in August 2019, are discussed, with particular attention being paid to the effect on the antenna performance of high surface water content. Including the effects of the surface water resulted in good agreement between field results, and modeled performance.</t>
  </si>
  <si>
    <t>[D. Hawkins, Jonathan; V. Brennan, Paul] UCL, Dept Elect &amp; Elect Engn, Radar Grp, London WC1E 7JE, England; [Lok, Lai Bun] Univ Lancaster, Dept Engn, Lancaster LA1 4YW, England; [Nicholls, Keith W.] British Antarctic Survey, Cambridge CB3 0ET, England</t>
  </si>
  <si>
    <t>University of London; University College London; Lancaster University; UK Research &amp; Innovation (UKRI); Natural Environment Research Council (NERC); NERC British Antarctic Survey</t>
  </si>
  <si>
    <t>Hawkins, JD (corresponding author), UCL, Dept Elect &amp; Elect Engn, Radar Grp, London WC1E 7JE, England.</t>
  </si>
  <si>
    <t>uceeawk@ucl.ac.uk; l.lok@lancaster.ac.uk; p.brennan@ucl.ac.uk; kwni@bas.ac.uk</t>
  </si>
  <si>
    <t>Lok, Lai Bun/0000-0002-0033-9173; Hawkins, Jonathan/0000-0001-6343-7443</t>
  </si>
  <si>
    <t>Royal Society Research Fellows Enhancment Award [RGS\EA\180173]; NERC [bas0100033] Funding Source: UKRI</t>
  </si>
  <si>
    <t>Royal Society Research Fellows Enhancment Award; NERC(UK Research &amp; Innovation (UKRI)Natural Environment Research Council (NERC))</t>
  </si>
  <si>
    <t>This work was supported by the Royal Society Research Fellows Enhancment Award RGS\EA\180173.</t>
  </si>
  <si>
    <t>1536-1225</t>
  </si>
  <si>
    <t>1548-5757</t>
  </si>
  <si>
    <t>IEEE ANTENN WIREL PR</t>
  </si>
  <si>
    <t>IEEE Antennas Wirel. Propag. Lett.</t>
  </si>
  <si>
    <t>10.1109/LAWP.2020.3026723</t>
  </si>
  <si>
    <t>PL3OY</t>
  </si>
  <si>
    <t>WOS:000603036600034</t>
  </si>
  <si>
    <t>González-Pleiter, M; Edo, C; Velázquez, D; Casero-Chamorro, MC; Leganés, F; Quesada, A; Fernández-Piñas, F; Rosal, R</t>
  </si>
  <si>
    <t>Gonzalez-Pleiter, Miguel; Edo, Carlos; Velazquez, David; Cristina Casero-Chamorro, Maria; Leganes, Francisco; Quesada, Antonio; Fernandez-Pinas, Francisca; Rosal, Roberto</t>
  </si>
  <si>
    <t>First detection of microplastics in the freshwater of an Antarctic Specially Protected Area</t>
  </si>
  <si>
    <t>Antarctica; Byers Peninsula; Freshwater; Microplastics; Antarctic specially protected area</t>
  </si>
  <si>
    <t>LIVINGSTON ISLAND; BYERS PENINSULA; ROSS SEA; SEDIMENTS; POLLUTION; LAKES</t>
  </si>
  <si>
    <t>Microplastics have been found in all environmental compartments investigated so far, even reaching remote areas. However, their presence in Antarctic freshwaters has not been yet reported. Here, we investigated the occurrence of microplastics in a stream from an Antarctic Specially Protected Area (Byers Peninsula, Livingston Island - ASPA No. 126), which is subject to stringent environmental protection measures as a result of which it is considered a pristine international reference site for inland waters research. Our results showed the presence of three types of microplastics in a freshwater seasonal stream, namely four polyester fibers, one black and three transparent; two acrylic fibers, one transparent and one red; and two transparent polytetrafluoroethylene films. The length and width of these fibers and films were in the 400-3546 mu m (average 1118 mu m), and 10-1026 mu m (average 199 mu m) ranges respectively. The concentration of MP was 0.95 items/1000 m(3) with estimated variability in the 0.47-1.43 items/1000 m(3) range. This is the first report of the presence of microplastics in Antarctic freshwater with the uniqueness that it is an Antarctic Specially Protected Area, meaning that plastic pollution reached even the most remote and pristine environments in the planet.</t>
  </si>
  <si>
    <t>[Gonzalez-Pleiter, Miguel; Velazquez, David; Leganes, Francisco; Quesada, Antonio; Fernandez-Pinas, Francisca] Univ Autonoma Madrid, Fac Ciencias, Dept Biol, E-28049 Madrid, Spain; [Gonzalez-Pleiter, Miguel; Edo, Carlos; Rosal, Roberto] Univ Alcala, Dept Ingn Quim, E-28871 Madrid, Spain; [Cristina Casero-Chamorro, Maria] CSIC, Museo Nacl Ciencias Nat, Dept Biogeoquim &amp; Ecol Microbiana, E-28006 Madrid, Spain</t>
  </si>
  <si>
    <t>Autonomous University of Madrid; Universidad de Alcala; Consejo Superior de Investigaciones Cientificas (CSIC); CSIC - Museo Nacional de Ciencias Naturales (MNCN)</t>
  </si>
  <si>
    <t>Rosal, R (corresponding author), Univ Alcala, Dept Ingn Quim, E-28871 Madrid, Spain.</t>
  </si>
  <si>
    <t>roberto.rosal@uah.es</t>
  </si>
  <si>
    <t>CASERO, MARÍA CRISTINA/AAQ-1735-2020; Rosal, Roberto/N-1231-2014; Quesada, Antonio/L-2430-2013; Velazquez, David/M-2309-2017</t>
  </si>
  <si>
    <t>CASERO, MARÍA CRISTINA/0000-0002-0611-4776; Rosal, Roberto/0000-0003-0816-8775; Quesada, Antonio/0000-0002-8913-5993; Velazquez, David/0000-0002-4127-8370; Gonzalez-Pleiter, Miguel/0000-0002-7674-4167; Edo Cuesta, Carlos/0000-0003-0340-7327</t>
  </si>
  <si>
    <t>Spanish Ministry of Economy and Competitiveness [CTM2016-74927-C2-1/2-R, CTM2016-79741R, AGL2014-53771-R, AGL2017-87591-R]; CLIMARCTIC - Spanish State Research Agency [PCIN2016001]; Ministry of Science, Innovation and Universities [RED2018-102345-T]; Spanish Government</t>
  </si>
  <si>
    <t>Spanish Ministry of Economy and Competitiveness(Spanish Government); CLIMARCTIC - Spanish State Research Agency; Ministry of Science, Innovation and Universities; Spanish Government(Spanish Government)</t>
  </si>
  <si>
    <t>This research was funded by the Spanish Ministry of Economy and Competitiveness (CTM2016-74927-C2-1/2-R, CTM2016-79741R, AGL2014-53771-R and AGL2017-87591-R); CLIMARCTIC (PCIN2016001) funded by the Spanish State Research Agency in the frame of the 2015-2016 BiodivERsA COFUND call for research proposals. We thank all members of the EnviroPlaNet Network Thematic Network of Microand Nanoplastics in the Environment (RED2018-102345-T; Ministry of Science, Innovation and Universities). The authors wish to thank Ana Justel, Pablo Almela and the LIMNOPOLAR team who made possible the field work. The authors gratefully acknowledge the support of Luis Larumbe, from SIDI-UAM Infrared laboratory. Carlos Edo thanks the Spanish Government for the award of a predoctoral grant (FPI). Meteorological data were kindly provided by the Agencia Espanola de Meteorologia.</t>
  </si>
  <si>
    <t>10.1016/j.marpolbul.2020.111811</t>
  </si>
  <si>
    <t>PH3LB</t>
  </si>
  <si>
    <t>WOS:000600317600003</t>
  </si>
  <si>
    <t>Tosic, TN; Vruggink, M; Vesman, A</t>
  </si>
  <si>
    <t>Tosic, Tara Niamh; Vruggink, Marc; Vesman, Anna</t>
  </si>
  <si>
    <t>Microplastics quantification in surface waters of the Barents, Kara and White Seas</t>
  </si>
  <si>
    <t>Microplastics; Marine litter; Barents Sea; Kara Sea; White Sea</t>
  </si>
  <si>
    <t>NILE RED; DEBRIS</t>
  </si>
  <si>
    <t>This study is focused on the analysis of microplastic concentrations in the surface waters of the White, Barents and Kara Seas. Sampling took place during the Arctic Floating University 2018 expedition using a manta trawl. Particularly high concentrations of the microplastics were found off the west coast of Novaya Zemlya archipelago with a maximum in a highly productive region - Gusinaya bank. The microplastic distribution pattern in the Barents Sea correlates both with the oceanic circulation and the fishing activities. The results show the first recorded estimation of microplastic concentrations in the White Sea with the higher concentrations located in the area affected by the Severnaya Dvina River discharge. Relatively low concentrations of microplastics were found in the Kara Sea.</t>
  </si>
  <si>
    <t>[Tosic, Tara Niamh] Ecole Polytech Fed Lausanne, Dept Phys, Lausanne, Switzerland; [Vruggink, Marc] Ecole Polytech Fed Lausanne, Dept Environm Sci &amp; Engn, Lausanne, Switzerland; [Vesman, Anna] Arctic &amp; Antarctic Res Inst AARI, St Petersburg, Russia</t>
  </si>
  <si>
    <t>Swiss Federal Institutes of Technology Domain; Ecole Polytechnique Federale de Lausanne; Swiss Federal Institutes of Technology Domain; Ecole Polytechnique Federale de Lausanne; Arctic &amp; Antarctic Research Institute</t>
  </si>
  <si>
    <t>Vesman, A (corresponding author), Arctic &amp; Antarctic Res Inst AARI, St Petersburg, Russia.</t>
  </si>
  <si>
    <t>anna.vesman@aari.ru</t>
  </si>
  <si>
    <t>Vesman, Anna/ABC-8337-2020</t>
  </si>
  <si>
    <t>Vesman, Anna/0000-0002-8805-0349; Vruggink, Marc/0000-0001-5349-0021; Tosic, Tara/0000-0002-9209-2234</t>
  </si>
  <si>
    <t>Geneva Global Program</t>
  </si>
  <si>
    <t>Geneva Global Program.</t>
  </si>
  <si>
    <t>10.1016/j.marpolbul.2020.111745</t>
  </si>
  <si>
    <t>PG6MZ</t>
  </si>
  <si>
    <t>WOS:000599849000001</t>
  </si>
  <si>
    <t>Su, XL; Guo, JY; Shum, CK; Luo, ZC; Zhang, Y</t>
  </si>
  <si>
    <t>Su, Xiaoli; Guo, Junyi; Shum, C. K.; Luo, Zhicai; Zhang, Yu</t>
  </si>
  <si>
    <t>Increased Low Degree Spherical Harmonic Influences on Polar Ice Sheet Mass Change Derived from GRACE Mission</t>
  </si>
  <si>
    <t>GRACE; polar ice sheets; mass change; low degree spherical harmonic coefficients</t>
  </si>
  <si>
    <t>GEOCENTER MOTION; GREENLAND</t>
  </si>
  <si>
    <t>Replacing estimates of C-20 from the Gravity Recovery and Climate Experiment (GRACE) monthly gravity field solutions by those from satellite laser ranging (SLR) data and including degree one terms has become a standard procedure for proper science applications in the satellite gravimetry community. Here, we assess the impact of degree one terms, SLR-based C-20 and C-30 estimates on GRACE-derived polar ice sheet mass variations. We report that degree one terms recommended for GRACE Release 06 (RL06) data have an impact of 2.5 times more than those for GRACE RL05 data on the mass trend estimates over the Greenland and the Antarctic ice sheets. The latest recommended C-20 solutions in GRACE Technical Note 14 (TN14) affect the mass trend estimates of ice sheets in absolute value by more than 50%, as compared to those in TN11 and TN07. The SLR-based C-30 replacement has some impact on the Antarctic ice sheet mass variations, mainly depending on the length of the study period. This study emphasizes that reliable solutions of low degree spherical harmonics are crucial for accurately deriving ice sheet mass balance from satellite gravimetry.</t>
  </si>
  <si>
    <t>[Su, Xiaoli; Luo, Zhicai] Huazhong Univ Sci &amp; Technol, MOE Key Lab Fundamental Phys Quant Measurement, Wuhan 430074, Peoples R China; [Su, Xiaoli; Luo, Zhicai] Huazhong Univ Sci &amp; Technol, Hubei Key Lab Gravitat &amp; Quantum Phys, PGMF, Wuhan 430074, Peoples R China; [Su, Xiaoli; Luo, Zhicai] Huazhong Univ Sci &amp; Technol, Sch Phys, Wuhan 430074, Peoples R China; [Su, Xiaoli; Luo, Zhicai] Huazhong Univ Sci &amp; Technol, Inst Geophys, Wuhan 430074, Peoples R China; [Guo, Junyi; Shum, C. K.; Zhang, Yu] Ohio State Univ, Sch Earth Sci, Div Geodet Sci, Columbus, OH 43210 USA; [Shum, C. K.] Chinese Acad Sci, Inst Geodesy &amp; Geophys, Wuhan 430077, Peoples R China</t>
  </si>
  <si>
    <t>Huazhong University of Science &amp; Technology; Huazhong University of Science &amp; Technology; Huazhong University of Science &amp; Technology; Huazhong University of Science &amp; Technology; University System of Ohio; Ohio State University; Chinese Academy of Sciences; Innovation Academy for Precision Measurement Science &amp; Technology, CAS</t>
  </si>
  <si>
    <t>Su, XL (corresponding author), Huazhong Univ Sci &amp; Technol, MOE Key Lab Fundamental Phys Quant Measurement, Wuhan 430074, Peoples R China.;Su, XL (corresponding author), Huazhong Univ Sci &amp; Technol, Hubei Key Lab Gravitat &amp; Quantum Phys, PGMF, Wuhan 430074, Peoples R China.;Su, XL (corresponding author), Huazhong Univ Sci &amp; Technol, Sch Phys, Wuhan 430074, Peoples R China.;Su, XL (corresponding author), Huazhong Univ Sci &amp; Technol, Inst Geophys, Wuhan 430074, Peoples R China.</t>
  </si>
  <si>
    <t>xlsu@hust.edu.cn; guo.81@osu.edu; ck.shum@outlook.com; zcluo@hust.edu.cn; zhang.6345@osu.edu</t>
  </si>
  <si>
    <t>Luo, Zhicai/GSE-0602-2022</t>
  </si>
  <si>
    <t>Shum, C K/0000-0001-9378-4067; Su, Xiaoli/0000-0003-0817-1122; Zhang, Yu/0000-0001-5706-8290</t>
  </si>
  <si>
    <t>National Key R&amp;D Program of China [2018YFC1503503]; National Natural Science Foundation of China [41804014, 41931074, 41974040]; National Key Research &amp; Development Program of China [2017YFA0603103]; Strategic Priority Research Program of the Chinese Academy of Sciences [XDA19070302]</t>
  </si>
  <si>
    <t>National Key R&amp;D Program of China; National Natural Science Foundation of China(National Natural Science Foundation of China (NSFC)); National Key Research &amp; Development Program of China; Strategic Priority Research Program of the Chinese Academy of Sciences(Chinese Academy of Sciences)</t>
  </si>
  <si>
    <t>This research is funded by the National Key R&amp;D Program of China, grant number 2018YFC1503503, and the National Natural Science Foundation of China, grant number 41804014, 41931074, and 41974040. It is also partially supported by National Key Research &amp; Development Program of China (2017YFA0603103) and Strategic Priority Research Program of the Chinese Academy of Sciences (XDA19070302).</t>
  </si>
  <si>
    <t>10.3390/rs12244178</t>
  </si>
  <si>
    <t>PL7RO</t>
  </si>
  <si>
    <t>WOS:000603314300001</t>
  </si>
  <si>
    <t>Wenta, M; Cassano, JJ</t>
  </si>
  <si>
    <t>Wenta, Marta; Cassano, John J.</t>
  </si>
  <si>
    <t>The Atmospheric Boundary Layer and Surface Conditions during Katabatic Wind Events over the Terra Nova Bay Polynya</t>
  </si>
  <si>
    <t>atmospheric boundary layer; sea ice– atmosphere interactions; katabatic winds</t>
  </si>
  <si>
    <t>ROSS SEA; COATS LAND; ANTARCTICA; DYNAMICS; REGIME; CYCLOGENESIS; VARIABILITY; METEOROLOGY; SIMULATION; MODEL</t>
  </si>
  <si>
    <t>Off the coast of Victoria Land, Antarctica an area of open water-the Terra Nova Bay Polynya (TNBP)-persists throughout the austral winter. The development of this coastal polynya is driven by extreme katabatic winds blowing down the slopes of Transantarctic Mountains. The surface-atmosphere coupling and ABL transformation during the katabatic wind events between 18 and 25 September 2012 in Terra Nova Bay are studied, using observations from Aerosonde unmanned aircraft system (UAS), numerical modeling results and Antarctic Weather Station (AWS) measurements. First, we analyze how the persistence and strength of the katabatic winds relate to sea level pressure (SLP) changes in the region throughout the studied period. Secondly, the polynya extent variations are analysed in relation to wind speed changes. We conclude that the intensity of the flow, surface conditions in the bay and regional SLP fluctuations are all interconnected and contribute to polynya development. We also analyse the Antarctic Mesoscale Prediction System (AMPS) forecast for the studied period and find out that incorrect representation of vertical ABL properties over the TNBP might be caused by overestimated sea ice concentrations (SIC) used as model input. Altogether, this research provides a unique description of TNBP development and its interactions with the atmosphere and katabatic winds.</t>
  </si>
  <si>
    <t>[Wenta, Marta] Univ Gdansk, Inst Oceanog, PL-81378 Gdynia, Poland; [Cassano, John J.] Univ Colorado, Natl Snow &amp; Ice Data Ctr, Cooperat Inst Res Environm Sci, Boulder, CO 80303 USA; [Cassano, John J.] Univ Colorado, Dept Atmospher &amp; Ocean Sci, Boulder, CO 80303 USA</t>
  </si>
  <si>
    <t>Fahrenheit Universities; University of Gdansk; University of Colorado System; University of Colorado Boulder; University of Colorado System; University of Colorado Boulder</t>
  </si>
  <si>
    <t>Wenta, M (corresponding author), Univ Gdansk, Inst Oceanog, PL-81378 Gdynia, Poland.</t>
  </si>
  <si>
    <t>marta.wenta@phdstud.ug.edu.pl; john.cassano@colorado.edu</t>
  </si>
  <si>
    <t>Cassano, John/HKW-8817-2023; Wenta, Marta/ABD-5041-2021</t>
  </si>
  <si>
    <t>Wenta, Marta/0000-0001-7264-820X; CASSANO, JOHN/0000-0003-3176-3978</t>
  </si>
  <si>
    <t>Polish National Science Centre [2019/32/T/ST10/00171]</t>
  </si>
  <si>
    <t>Polish National Science Centre</t>
  </si>
  <si>
    <t>This work was funded by the Polish National Science Centre grant No.2019/32/T/ST10/00171 Submesoscale atmospheric boundary layer processes over inhomogenous sea ice.</t>
  </si>
  <si>
    <t>10.3390/rs12244160</t>
  </si>
  <si>
    <t>PL6GU</t>
  </si>
  <si>
    <t>WOS:000603218700001</t>
  </si>
  <si>
    <t>Lee, GLY; Zakaria, NN; Convey, P; Futamata, H; Zulkharnain, A; Suzuki, K; Khalil, KA; Shaharuddin, NA; Alias, SA; Gonzalez-Rocha, G; Ahmad, SA</t>
  </si>
  <si>
    <t>Lee, Gillian Li Yin; Zakaria, Nur Nadhirah; Convey, Peter; Futamata, Hiroyuki; Zulkharnain, Azham; Suzuki, Kenshi; Abdul Khalil, Khalilah; Shaharuddin, Noor Azmi; Alias, Siti Aisyah; Gonzalez-Rocha, Gerardo; Ahmad, Siti Aqlima</t>
  </si>
  <si>
    <t>Statistical Optimisation of Phenol Degradation and Pathway Identification through Whole Genome Sequencing of the Cold-Adapted Antarctic Bacterium, Rhodococcus sp. Strain AQ5-07</t>
  </si>
  <si>
    <t>INTERNATIONAL JOURNAL OF MOLECULAR SCIENCES</t>
  </si>
  <si>
    <t>Antarctica; Rhodococcus; next-generation sequencing; de novo assembly; β -keto-adipate pathway</t>
  </si>
  <si>
    <t>CATECHOL 1,2-DIOXYGENASE; MICROBIAL GENOMES; RAPID ANNOTATION; BIODEGRADATION; PROTEIN; GENES; BIOREMEDIATION; CATABOLISM; OIL; ENHANCEMENT</t>
  </si>
  <si>
    <t>Study of the potential of Antarctic microorganisms for use in bioremediation is of increasing interest due to their adaptations to harsh environmental conditions and their metabolic potential in removing a wide variety of organic pollutants at low temperature. In this study, the psychrotolerant bacterium Rhodococcus sp. strain AQ5-07, originally isolated from soil from King George Island (South Shetland Islands, maritime Antarctic), was found to be capable of utilizing phenol as sole carbon and energy source. The bacterium achieved 92.91% degradation of 0.5 g/L phenol under conditions predicted by response surface methodology (RSM) within 84 h at 14.8 degrees C, pH 7.05, and 0.41 g/L ammonium sulphate. The assembled draft genome sequence (6.75 Mbp) of strain AQ5-07 was obtained through whole genome sequencing (WGS) using the Illumina Hiseq platform. The genome analysis identified a complete gene cluster containing catA, catB, catC, catR, pheR, pheA2, and pheA1. The genome harbours the complete enzyme systems required for phenol and catechol degradation while suggesting phenol degradation occurs via the beta-ketoadipate pathway. Enzymatic assay using cell-free crude extract revealed catechol 1,2-dioxygenase activity while no catechol 2,3-dioxygenase activity was detected, supporting this suggestion. The genomic sequence data provide information on gene candidates responsible for phenol and catechol degradation by indigenous Antarctic bacteria and contribute to knowledge of microbial aromatic metabolism and genetic biodiversity in Antarctica.</t>
  </si>
  <si>
    <t>[Lee, Gillian Li Yin; Zakaria, Nur Nadhirah; Shaharuddin, Noor Azmi; Ahmad, Siti Aqlima] Univ Putra Malaysia, Fac Biotechnol &amp; Biomol Sci, Dept Biochem, Serdang Upm 43400, Selangor, Malaysia; [Convey, Peter] British Antarctic Survey, NERC, Madingley Rd, Cambridge CB3 0ET, England; [Futamata, Hiroyuki] Shizuoka Univ, Grad Sch Sci &amp; Technol, Hamamatsu, Shizuoka 4328561, Japan; [Futamata, Hiroyuki; Suzuki, Kenshi] Shizuoka Univ, Res Inst Green Sci &amp; Technol, Suruga Ku, Shizuoka 4228529, Japan; [Zulkharnain, Azham] Shibaura Inst Technol, Coll Syst Engn &amp; Sci, Dept Biosci &amp; Engn, Minuma Ku, 307 Fukasaku, Saitama 3378570, Japan; [Abdul Khalil, Khalilah] Univ Teknol MARA, Fac Appl Sci, Sch Biol, Shah Alam 40450, Selangor, Malaysia; [Alias, Siti Aisyah; Ahmad, Siti Aqlima] Univ Malaya, Natl Antarctic Res Ctr, B303 Level 3,Block B,IPS Bldg, Kuala Lumpur 50603, Malaysia; [Alias, Siti Aisyah] Univ Malaya, Inst Ocean &amp; Earth Sci, B303 Level 3,Block B, Kuala Lumpur 50603, Malaysia; [Gonzalez-Rocha, Gerardo] Univ Concepcion, Fac Ciencias Biol, Lab Invest Agentes Antibacterianos, Concepcion 4070386, Chile</t>
  </si>
  <si>
    <t>Universiti Putra Malaysia; UK Research &amp; Innovation (UKRI); Natural Environment Research Council (NERC); NERC British Antarctic Survey; Shizuoka University; Shizuoka University; Shibaura Institute of Technology; Universiti Teknologi MARA; Universiti Malaya; Universiti Malaya; Universidad de Concepcion</t>
  </si>
  <si>
    <t>Ahmad, SA (corresponding author), Univ Putra Malaysia, Fac Biotechnol &amp; Biomol Sci, Dept Biochem, Serdang Upm 43400, Selangor, Malaysia.;Ahmad, SA (corresponding author), Univ Malaya, Natl Antarctic Res Ctr, B303 Level 3,Block B,IPS Bldg, Kuala Lumpur 50603, Malaysia.</t>
  </si>
  <si>
    <t>gillian5332@gmail.com; nadhirahairakaz@gmail.com; pcon@bas.ac.uk; futamata.hiroyuki@shizuoka.ac.jp; azham@shibaura-it.ac.jp; suzuki.kenshi.15@shizuoka.ac.jp; khali552@uitm.edu.my; noorazmi@upm.edu.my; saa@um.edu.my; ggonzal@udec.cl; aqlima@upm.edu.my</t>
  </si>
  <si>
    <t>Gonzalez-Rocha, Gerardo/AAP-1793-2021; FASc, SITI AISYAH A. HJ ALIAS/B-9785-2010; Convey, Peter/AAV-5728-2020; Zulkharnain, Azham/AAV-1241-2020; Gonzalez, Gerardo/KHE-5265-2024</t>
  </si>
  <si>
    <t>Gonzalez-Rocha, Gerardo/0000-0003-2351-1236; FASc, SITI AISYAH A. HJ ALIAS/0000-0002-6759-5745; Convey, Peter/0000-0001-8497-9903; Zulkharnain, Azham/0000-0001-9173-8171; Ahmad, Siti Aqlima/0000-0002-7625-3704; Shaharuddin, Noor Azmi/0000-0003-0057-9932</t>
  </si>
  <si>
    <t>Matching Grant PUTRA [UPM-YPASM 9300430]; YPASM Berth Support; PUTRA-IPS [9631800]; PUTRA-Berimpak [9660000]; IIOES-2014G Latitudinal Differences in Response and Adaptation of Microbes to Atmospheric Changes; research grant Higher Institute of Centre of Excellence, Ministry of Higher Education; NERC; NERC [bas0100036] Funding Source: UKRI</t>
  </si>
  <si>
    <t>Matching Grant PUTRA; YPASM Berth Support; PUTRA-IPS; PUTRA-Berimpak; IIOES-2014G Latitudinal Differences in Response and Adaptation of Microbes to Atmospheric Changes; research grant Higher Institute of Centre of Excellence, Ministry of Higher Education; NERC(UK Research &amp; Innovation (UKRI)Natural Environment Research Council (NERC)); NERC(UK Research &amp; Innovation (UKRI)Natural Environment Research Council (NERC))</t>
  </si>
  <si>
    <t>This work was supported by Matching Grant PUTRA (UPM-YPASM 9300430), YPASM Berth Support, PUTRA-IPS (9631800), PUTRA-Berimpak (9660000), IIOES-2014G Latitudinal Differences in Response and Adaptation of Microbes to Atmospheric Changes, research grant Higher Institute of Centre of Excellence, Ministry of Higher Education. P. Convey is supported by NERC core funding to the British Antarctic Survey's Biodiversity, Evolution and Adaptation Team.</t>
  </si>
  <si>
    <t>1422-0067</t>
  </si>
  <si>
    <t>INT J MOL SCI</t>
  </si>
  <si>
    <t>Int. J. Mol. Sci.</t>
  </si>
  <si>
    <t>10.3390/ijms21249363</t>
  </si>
  <si>
    <t>Biochemistry &amp; Molecular Biology; Chemistry, Multidisciplinary</t>
  </si>
  <si>
    <t>Biochemistry &amp; Molecular Biology; Chemistry</t>
  </si>
  <si>
    <t>PL1OG</t>
  </si>
  <si>
    <t>WOS:000602899500001</t>
  </si>
  <si>
    <t>Selbmann, L; Benko, Z; Coleine, C; de Hoog, S; Donati, C; Druzhinina, I; Emri, T; Ettinger, CL; Gladfelter, AS; Gorbushina, AA; Grigoriev, IV; Grube, M; Gunde-Cimerman, N; Karanyi, ZA; Kocsis, B; Kubressoian, T; Miklós, I; Miskei, M; Muggia, L; Northen, T; Novak-Babic, M; Pennacchio, C; Pfliegler, WP; Pòcsi, I; Prigione, V; Riquelme, M; Segata, N; Schumacher, J; Shelest, E; Sterflinger, K; Tesei, D; U'Ren, JM; Varese, GC; Vázquez-Campos, X; Vicente, VA; Souza, EM; Zalar, P; Walker, AK; Stajich, JE</t>
  </si>
  <si>
    <t>Selbmann, Laura; Benko, Zsigmond; Coleine, Claudia; de Hoog, Sybren; Donati, Claudio; Druzhinina, Irina; Emri, Tamas; Ettinger, Cassie L.; Gladfelter, Amy S.; Gorbushina, Anna A.; Grigoriev, Igor V.; Grube, Martin; Gunde-Cimerman, Nina; Karanyi, Zsolt Akos; Kocsis, Beatrix; Kubressoian, Tania; Miklos, Ida; Miskei, Marton; Muggia, Lucia; Northen, Trent; Novak-Babic, Monika; Pennacchio, Christa; Pfliegler, Walter P.; Pocsi, Istvan; Prigione, Valeria; Riquelme, Meritxell; Segata, Nicola; Schumacher, Julia; Shelest, Ekaterina; Sterflinger, Katja; Tesei, Donatella; U'Ren, Jana M.; Varese, Giovanna C.; Vazquez-Campos, Xabier; Vicente, Vania A.; Souza, Emanuel M.; Zalar, Polona; Walker, Allison K.; Stajich, Jason E.</t>
  </si>
  <si>
    <t>Shed Light in the DaRk LineagES of the Fungal Tree of Life-STRES</t>
  </si>
  <si>
    <t>LIFE-BASEL</t>
  </si>
  <si>
    <t>adaptation; black fungi; Dothideomycetes; Eurotiomycetes; extremophiles; genomics; metabolomics; secondary metabolites; stress conditions; transcriptomics</t>
  </si>
  <si>
    <t>CRYPTOENDOLITHIC ANTARCTIC FUNGUS; MICROCOLONIAL FUNGI; CELLULAR-RESPONSES; YEAST; DIVERSITY; RADIATION; SURVIVAL; GLACIER</t>
  </si>
  <si>
    <t>The polyphyletic group of black fungi within the Ascomycota (Arthoniomycetes, Dothideomycetes, and Eurotiomycetes) is ubiquitous in natural and anthropogenic habitats. Partly because of their dark, melanin-based pigmentation, black fungi are resistant to stresses including UV- and ionizing-radiation, heat and desiccation, toxic metals, and organic pollutants. Consequently, they are amongst the most stunning extremophiles and poly-extreme-tolerant organisms on Earth. Even though ca. 60 black fungal genomes have been sequenced to date, [mostly in the family Herpotrichiellaceae (Eurotiomycetes)], the class Dothideomycetes that hosts the largest majority of extremophiles has only been sparsely sampled. By sequencing up to 92 species that will become reference genomes, the Shed light in The daRk lineagES of the fungal tree of life (STRES) project will cover a broad collection of black fungal diversity spread throughout the Fungal Tree of Life. Interestingly, the STRES project will focus on mostly unsampled genera that display different ecologies and life-styles (e.g., ant- and lichen-associated fungi, rock-inhabiting fungi, etc.). With a resequencing strategy of 10- to 15-fold depth coverage of up to similar to 550 strains, numerous new reference genomes will be established. To identify metabolites and functional processes, these new genomic resources will be enriched with metabolomics analyses coupled with transcriptomics experiments on selected species under various stress conditions (salinity, dryness, UV radiation, oligotrophy). The data acquired will serve as a reference and foundation for establishing an encyclopedic database for fungal metagenomics as well as the biology, evolution, and ecology of the fungi in extreme environments.</t>
  </si>
  <si>
    <t>[Selbmann, Laura; Coleine, Claudia] Univ Tuscia, Dept Ecol &amp; Biol Sci, I-01100 Viterbo, Italy; [Selbmann, Laura] Italian Natl Antarctic Museum MNA, Sect Mycol, I-16121 Genoa, Italy; [Benko, Zsigmond; Emri, Tamas; Kocsis, Beatrix; Pfliegler, Walter P.; Pocsi, Istvan] Univ Debrecen, Fac Sci &amp; Technol, Dept Mol Biotechnol &amp; Microbiol, H-4032 Debrecen, Hungary; [de Hoog, Sybren] Radboud Univ Nijmegen, Med Ctr, Canisius Wilhelmina Hosp, Ctr Expertise Mycol, NL-6532 Nijmegen, Netherlands; [Donati, Claudio] Fdn Edmund Mach, I-38010 San Michele All Adige, Italy; [Druzhinina, Irina] Nanjing Agr Univ, Key Lab Plant Immun, Nanjing 210095, Peoples R China; [Ettinger, Cassie L.] Univ Calif Davis, Genome Ctr, Davis, CA 95616 USA; [Ettinger, Cassie L.; Kubressoian, Tania; Stajich, Jason E.] Univ Calif Riverside, Microbiol &amp; Plant Pathol, Riverside, CA 92521 USA; [Gladfelter, Amy S.] Univ N Carolina, Dept Biol, Chapel Hill, NC 27514 USA; [Gorbushina, Anna A.; Schumacher, Julia] Bundesanstalt Mat Forsch &amp; Prufung BAM, Dept Mat &amp; Environm, D-10115 Berlin, Germany; [Gorbushina, Anna A.] Free Univ Berlin, Dept Earth Sci, D-10115 Berlin, Germany; [Gorbushina, Anna A.] Free Univ Berlin, Dept Biol, Chem, Pharm, D-10115 Berlin, Germany; [Grigoriev, Igor V.; Northen, Trent; Pennacchio, Christa] Lawrence Berkeley Natl Lab, US Dept Energy Joint Genome Inst, Berkeley, CA 94720 USA; [Grigoriev, Igor V.] Univ Calif Berkeley, Dept Plant &amp; Microbial Biol, Berkeley, CA 94720 USA; [Grube, Martin] Karl Franzens Univ Graz, Inst Biol, A-8010 Graz, Austria; [Gunde-Cimerman, Nina; Novak-Babic, Monika; Zalar, Polona] Univ Ljubljana, Biotech Fac, Dept Biol, Ljubljana 1000, Slovenia; [Karanyi, Zsolt Akos] Univ Debrecen, Dept Med, Fac Med, H-4032 Debrecen, Hungary; [Miklos, Ida] Univ Debrecen, Inst Biotechnol, Fac Sci &amp; Technol, Dept Genet &amp; Appl Microbiol, H-4032 Debrecen, Hungary; [Miskei, Marton] Univ Debrecen, Dept Biochem &amp; Mol Biol, Fac Med, H-4032 Debrecen, Hungary; [Muggia, Lucia] Univ Trieste, Dept Life Sci, I-34121 Trieste, Italy; [Prigione, Valeria; Varese, Giovanna C.] Univ Turin, Mycotheca Univ Taurinensis, I-10125 Turin, Italy; [Riquelme, Meritxell] Ctr Invest Cient &amp; Educ Super Ensenada CICESE, Dept Microbiol, Ensenada 22980, Baja California, Mexico; [Segata, Nicola] Univ Trento, Dept CIBIO, I-38123 Trento, Italy; [Shelest, Ekaterina] Univ Portsmouth, Ctr Enzyme Innovat, Portsmouth PO1 2UP, Hants, England; [Sterflinger, Katja] Acad Fine Arts Vienna, Inst Nat Sci &amp; Technol Arts, A-22180 Vienna, Austria; [Tesei, Donatella] Univ Nat Resources &amp; Life Sci, Dept Biotechnol, A-22180 Vienna, Austria; [U'Ren, Jana M.] Univ Arizona, Dept Biosyst Engn, Tucson, AZ 85721 USA; [U'Ren, Jana M.] Univ Arizona, Inst BIO5, Tucson, AZ 85721 USA; [Vazquez-Campos, Xabier] Univ New South Wales, Sch Biotechnol &amp; Biomol Sci, Sydney, NSW 2006, Australia; [Vicente, Vania A.; Souza, Emanuel M.] Univ Fed Parana, Dept Biochem, BR-E3100 Curitiba, Parana, Brazil; [Walker, Allison K.] Acadia Univ, Dept Biol, Wolfville, NS B4P 2R6, Canada</t>
  </si>
  <si>
    <t>Tuscia University; University of Debrecen; Canisius-Wilhelmina Hospital; Radboud University Nijmegen; Fondazione Edmund Mach; Nanjing Agricultural University; University of California System; University of California Davis; University of California System; University of California Riverside; University of North Carolina; University of North Carolina Chapel Hill; Federal Institute for Materials Research &amp; Testing; Free University of Berlin; Free University of Berlin; United States Department of Energy (DOE); Lawrence Berkeley National Laboratory; University of California System; University of California Berkeley; University of Graz; University of Ljubljana; University of Debrecen; University of Debrecen; University of Debrecen; University of Trieste; University of Turin; CICESE - Centro de Investigacion Cientifica y de Educacion Superior de Ensenada; University of Trento; University of Portsmouth; BOKU University; University of Arizona; University of Arizona; University of New South Wales Sydney; Universidade Federal do Parana; Acadia University</t>
  </si>
  <si>
    <t>Selbmann, L (corresponding author), Univ Tuscia, Dept Ecol &amp; Biol Sci, I-01100 Viterbo, Italy.;Selbmann, L (corresponding author), Italian Natl Antarctic Museum MNA, Sect Mycol, I-16121 Genoa, Italy.;Stajich, JE (corresponding author), Univ Calif Riverside, Microbiol &amp; Plant Pathol, Riverside, CA 92521 USA.</t>
  </si>
  <si>
    <t>selbmann@unitus.it; benko.zsigmond@science.unideb.hu; coleine@unitus.it; Sybren.deHoog@radboudumc.nl; claudio.donati@fmach.it; irina.s.druzhinina@mail.ru; emri.tamas@science.unideb.hu; clettinger@ucdavis.edu; amyglad@unc.edu; amyglad@unc.edu; ivgrigoriev@lbl.gov; martin.grube@uni-graz.at; nina.gunde-cimerman@bf.uni-lj.si; karanyi.zsolt@med.unideb.hu; kocsis.beatrix@science.unideb.hu; tkurb001@ucr.edu; miklos.ida@science.unideb.hu; miskeim@gmail.com; lmuggia@units.it; trnorthen@lbl.gov; monika.novakbabic@bf.uni-lj.si; Cppennacchio@lbl.gov; pfliegler.valter@science.unideb.hu; pocsi.istvan@science.unideb.hu; valeria.prigione@unito.it; riquelme@cicese.mx; nicola.segata@unitn.it; julia.schumacher@wwu.de; ekaterina.shelest@port.ac.uk; k.sterflinger@akbild.ac.at; donatella.tesei@boku.ac.at; juren@email.arizona.edu; cristina.varese@unito.it; xvazquezc@gmail.com; vaniava63@gmail.com; souzaem@ufpr.br; Polona.Zalar@bf.uni-lj.si; allison.walker@acadiau.ca; jason.stajich@ucr.edu</t>
  </si>
  <si>
    <t>TESEI, Donatella/AAQ-3690-2021; Vázquez-Campos, Xabier/E-4772-2013; Tesei, Donatella/JPL-0013-2023; Druzhinina, Irina S./AAK-7054-2021; Selbmann, Laura/L-3056-2013; Segata, Nicola/K-7240-2016; Donati, Claudio/AAF-1246-2020; Stajich, Jason Eric/C-7297-2008; vicente, vania/AAF-3464-2020; Riquelme, Meritxell/K-8345-2015; Coleine, Claudia/AAE-1889-2020; Schumacher, Julia/B-9142-2019; Northen, Trent R/K-3139-2012; Gunde-Cimerman, Nina/L-5681-2013; Ettinger, Cassandra/I-3073-2019; Polona, Zalar/IUM-9916-2023; U'Ren, Jana M/Y-2113-2019; Pfliegler, Walter P./D-1114-2018; Shelest, Ekaterina/H-3069-2018; Souza, Emanuel/C-1920-2013; MUGGIA, LUCIA/F-7401-2016</t>
  </si>
  <si>
    <t>Vázquez-Campos, Xabier/0000-0003-1134-5058; Tesei, Donatella/0000-0002-3247-066X; Druzhinina, Irina S./0000-0003-2821-5268; Selbmann, Laura/0000-0002-8967-3329; Segata, Nicola/0000-0002-1583-5794; Stajich, Jason Eric/0000-0002-7591-0020; vicente, vania/0000-0002-2953-4861; Riquelme, Meritxell/0000-0002-2580-326X; Coleine, Claudia/0000-0002-9289-6179; Ettinger, Cassandra/0000-0001-7334-403X; U'Ren, Jana M/0000-0001-7608-5029; Gunde-Cimerman, Nina/0000-0002-9464-3263; Miklos, Ida/0000-0002-7074-4019; Walker, Allison/0000-0002-5061-361X; PRIGIONE, Valeria Paola/0000-0002-9312-1420; Pfliegler, Walter P./0000-0001-6723-4416; Novak Babic, Monika/0000-0003-3028-6057; Northen, Trent/0000-0001-8404-3259; Schumacher, Julia/0000-0001-9120-9675; Sterflinger, Katja/0000-0002-0296-6728; Varese, Giovanna Cristina/0000-0002-1455-6208; Donati, Claudio/0000-0001-8688-1651; Grigoriev, Igor/0000-0002-3136-8903; Shelest, Ekaterina/0000-0002-9751-6702; Gorbushina, Anna A./0000-0001-7685-7797; de Hoog, G. Sybren/0000-0002-5344-257X; Souza, Emanuel/0000-0003-1546-9218; MUGGIA, LUCIA/0000-0003-0390-6169</t>
  </si>
  <si>
    <t>O ffice of Science of the U.S. Department of Energy [DE-AC02-05CH11231]</t>
  </si>
  <si>
    <t>O ffice of Science of the U.S. Department of Energy(United States Department of Energy (DOE))</t>
  </si>
  <si>
    <t>The work conducted by the U.S. Department of Energy Joint Genome Institute, a DOE Office of Science User Facility, is supported by the O ffice of Science of the U.S. Department of Energy under Contract No. DE-AC02-05CH11231. J.E.S is a Fellow in the CIFAR program Fungal Kingdom: Threats and Opportunities.</t>
  </si>
  <si>
    <t>2075-1729</t>
  </si>
  <si>
    <t>Life-Basel</t>
  </si>
  <si>
    <t>10.3390/life10120362</t>
  </si>
  <si>
    <t>Biology; Microbiology</t>
  </si>
  <si>
    <t>Life Sciences &amp; Biomedicine - Other Topics; Microbiology</t>
  </si>
  <si>
    <t>PK8XV</t>
  </si>
  <si>
    <t>WOS:000602721400001</t>
  </si>
  <si>
    <t>Giordano, D</t>
  </si>
  <si>
    <t>Giordano, Daniela</t>
  </si>
  <si>
    <t>Bioactive Molecules from Extreme Environments</t>
  </si>
  <si>
    <t>MARINE DRUGS</t>
  </si>
  <si>
    <t>Arctic/Antarctic; deep-sea; deep hypersaline anoxic basin; cold-adapted bacteria; halophilic microorganisms; marine natural product; enzyme; carotenoid; silver nanoparticle; marine bioprospecting</t>
  </si>
  <si>
    <t>Marine organisms inhabiting extreme habitats are a promising reservoir of bioactive compounds for drug discovery. Extreme environments, i.e., polar and hot regions, deep sea, hydrothermal vents, marine areas of high pressure or high salinity, experience conditions close to the limit of life. In these marine ecosystems, hot spots of biodiversity, organisms have adopted a huge variety of strategies to cope with such harsh conditions, such as the production of bioactive molecules potentially valuable for biotechnological applications and for pharmaceutical, nutraceutical and cosmeceutical sectors. Many enzymes isolated from extreme environments may be of great interest in the detergent, textile, paper and food industries. Marine natural products produced by organisms evolved under hostile conditions exhibit a wide structural diversity and biological activities. In fact, they exert antimicrobial, anticancer, antioxidant and anti-inflammatory activities. The aim of this Special Issue Bioactive Molecules from Extreme Environments was to provide the most recent findings on bioactive molecules as well as enzymes isolated from extreme environments, to be used in biotechnological discovery pipelines and pharmaceutical applications, in an effort to encourage further research in these extreme habitats.</t>
  </si>
  <si>
    <t>[Giordano, Daniela] CNR, Inst Biosci &amp; BioResources IBBR, Via Pietro Castellino 111, I-80131 Naples, Italy; [Giordano, Daniela] Stn Zool Anton Dohrn SZN, Dept Marine Biotechnol, I-80121 Naples, Italy</t>
  </si>
  <si>
    <t>Consiglio Nazionale delle Ricerche (CNR); Istituto di Bioscienze e Biorisorse (IBBR-CNR); Stazione Zoologica Anton Dohrn di Napoli</t>
  </si>
  <si>
    <t>Giordano, D (corresponding author), CNR, Inst Biosci &amp; BioResources IBBR, Via Pietro Castellino 111, I-80131 Naples, Italy.;Giordano, D (corresponding author), Stn Zool Anton Dohrn SZN, Dept Marine Biotechnol, I-80121 Naples, Italy.</t>
  </si>
  <si>
    <t>daniela.giordano@ibbr.cnr.it</t>
  </si>
  <si>
    <t>Giordano, Daniela/AFK-7772-2022</t>
  </si>
  <si>
    <t>Giordano, Daniela/0000-0002-8891-6245</t>
  </si>
  <si>
    <t>1660-3397</t>
  </si>
  <si>
    <t>MAR DRUGS</t>
  </si>
  <si>
    <t>Mar. Drugs</t>
  </si>
  <si>
    <t>10.3390/md18120640</t>
  </si>
  <si>
    <t>Chemistry, Medicinal; Pharmacology &amp; Pharmacy</t>
  </si>
  <si>
    <t>Pharmacology &amp; Pharmacy</t>
  </si>
  <si>
    <t>PJ9FX</t>
  </si>
  <si>
    <t>WOS:000602064900001</t>
  </si>
  <si>
    <t>van der Wurff, ISM; von Schacky, C; Bergeland, T; Leontjevas, R; Zeegers, MP; Kirschner, PA; de Groot, RHM</t>
  </si>
  <si>
    <t>van der Wurff, I. S. M.; von Schacky, C.; Bergeland, T.; Leontjevas, R.; Zeegers, M. P.; Kirschner, P. A.; de Groot, R. H. M.</t>
  </si>
  <si>
    <t>Effect of one year krill oil supplementation on depressive symptoms and self-esteem of Dutch adolescents: A randomized controlled trial</t>
  </si>
  <si>
    <t>PROSTAGLANDINS LEUKOTRIENES AND ESSENTIAL FATTY ACIDS</t>
  </si>
  <si>
    <t>Adolescents; Depression; Long-chain polyunsaturated fatty acid; Self-esteem; Omega-3 Index</t>
  </si>
  <si>
    <t>POLYUNSATURATED FATTY-ACIDS; OMEGA-3 INDEX; RISK-FACTOR; SUBTHRESHOLD DEPRESSION; DOCOSAHEXAENOIC ACID; MENTAL-HEALTH; DOUBLE-BLIND; MOOD; METAANALYSIS; CHILDHOOD</t>
  </si>
  <si>
    <t>Introduction: Observational studies have shown a relationship between omega-3 long-chain polyunsaturated fatty acids (n-3 LCPUFA) and depression in adolescents. However, n-3 LCPUFA supplementation studies investigating the potential improvement in depressive feelings in adolescents from the general population are missing. Methods: A one-year double-blind, randomized, placebo controlled krill oil supplementation trial was conducted in two cohorts. Cohort I started with 400 mg eicosapentaenoic acid (EPA) and docosahexaenoic acid (DHA) or placebo, after three months this increased to 800 mg EPA and DHA per day, whilst cohort II started with this higher dose. Omega-3 Index (O3I) was monitored via finger-prick blood measurements. At baseline, six and 12 months participants completed the Centre for Epidemiologic Studies Depression Scale (CES-D) and the Rosenberg Self Esteem questionnaire (RSE). Adjusted mixed models were run with treatment allocation/O3I as predictor of CES-D and RSE scores. Results: Both intention-to-treat and assessing the change in O3I analyses did not show significant effects on CES-D or RSE scores. Conclusion: There is no evidence for less depressive feelings, or higher self-esteem after one year of krill oil supplementation. However, due to a lack of adherence and drop-out issues, these results should be interpreted with caution.</t>
  </si>
  <si>
    <t>[van der Wurff, I. S. M.; Kirschner, P. A.; de Groot, R. H. M.] Open Univ Netherlands, Fac Educ Sci, NL-6419 AT Heerlen, Netherlands; [von Schacky, C.] Omegametrix, D-82152 Martinsried, Germany; [von Schacky, C.] Ludwig Maximilians Univ Munchen, Med Clin &amp; Poli Clin 1, Prevent Cardiol, D-80336 Munich, Germany; [Bergeland, T.] Aker BioMarine Antarctic AS, NO-1327 Lysaker, Norway; [Leontjevas, R.] Open Univ Netherlands, Fac Psychol, NL-6419 AT Heerlen, Netherlands; [Zeegers, M. P.; de Groot, R. H. M.] Maastricht Univ, Nutr &amp; Translat Res Metab, Sch NUTRIM, NL-6200 MD Maastricht, Netherlands; [Zeegers, M. P.] Maastricht Univ, Care &amp; Publ Hlth Res Inst, Sch CAPHRI, NL-6200 MD Maastricht, Netherlands; [Kirschner, P. A.] Thomas More Univ Appl Sci, Expertise Ctr Effect Learning, Mechelen, Belgium; [Kirschner, P. A.] Univ Oulu, Oulu, Finland</t>
  </si>
  <si>
    <t>Open University Netherlands; University of Munich; Open University Netherlands; Maastricht University; Maastricht University; Maastricht University Medical Centre (MUMC); University of Oulu</t>
  </si>
  <si>
    <t>van der Wurff, ISM (corresponding author), Open Univ Netherlands, Fac Educ Sci, NL-6419 AT Heerlen, Netherlands.</t>
  </si>
  <si>
    <t>inge.vanderwurff@ou.nl</t>
  </si>
  <si>
    <t>Kirschner, Paul/KBC-4463-2024</t>
  </si>
  <si>
    <t>Dutch Scientific Organisation [057-13-002]; Aker Biomarine (Norway); Omegametrix (Germany)</t>
  </si>
  <si>
    <t>Dutch Scientific Organisation(Netherlands Organization for Scientific Research (NWO)); Aker Biomarine (Norway); Omegametrix (Germany)</t>
  </si>
  <si>
    <t>The study is funded by the grant Food, Cognition and Behaviour from the Dutch Scientific Organisation (grant number 057-13-002), Aker Biomarine (Norway) who provided the krill and placebo capsules, and Omegametrix (Germany) who was responsible for the blood analyses.</t>
  </si>
  <si>
    <t>0952-3278</t>
  </si>
  <si>
    <t>1532-2823</t>
  </si>
  <si>
    <t>PROSTAG LEUKOTR ESS</t>
  </si>
  <si>
    <t>Prostaglandins Leukot. Essent. Fatty Acids</t>
  </si>
  <si>
    <t>10.1016/j.plefa.2020.102208</t>
  </si>
  <si>
    <t>Biochemistry &amp; Molecular Biology; Cell Biology; Endocrinology &amp; Metabolism</t>
  </si>
  <si>
    <t>PE6TY</t>
  </si>
  <si>
    <t>WOS:000598497900008</t>
  </si>
  <si>
    <t>Shi, Y; Shulga, V; Ivaniha, O; Wang, YK; Evtushevsky, O; Milinevsky, G; Klekociuk, A; Patoka, A; Han, W; Shulga, D</t>
  </si>
  <si>
    <t>Shi, Yu; Shulga, Valerii; Ivaniha, Oksana; Wang, Yuke; Evtushevsky, Oleksandr; Milinevsky, Gennadi; Klekociuk, Andrew; Patoka, Aleksey; Han, Wei; Shulga, Dmitry</t>
  </si>
  <si>
    <t>Comparison of Major Sudden Stratospheric Warming Impacts on the Mid-Latitude Mesosphere Based on Local Microwave Radiometer CO Observations in 2018 and 2019</t>
  </si>
  <si>
    <t>polar vortex; mesosphere; stratosphere; major sudden stratospheric warming; microwave radiometer; carbon monoxide</t>
  </si>
  <si>
    <t>NORTHERN-HEMISPHERE; CARBON-MONOXIDE; CLIMATOLOGY; VARIABILITY; EVENTS; WINTER; THERMOSPHERE; STRATOPAUSE; TROPOSPHERE; RETRIEVAL</t>
  </si>
  <si>
    <t>In this paper, a comparison of the impact of major sudden stratospheric warmings (SSWs) in the Arctic in February 2018 (SSW1) and January 2019 (SSW2) on the mid-latitude mesosphere is given. The mesospheric carbon monoxide (CO) and zonal wind in these two major SSW events were observed at altitudes of 70-85 km using a microwave radiometer (MWR) at Kharkiv, Ukraine (50.0 degrees N, 36.3 degrees E). Data from ERA-Interim and MERRA-2 reanalyses and Aura Microwave Limb Sounder measurements were also used. It is shown that: (i) The differences between SSW1 and SSW2, in terms of local variability in zonal wind, temperature, and CO in the stratosphere and mesosphere, were clearly defined by the polar vortex (westerly in cyclonic circulation) and mid-latitude anticyclone (easterly) migrating over the MWR station, therefore; (ii) mesospheric intrusions of CO-rich air into the stratosphere over the Kharkiv region occurred only occasionally, (iii) the larger zonal wave 1-3 amplitudes before SSW1 were followed by weaker polar vortex recovery than that after SSW2, (iv) the strong vortex recovery after SSW2 was supported by earlier event timing (midwinter) favoring vortex cooling due to low solar irradiance and enhanced zonal circulation, and (v) vortex strengthening after SSW2 was accompanied by wave 1-3 amplification in March 2019, which was absent after SSW1. Finally, the influence of the large-scale circulation structures formed in individual major SSW events on the locally recorded characteristics of the atmosphere is discussed.</t>
  </si>
  <si>
    <t>[Shi, Yu; Shulga, Valerii; Wang, Yuke; Milinevsky, Gennadi; Han, Wei] Jilin Univ, Coll Phys, Int Ctr Future Sci, Changchun 130012, Peoples R China; [Shulga, Valerii; Patoka, Aleksey; Shulga, Dmitry] Natl Acad Sci Ukraine, Inst Radio Astron, Dept Millimeter Radio Astron, UA-61002 Kharkiv, Ukraine; [Ivaniha, Oksana; Evtushevsky, Oleksandr; Milinevsky, Gennadi] Taras Shevchenko Natl Univ Kyiv, Phys Fac, UA-01601 Kiev, Ukraine; [Milinevsky, Gennadi] Natl Antarctic Sci Ctr, Dept Atmosphere Phys &amp; Geospace, UA-01601 Kiev, Ukraine; [Klekociuk, Andrew] Australian Antarctic Div, Antarctic Climate Program, Kingston, Tas 7050, Australia; [Klekociuk, Andrew] Univ Adelaide, Dept Phys, Adelaide, SA 5005, Australia</t>
  </si>
  <si>
    <t>Jilin University; National Academy of Sciences Ukraine; Institute of Radio Astronomy of the National Academy of Sciences of Ukraine; Ministry of Education &amp; Science of Ukraine; Taras Shevchenko National University of Kyiv; Ministry of Education &amp; Science of Ukraine; State Institution National Antarctic Scientific Center; Australian Antarctic Division; University of Adelaide</t>
  </si>
  <si>
    <t>Milinevsky, G (corresponding author), Jilin Univ, Coll Phys, Int Ctr Future Sci, Changchun 130012, Peoples R China.;Milinevsky, G (corresponding author), Taras Shevchenko Natl Univ Kyiv, Phys Fac, UA-01601 Kiev, Ukraine.;Milinevsky, G (corresponding author), Natl Antarctic Sci Ctr, Dept Atmosphere Phys &amp; Geospace, UA-01601 Kiev, Ukraine.</t>
  </si>
  <si>
    <t>shiyu18@mails.jlu.edu.cn; shulga@rian.kharkov.ua; OksanaIvaniha@univ.net.ua; wangyk16@mails.jlu.edu.cn; evtush@univ.kiev.ua; gmilin@univ.kiev.ua; Andrew.Klekociuk@awe.gov.au; alekseypatoka@rian.kharkov.ua; whan@jlu.edu.cn; dshulga@rian.kharkov.ua</t>
  </si>
  <si>
    <t>Evtushevsky, Oleksandr O.M./F-2065-2017; Milinevsky, Gennadi/AAD-8801-2019; Han, Wei/N-7151-2018; Klekociuk, Andrew/A-4498-2015</t>
  </si>
  <si>
    <t>Evtushevsky, Oleksandr O.M./0000-0003-0582-559X; Milinevsky, Gennadi/0000-0002-2342-2615; Han, Wei/0000-0002-4830-3487; Shulga, Valery/0000-0001-6529-5610; Klekociuk, Andrew/0000-0003-3335-0034; Ivaniha, Oksana/0000-0003-2897-2736; Shi, Yu/0000-0001-6972-2122</t>
  </si>
  <si>
    <t>College of Physics, International Center of Future Science, Jilin University, China; Institute of Radio Astronomy of the National Academy of Sciences of Ukraine; Australian Antarctic Program [4012]; Taras Shevchenko National University of Kyiv [19BF051-08, 20BF051-02]</t>
  </si>
  <si>
    <t>College of Physics, International Center of Future Science, Jilin University, China; Institute of Radio Astronomy of the National Academy of Sciences of Ukraine; Australian Antarctic Program; Taras Shevchenko National University of Kyiv</t>
  </si>
  <si>
    <t>The work was supported in-kind by the College of Physics, International Center of Future Science, Jilin University, China; the Institute of Radio Astronomy of the National Academy of Sciences of Ukraine. The work contributes to project Sphere of the Institute of Radio Astronomy of the National Academy of Sciences of Ukraine, project 4012 of the Australian Antarctic Program and to projects 19BF051-08 and 20BF051-02 of the Taras Shevchenko National University of Kyiv. The microwave radiometer data were processed using the ARTS and Qpack software packages (http://www.radiativetransfer.org/).The Aura Microwave Limb Sounder (MLS) measurements of air temperature and CO were obtained from https://mls.jpl.nasa.gov/data/readers.php.Zonal waves were analyzed using the MERRA-2 data at https://acd-ext.gsfc.nasa.gov/Data_services/met/ann_data.html site fromthe National Aeronautics and Space Administration Goddard Space Flight Center, Atmospheric Chemistry and Dynamics Laboratory (NASA GFC ACDL). Daily data sets were downloaded from ERA-Interim reanalysis of ECMWF at https://www.ecmwf.int/en/forecasts/datasets/archive-datasets/reanalysis-datasets/era-interim.</t>
  </si>
  <si>
    <t>10.3390/rs12233950</t>
  </si>
  <si>
    <t>PD2LS</t>
  </si>
  <si>
    <t>WOS:000597523500001</t>
  </si>
  <si>
    <t>Rivaro, P; Ardini, F; Vivado, D; Cabella, R; Castagno, P; Mangoni, O; Falco, P</t>
  </si>
  <si>
    <t>Rivaro, Paola; Ardini, Francisco; Vivado, Davide; Cabella, Roberto; Castagno, Pasquale; Mangoni, Olga; Falco, Pierpaolo</t>
  </si>
  <si>
    <t>Potential Sources of Particulate Iron in Surface and Deep Waters of the Terra Nova Bay (Ross Sea, Antarctica)</t>
  </si>
  <si>
    <t>iron; suspended particulate matter; antarctica; ross sea</t>
  </si>
  <si>
    <t>TRACE-METALS; ICE; VARIABILITY; SUMMER; MANGANESE; BEHAVIOR; POLYNYA; COPPER</t>
  </si>
  <si>
    <t>The distribution of particulate Fe (pFe), suspended particulate matter (SPM), and other particulate trace metals were investigated in Terra Nova Bay as part of CDW Effects on glaciaL mElting and on Bulk of Fe in the Western Ross sea (CELEBeR) and Plankton biodiversity and functioning of the Ross Sea ecosystems in a changing Southern Ocean (P-ROSE) projects. Variable concentrations of SPM (0.09-97 mg L-1), pFe (0.51-8.70 nM) and other trace metals were found in the Antarctic Surface waters (AASW) layer, where the addition of meltwater contributed to the pool with both lithogenic and biogenic forms. The deeper layer of the water column was occupied by High Salinity Shelf Water (HSSW) and Terra Nova Bay Ice Shelf Water (TISW) encompassing glacial water as confirmed by the lightest delta O-18 measured values. The concentration of pFe in TISW (11.7 +/- 9.2 nM) was higher than in HSSW samples (5.55 +/- 4.43 nM), suggesting that the drainage of material released from glaciers surrounding the area is relevant in terms of pFe contribution. Particulate Fe/Al and Mn/Al ratios were substantially in excess compared with the mean crustal ratios. Microscopic analyses confirmed that more labile Fe oxyhydroxides and authigenic MnO2 phases were present together with biogenic sinking material. Future expected increasing melt rates of these glaciers enlarge Fe input, thus having a greater role in supplying iron and counteracting the reductions in sea ice cover around Terra Nova Bay.</t>
  </si>
  <si>
    <t>[Rivaro, Paola; Ardini, Francisco; Vivado, Davide] Univ Genoa, Dept Chem &amp; Ind Chem, I-16146 Genoa, Italy; [Cabella, Roberto] Univ Genoa, Dept Earth Environm &amp; Life Sci, I-16132 Genoa, Italy; [Castagno, Pasquale] Parthenope Univ Naples, Dept Sci &amp; Technol, Ctr Direz, Isola C4, I-80143 Naples, Italy; [Mangoni, Olga] Univ Napoli Federico II, Dept Biol, Complesso Univ Monte St Angelo, I-80134 Naples, Italy; [Falco, Pierpaolo] Univ Politecn Marche, Dept Life &amp; Environm Sci, I-60131 Ancona, Italy</t>
  </si>
  <si>
    <t>University of Genoa; University of Genoa; Parthenope University Naples; University of Naples Federico II; Marche Polytechnic University</t>
  </si>
  <si>
    <t>Rivaro, P (corresponding author), Univ Genoa, Dept Chem &amp; Ind Chem, I-16146 Genoa, Italy.</t>
  </si>
  <si>
    <t>paola.rivaro@unige.it; ardini@chimica.unige.it; davide.vivado@edu.unige.it; roberto.cabella@unige.it; pasquale.castagno@gmail.com; olga.mangoni@unina.it; pierpaolo.falco@staff.unipvm.it</t>
  </si>
  <si>
    <t>Castagno, Pasquale/HCI-3939-2022; Castagno, Pasquale/JAC-6923-2023</t>
  </si>
  <si>
    <t>MANGONI, Olga/0000-0001-7789-0820; Castagno, Pasquale/0000-0002-5705-1066</t>
  </si>
  <si>
    <t>Italian Programma Nazionale di Ricerche in Antartide (PNRA) [PNRA_16_00207]</t>
  </si>
  <si>
    <t>Italian Programma Nazionale di Ricerche in Antartide (PNRA)</t>
  </si>
  <si>
    <t>This research was funded by the Italian Programma Nazionale di Ricerche in Antartide (PNRA), grant number PNRA_16_00207.</t>
  </si>
  <si>
    <t>10.3390/w12123517</t>
  </si>
  <si>
    <t>PL0SK</t>
  </si>
  <si>
    <t>WOS:000602842600001</t>
  </si>
  <si>
    <t>Sotille, ME; Bremer, UF; Vieira, G; Velho, LF; Petsch, C; Simoes, JC</t>
  </si>
  <si>
    <t>Sotille, Maria E.; Bremer, Ulisses F.; Vieira, Goncalo; Velho, Luiz F.; Petsch, Carina; Simoes, Jefferson C.</t>
  </si>
  <si>
    <t>Evaluation of UAV and satellite-derived NDVI to map maritime Antarctic vegetation</t>
  </si>
  <si>
    <t>APPLIED GEOGRAPHY</t>
  </si>
  <si>
    <t>Vegetation mapping; NDVI; Antarctica; UAV; Landsat; Sentinel-2; Remote sensing</t>
  </si>
  <si>
    <t>PENINSULA; DIVERSITY; RED</t>
  </si>
  <si>
    <t>Expansion of Antarctic vegetation in ice-free areas underlines the need for effective remote sensing techniques to properly monitor the changes. Detection and mapping of vegetation remains limited in the Antarctic environment given the complexity of its surface coverage. Some cryptogamic species exhibit low reflectance in the near infrared region and are not easily detected by vegetation indices, such as the normalized difference vegetation index (NDVI). In addition, spectral reflectance of Antarctic vegetation is highly variable according to seasonal conditions, which may influence NDVI results. As ultra-high resolution aerial imagery allows for a detailed analysis of vegetation and enables the validation of satellite imagery, in this study we assess the ability of the NDVI from unmanned aerial vehicle (UAV), Sentinel-2, and Landsat 8 to identify vegetated areas in the ice-free environment of Hope Bay, Antarctic Peninsula. NDVI classification with class ranges set by statistical parameters (i.e., mean and standard deviation) is performed. The results show that different sensors provide different NDVI values for the same vegetation class. NDVI classification enabled the identification of areas showing vegetation cover, which are in accordance with the manually mapped areas in the UAV image. Correspondence in vegetation distribution and classes can be observed across all classifications, demonstrating that aerial and satellite imagery may be used for Antarctic vegetation monitoring. A close association between NDVI classes and Antarctic vegetation type is identified, where lichens are generally classified in lower probability classes, and algae and moss in higher probability classes. This article shows the potential of NDVI applied to Antarctic vegetation and the significance of data statistical parameters in the selection of thresholds, reducing the need for ground-truth information in remote areas.</t>
  </si>
  <si>
    <t>[Sotille, Maria E.] Univ Fed Rio Grande do Sul, Programa Posgrad Sensoriamento Remoto, BR-91501970 Porto Alegre, RS, Brazil; [Sotille, Maria E.; Bremer, Ulisses F.; Velho, Luiz F.; Petsch, Carina; Simoes, Jefferson C.] Univ Fed Rio Grande do Sul, Ctr Polar &amp; Climat, Inst Geociencias, BR-91501970 Porto Alegre, RS, Brazil; [Bremer, Ulisses F.] Univ Fed Rio Grande do Sul, Dept Geog, Inst Geociencias, BR-91501970 Porto Alegre, RS, Brazil; [Vieira, Goncalo] Univ Lisbon, Ctr Estudos Geog, Inst Geog &amp; Ordenamento Terr, P-1600276 Lisbon, Portugal; [Velho, Luiz F.] Inst Fed Educ Ciencia &amp; Tecnol Rio Grande Sul, Campus Porto Alegre, BR-90030040 Porto Alegre, RS, Brazil; [Petsch, Carina] Univ Fed Santa Maria, Dept Geociencias, BR-97105900 Santa Maria, RS, Brazil</t>
  </si>
  <si>
    <t>Universidade Federal do Rio Grande do Sul; Universidade Federal do Rio Grande do Sul; Universidade Federal do Rio Grande do Sul; Universidade de Lisboa; Instituto Federal do Rio Grande do Sul (IFRS); Universidade Federal de Santa Maria (UFSM)</t>
  </si>
  <si>
    <t>Sotille, ME (corresponding author), Inst Geociencias UFRGS, Ctr Polar &amp; Climat, Av Bento Goncalves 9500, BR-91501970 Porto Alegre, RS, Brazil.</t>
  </si>
  <si>
    <t>maria.sotille@ufrgs.br</t>
  </si>
  <si>
    <t>Velho, Luiz Felipe/KHV-6096-2024; Bremer, Ulisses F/D-3308-2013; Vieira, Goncalo/G-5958-2010; Bremer, Ulisses Franz/AAT-8733-2021; Simoes, Jefferson Cardia/D-7232-2013</t>
  </si>
  <si>
    <t>Vieira, Goncalo/0000-0001-7611-3464; Bremer, Ulisses Franz/0000-0003-0519-5807; Simoes, Jefferson Cardia/0000-0001-5555-3401; Petsch, Carina/0000-0002-1079-0080</t>
  </si>
  <si>
    <t>Brazilian National Council for Scientific and Technological Development - CNPq [421743/2017-4, 465680/2014-3]; Coordenacao de Aperfeicoamento de Pessoal de Nivel Superior - Brasil (CAPES) [001]</t>
  </si>
  <si>
    <t>Brazilian National Council for Scientific and Technological Development - CNPq(Conselho Nacional de Desenvolvimento Cientifico e Tecnologico (CNPQ)); Coordenacao de Aperfeicoamento de Pessoal de Nivel Superior - Brasil (CAPES)(Coordenacao de Aperfeicoamento de Pessoal de Nivel Superior (CAPES))</t>
  </si>
  <si>
    <t>The research presented in this paper was supported by the Brazilian National Council for Scientific and Technological Development - CNPq [Grant 421743/2017-4] and (Process 465680/2014-3 - INCT Criosfera), and in part by the Coordenacao de Aperfeicoamento de Pessoal de Nivel Superior - Brasil (CAPES) - Finance Code 001.</t>
  </si>
  <si>
    <t>0143-6228</t>
  </si>
  <si>
    <t>1873-7730</t>
  </si>
  <si>
    <t>APPL GEOGR</t>
  </si>
  <si>
    <t>Appl. Geogr.</t>
  </si>
  <si>
    <t>10.1016/j.apgeog.102322</t>
  </si>
  <si>
    <t>PK3AE</t>
  </si>
  <si>
    <t>WOS:000602321600005</t>
  </si>
  <si>
    <t>Carrasco, JE; Cordero, RR</t>
  </si>
  <si>
    <t>Carrasco, Jorge E.; Cordero, Raul R.</t>
  </si>
  <si>
    <t>Analyzing Precipitation Changes in the Northern Tip of the Antarctic Peninsula during the 1970-2019 Period</t>
  </si>
  <si>
    <t>Antarctic Peninsula; precipitation; snow event; rain event; exponential filter</t>
  </si>
  <si>
    <t>TEMPERATURE; CLIMATE; CIRCULATION; TRENDS; MODEL; ENSO</t>
  </si>
  <si>
    <t>Five decades of precipitation data are available from the Chilean Antarctic weather stations located in the northern tip of the Antarctic Peninsula. Data include daily accumulation and type of precipitation registered at the time of the observation at the Meteorological Antarctic Center located at Base Eduardo Frei Montalva, King George Island. This information allowed us to analyze not only the precipitation accumulation changes (always questionable in cold and windy regions) but also changes in precipitation days and precipitation phases (rain versus snow). The expo nential filter was applied to the monthly data to obtain decadal-like changes. The analysis revealed an overall increase in precipitation from 1970 to the early-1990s 60 +/- 7 mm (10 year)(-1) (p &lt; 0.05) and 31 +/- 4 mm (10 year)(-1) (p &lt; 0.05) and a negative trend between 1991 and 1999 with decreasing precipitation of -95 +/- 9 mm (10 year)(-1) (p &lt; 0.05). On the other hand, while an increase in precipitation events also took place from 1970 to the early-1990s, there was a decreasing trend in precipitation events during the 2010s. This implies that the positive trend in precipitation accumulation registered during this period is due to the increasing extreme precipitation events. The precipitation type analysis shows an increase (decrease) in snow (rain) events from around the mid-1990s to mid-2010s during the summer season. These opposite trends were related to the summer cooling affecting the AP region.</t>
  </si>
  <si>
    <t>[Carrasco, Jorge E.] Univ Magallanes, Ctr Invest Gaia Antart, Punta Arenas 6200000, Chile; [Cordero, Raul R.] Univ Santiago, Dept Phys, Estn Cent 9160000, Chile</t>
  </si>
  <si>
    <t>Carrasco, JE (corresponding author), Univ Magallanes, Ctr Invest Gaia Antart, Punta Arenas 6200000, Chile.</t>
  </si>
  <si>
    <t>jorge.carrasco@umag.cl; raul.cordero@usach.cl</t>
  </si>
  <si>
    <t>Carrasco, Jorge/ACG-6766-2022; Carrasco, Jorge/AAC-4799-2021</t>
  </si>
  <si>
    <t>Carrasco, Jorge/0000-0003-2154-5483; Carrasco, Jorge/0000-0003-2154-5483; Cordero, Raul R./0000-0001-7607-7993</t>
  </si>
  <si>
    <t>Agencia Nacional de Investigacion y Desarrollo (ANID) through the Project Fondecyt [1191932]</t>
  </si>
  <si>
    <t>Agencia Nacional de Investigacion y Desarrollo (ANID) through the Project Fondecyt</t>
  </si>
  <si>
    <t>This research was funded by the Agencia Nacional de Investigacion y Desarrollo (ANID) through the Project Fondecyt 1191932.</t>
  </si>
  <si>
    <t>10.3390/atmos11121270</t>
  </si>
  <si>
    <t>PJ4JD</t>
  </si>
  <si>
    <t>WOS:000601735300001</t>
  </si>
  <si>
    <t>Ramos, M; Vieira, G; de Pablo, MA; Molina, A; Jimenez, JJ</t>
  </si>
  <si>
    <t>Ramos, Miguel; Vieira, Goncalo; Angel de Pablo, Miguel; Molina, Antonio; Javier Jimenez, Juan</t>
  </si>
  <si>
    <t>Transition from a Subaerial to a Subnival Permafrost Temperature Regime Following Increased Snow Cover (Livingston Island, Maritime Antarctic)</t>
  </si>
  <si>
    <t>permafrost; active layer; snow thickness; enthalpy</t>
  </si>
  <si>
    <t>SOUTH SHETLAND ISLANDS; BYERS PENINSULA; THERMAL STATE; EVOLUTION; BALANCE; LAKE</t>
  </si>
  <si>
    <t>The Antarctic Peninsula (AP) region has been one of the regions on Earth with strongest warming since 1950. However, the northwest of the AP showed a cooling from 2000 to 2015, which had local consequences with an increase in snow accumulation and a deceleration in the loss of mass from glaciers. In this paper, we studied the effects of increased snow accumulation in the permafrost thermal regime in two boreholes (PG1 and PG2) in Livingston Island, South Shetlands Archipelago, from 2009 to 2015. The two boreholes located c. 300 m apart but at similar elevation showed different snow accumulation, with PG2 becoming completely covered with snow all year long, while the other remained mostly snow free during the summer. The analysis of the thermal regimes and of the estimated soil surface energy exchange during the study period showed the effects of snow insulation in reducing the active layer thickness. These effects were especially relevant in PG2, which transitioned from a subaerial to a subnival regime. There, permafrost aggraded from below, with the active layer completely disappearing and the efficiency of thermal insulation by the snowpack prevailing in the thermal regime. This situation may be used as an analogue for the transition from a periglacial to a subglacial environment in longer periods of cooling in the paleoenvironmental record.</t>
  </si>
  <si>
    <t>[Ramos, Miguel; Javier Jimenez, Juan] Univ Alcala, Dept Phys &amp; Math, Alcala De Henares 28805, Spain; [Ramos, Miguel; Vieira, Goncalo; Javier Jimenez, Juan] Univ Lisbon, Ctr Geog Studies, IGOT, P-1600276 Lisbon, Portugal; [Angel de Pablo, Miguel] Univ Alcala, Dept Geol Geog &amp; Environm, Alcala De Henares 28805, Spain; [Molina, Antonio] Natl Inst Aerosp Technol, Ctr Astrobiol CAB, Torrejon De Ardoz 28850, Spain</t>
  </si>
  <si>
    <t>Universidad de Alcala; Universidade de Lisboa; Universidad de Alcala; Consejo Superior de Investigaciones Cientificas (CSIC); CSIC - Centro de Astrobiologia (INTA)</t>
  </si>
  <si>
    <t>Ramos, M (corresponding author), Univ Alcala, Dept Phys &amp; Math, Alcala De Henares 28805, Spain.;Ramos, M (corresponding author), Univ Lisbon, Ctr Geog Studies, IGOT, P-1600276 Lisbon, Portugal.</t>
  </si>
  <si>
    <t>miguel.ramos@uah.es; vieira@edu.ulisboa.pt; miguelangel.depablo@uah.es; amolina@cab.inta-csic.es; JJAVIERJIMENEZ@telefonica.net</t>
  </si>
  <si>
    <t>Molina, Antonio/AAE-1314-2020; Vieira, Goncalo/G-5958-2010; Ramos, Miguel/K-2230-2014; De Pablo, Miguel Ángel/J-6442-2014</t>
  </si>
  <si>
    <t>Molina, Antonio/0000-0002-5038-2022; Vieira, Goncalo/0000-0001-7611-3464; Ramos, Miguel/0000-0003-3648-6818; De Pablo, Miguel Ángel/0000-0002-4496-2741; Jimenez Cuenca, Juan Javier/0000-0001-7677-8140</t>
  </si>
  <si>
    <t>Ministry of Economy of the Government of Spain by the Polar Research Program (PERMAMODEL) [POL2006-01918]; Ministry of Economy of the Government of Spain by the Polar Research Program (PERMAPLANET) [CTM2009-10165]; Ministry of Economy of the Government of Spain by the Polar Research Program (PERMASNOW) [CTM2014-52021-R]; PERMANTAR - PROPOLAR/FCT in Portugal [PTDC/AAG-GLO/3908/2012]; Gulbenkian Ambiente Program by mean of project PERMADRILL; Fundação para a Ciência e a Tecnologia [PTDC/AAG-GLO/3908/2012] Funding Source: FCT</t>
  </si>
  <si>
    <t>Ministry of Economy of the Government of Spain by the Polar Research Program (PERMAMODEL); Ministry of Economy of the Government of Spain by the Polar Research Program (PERMAPLANET); Ministry of Economy of the Government of Spain by the Polar Research Program (PERMASNOW); PERMANTAR - PROPOLAR/FCT in Portugal; Gulbenkian Ambiente Program by mean of project PERMADRILL; Fundação para a Ciência e a Tecnologia(Fundacao para a Ciencia e a Tecnologia (FCT))</t>
  </si>
  <si>
    <t>This work has been supported by funds from the Ministry of Economy of the Government of Spain by the Polar Research Program (PERMAMODEL (POL2006-01918), PERMAPLANET (CTM2009-10165) and PERMASNOW (CTM2014-52021-R)) and PERMANTAR (PTDC/AAG-GLO/3908/2012) funded by PROPOLAR/FCT in Portugal. PG1 and PG2 boreholes have been jointly funded by the Gulbenkian Ambiente Program by mean of project PERMADRILL.</t>
  </si>
  <si>
    <t>10.3390/atmos11121332</t>
  </si>
  <si>
    <t>PJ3UZ</t>
  </si>
  <si>
    <t>WOS:000601698500001</t>
  </si>
  <si>
    <t>Eskandari, A; Leow, TC; Rahman, MBA; Oslan, SN</t>
  </si>
  <si>
    <t>Eskandari, Azadeh; Leow, Thean Chor; Rahman, Mohd Basyaruddin Abdul; Oslan, Siti Nurbaya</t>
  </si>
  <si>
    <t>Antifreeze Proteins and Their Practical Utilization in Industry, Medicine, and Agriculture</t>
  </si>
  <si>
    <t>BIOMOLECULES</t>
  </si>
  <si>
    <t>antifreeze protein; thermal hysteresis; ice recrystallization inhibition; antifreeze glycopeptide; psychrophiles; application</t>
  </si>
  <si>
    <t>ICE-RECRYSTALLIZATION INHIBITION; SUPERCOOLING ABILITY; BINDING PROTEINS; FROZEN DOUGH; CRYOPRESERVATION; VITRIFICATION; PRESERVATION; ADSORPTION; PEPTIDES; HEARTS</t>
  </si>
  <si>
    <t>Antifreeze proteins (AFPs) are specific proteins, glycopeptides, and peptides made by different organisms to allow cells to survive in sub-zero conditions. AFPs function by reducing the water's freezing point and avoiding ice crystals' growth in the frozen stage. Their capability in modifying ice growth leads to the stabilization of ice crystals within a given temperature range and the inhibition of ice recrystallization that decreases the drip loss during thawing. This review presents the potential applications of AFPs from different sources and types. AFPs can be found in diverse sources such as fish, yeast, plants, bacteria, and insects. Various sources reveal different alpha-helices and beta-sheets structures. Recently, analysis of AFPs has been conducted through bioinformatics tools to analyze their functions within proper time. AFPs can be used widely in various aspects of application and have significant industrial functions, encompassing the enhancement of foods' freezing and liquefying properties, protection of frost plants, enhancement of ice cream's texture, cryosurgery, and cryopreservation of cells and tissues. In conclusion, these applications and physical properties of AFPs can be further explored to meet other industrial players. Designing the peptide-based AFP can also be done to subsequently improve its function.</t>
  </si>
  <si>
    <t>[Eskandari, Azadeh; Leow, Thean Chor; Oslan, Siti Nurbaya] Univ Putra Malaysia, Enzyme &amp; Microbial Technol Res Ctr, UPM, Serdang 43400, Selangor, Malaysia; [Eskandari, Azadeh; Oslan, Siti Nurbaya] Univ Putra Malaysia, Fac Biotechnol &amp; Biomol Sci, Dept Biochem, UPM, Serdang 43400, Selangor, Malaysia; [Leow, Thean Chor] Univ Putra Malaysia, Fac Biotechnol &amp; Biomol Sci, Dept Cell &amp; Mol Biol, UPM, Serdang 43400, Selangor, Malaysia; [Leow, Thean Chor; Oslan, Siti Nurbaya] Univ Putra Malaysia, Inst Biosci, Enzyme Technol Lab, UPM, Serdang 43400, Selangor, Malaysia; [Rahman, Mohd Basyaruddin Abdul] Univ Putra Malaysia, Fac Sci, Dept Chem, UPM, Serdang 43400, Selangor, Malaysia</t>
  </si>
  <si>
    <t>Universiti Putra Malaysia; Universiti Putra Malaysia; Universiti Putra Malaysia; Universiti Putra Malaysia; Universiti Putra Malaysia</t>
  </si>
  <si>
    <t>Oslan, SN (corresponding author), Univ Putra Malaysia, Enzyme &amp; Microbial Technol Res Ctr, UPM, Serdang 43400, Selangor, Malaysia.;Oslan, SN (corresponding author), Univ Putra Malaysia, Fac Biotechnol &amp; Biomol Sci, Dept Biochem, UPM, Serdang 43400, Selangor, Malaysia.;Oslan, SN (corresponding author), Univ Putra Malaysia, Inst Biosci, Enzyme Technol Lab, UPM, Serdang 43400, Selangor, Malaysia.</t>
  </si>
  <si>
    <t>gs52501@student.upm.edu.my; adamleow@upm.edu.my; basya@upm.edu.my; snurbayaoslan@upm.edu.my</t>
  </si>
  <si>
    <t>Oslan, Baya/KAM-6571-2024; Oslan, Siti Nurbaya/H-7262-2016; Rahman, Mohammad/KHY-3819-2024</t>
  </si>
  <si>
    <t>Oslan, Siti Nurbaya/0000-0003-0143-425X; Leow, Adam [Thean Chor]/0000-0002-0280-7735; Abdul Rahman, Mohd Basyaruddin/0000-0002-5665-2564</t>
  </si>
  <si>
    <t>Sultan Mizan Antarctic Research Foundation (YPASM) [6300133]</t>
  </si>
  <si>
    <t>Sultan Mizan Antarctic Research Foundation (YPASM)</t>
  </si>
  <si>
    <t>This project was supported by Sultan Mizan Antarctic Research Foundation (YPASM) Vot no. 6300133.</t>
  </si>
  <si>
    <t>2218-273X</t>
  </si>
  <si>
    <t>Biomolecules</t>
  </si>
  <si>
    <t>10.3390/biom10121649</t>
  </si>
  <si>
    <t>PJ6EI</t>
  </si>
  <si>
    <t>WOS:000601858000001</t>
  </si>
  <si>
    <t>Abduh, MY; Norazmi-Lokman, NH; Syahnon, M; Roslan, GAG; Ismail, NH; Abol-Munafi, AB</t>
  </si>
  <si>
    <t>Abduh, Muhammad Yazed; Norazmi-Lokman, Nor Hakim; Syahnon, Mohammad; Roslan, Gusti Afiz Gusti; Ismail, Nurul Hayati; Abol-Munafi, Ambok Bolong</t>
  </si>
  <si>
    <t>Sexual dimorphism of Malaysian Mahseer, Tor tambroides broodstock reared in captivity: Morphometric measurements dataset</t>
  </si>
  <si>
    <t>DATA IN BRIEF</t>
  </si>
  <si>
    <t>Aquaculture; Conservation; ImageJ; Truss network; Tropical fish</t>
  </si>
  <si>
    <t>Despite having high economical value and declining wild population, the aquaculture of the Malaysian mahseer (Tor tambroides) is still way behind. Crucial information such as on its sexual dimorphism is scarce thus making its broodstock management in captivity challenging. The first step in studying fish sexual dimorphism is by observing and identifying the morphological differences between each sex. Thus, this article collected and described morphometric measurements data of broodstock reared in captive conditions. The broodstock were reared and raised in captivity for five years since they were bought from a local commercial supplier while they were five-inch fingerlings. Seven conventional and 21 Truss network morphometric measurements were taken from 27 male (TL: 53.88 +/- 2.86 cm; W: 1.82 +/- 0.23 kg) and 27 female (TL: 53.97 +/- 3.62 cm; W: 1.86 +/- 0.35 kg) T. tambroides broodstocks using digital image analysis. Photograph of the fish broodstocks were captured and the morphometric measurements were conducted using imageJ freeware. Statistical analysis was later conducted on the morphometric data to identify the morphological differences between the broodstocks. This dataset will not only aid the sex identification of this species but also in stock population studies thus accelerating the development of T. tambroides aquaculture while improving its conservation efforts. (c) 2020 The Authors. Published by Elsevier Inc. This is an open access article under the CC BY license (http://creativecommons.org/licenses/by/4.0/)</t>
  </si>
  <si>
    <t>[Abduh, Muhammad Yazed; Norazmi-Lokman, Nor Hakim] Univ Malaysia Terengganu, Fac Fisheries &amp; Food Sci, Terengganu 21030, Malaysia; [Abduh, Muhammad Yazed; Syahnon, Mohammad; Roslan, Gusti Afiz Gusti; Ismail, Nurul Hayati; Abol-Munafi, Ambok Bolong] Univ Malaysia Terengganu, Inst Trop Aquaculture &amp; Fisheries, Terengganu 21030, Malaysia; [Norazmi-Lokman, Nor Hakim] Inst Marine &amp; Antarctic Studies, Fisheries &amp; Aquaculture Ctr, Taroona, Tas 7053, Australia</t>
  </si>
  <si>
    <t>Universiti Malaysia Terengganu; Universiti Malaysia Terengganu; University of Tasmania</t>
  </si>
  <si>
    <t>Norazmi-Lokman, NH (corresponding author), Univ Malaysia Terengganu, Fac Fisheries &amp; Food Sci, Terengganu 21030, Malaysia.;Abol-Munafi, AB (corresponding author), Univ Malaysia Terengganu, Inst Trop Aquaculture &amp; Fisheries, Terengganu 21030, Malaysia.;Norazmi-Lokman, NH (corresponding author), Inst Marine &amp; Antarctic Studies, Fisheries &amp; Aquaculture Ctr, Taroona, Tas 7053, Australia.</t>
  </si>
  <si>
    <t>lokhakim@umt.edu.my; munafi@umt.edu.my</t>
  </si>
  <si>
    <t>Norazmi, Lokman Nor Hakim/AAD-2229-2020; Abduh, Muhammad Yazed/AAD-5582-2020; Ambok Bolong, Abol Munafi/AAA-3989-2022; mohammad, syahnon/GVR-9552-2022</t>
  </si>
  <si>
    <t>Norazmi, Lokman Nor Hakim/0000-0002-1927-6846; Abduh, Muhammad Yazed/0000-0002-2204-3605; Ambok Bolong, Abol Munafi/0000-0002-9215-2575; GUSTI RUSLAN NOOR, GUSTI AFIZ/0000-0001-8974-2016</t>
  </si>
  <si>
    <t>Malaysian Ministry of Higher Education (MOHE) through Fundamental Research Grant Scheme (FRGS) [FRGS/2/2013/ST03/UMT/02/4]</t>
  </si>
  <si>
    <t>Malaysian Ministry of Higher Education (MOHE) through Fundamental Research Grant Scheme (FRGS)</t>
  </si>
  <si>
    <t>This project is funded by the Malaysian Ministry of Higher Education (MOHE) through Fundamental Research Grant Scheme (FRGS), FRGS/2/2013/ST03/UMT/02/4. The authors would like to thank the staffof Faculty of Fisheries and Food Science for their valuable assistance throughout this study.</t>
  </si>
  <si>
    <t>2352-3409</t>
  </si>
  <si>
    <t>DATA BRIEF</t>
  </si>
  <si>
    <t>Data Brief</t>
  </si>
  <si>
    <t>10.1016/j.dib.2020.106557</t>
  </si>
  <si>
    <t>PH8JS</t>
  </si>
  <si>
    <t>WOS:000600652300221</t>
  </si>
  <si>
    <t>Carapelli, A; Cucini, C; Fanciulli, PP; Frati, F; Convey, P; Nardi, F</t>
  </si>
  <si>
    <t>Carapelli, Antonio; Cucini, Claudio; Fanciulli, Pietro Paolo; Frati, Francesco; Convey, Peter; Nardi, Francesco</t>
  </si>
  <si>
    <t>Molecular Comparison among Three Antarctic Endemic Springtail Species and Description of the Mitochondrial Genome of Friesea gretae (Hexapoda, Collembola)</t>
  </si>
  <si>
    <t>DIVERSITY-BASEL</t>
  </si>
  <si>
    <t>invertebrate biodiversity; genetic distances; molecular clock; phylogeny; mitogenomes; Antarctic springtails</t>
  </si>
  <si>
    <t>GENETIC DIVERSITY; VICTORIA LAND; CAPE HALLETT; GLACIATION; NEANURIDAE</t>
  </si>
  <si>
    <t>Springtails and mites are the dominant groups of terrestrial arthropods in Antarctic terrestrial ecosystems. Their Antarctic diversity includes a limited number of species, which are frequently endemic to specific regions within the continent. Advances in molecular techniques, combined with the re-evaluation of morphological characters and the availability of new samples, have recently led to the identification of a number of new springtail species within previously named, but ill-defined, species entities described in the last century. One such species, the neanurid Friesea grisea, originally described from sub-Antarctic South Georgia, was for many years considered to be the only known springtail with a pan-Antarctic distribution. With the recent availability of new morphological and molecular data, it has now been firmly established that the different representatives previously referred to this taxon from the Antarctic Peninsula and Victoria Land (continental Antarctica) should no longer be considered as representing one and the same species, and three clearly distinct taxa have been recognized: F. antarctica, F. gretae and F. propria. In this study, the relationships among these three species are further explored through the sequencing of the complete mtDNA for F. gretae and the use of complete mitogenomic as well as cytochrome c oxidase I data. The data obtained provide further support that distinct species were originally hidden within the same taxon and that, despite the difficulties in obtaining reliable diagnostic morphological characters, F. gretae is genetically differentiated from F. propria (known to be present in different locations in Northern Victoria Land), as well as from F. antarctica (distributed in the Antarctic Peninsula).</t>
  </si>
  <si>
    <t>[Carapelli, Antonio; Cucini, Claudio; Fanciulli, Pietro Paolo; Frati, Francesco; Nardi, Francesco] Univ Siena, Dept Life Sci, Via A Moro 2, I-53100 Siena, Italy; [Convey, Peter] British Antarctic Survey, NERC, Madingley Rd, Cambridge CB3 0ET, England</t>
  </si>
  <si>
    <t>Nardi, F (corresponding author), Univ Siena, Dept Life Sci, Via A Moro 2, I-53100 Siena, Italy.</t>
  </si>
  <si>
    <t>antonio.carapelli@unisi.it; claudio.cucini@student.unisi.it; paolo.fanciulli@unisi.it; francesco.frati@unisi.it; pcon@bas.ac.uk; francesco.nardi@unisi.it</t>
  </si>
  <si>
    <t>Nardi, Francesco/E-5516-2011; Convey, Peter/AAV-5728-2020; CUCINI, CLAUDIO/AAK-4520-2020</t>
  </si>
  <si>
    <t>Nardi, Francesco/0000-0003-0271-9855; Convey, Peter/0000-0001-8497-9903; CUCINI, CLAUDIO/0000-0003-1918-0702; CARAPELLI, Antonio/0000-0002-3165-9620</t>
  </si>
  <si>
    <t>This study was funded by the Italian Program of Research in Antarctica (PNRA16_00234). Partial support was also provided by the University of Siena. P.C. is supported by NERC core funding to the British Antarctic Survey's `Biodiversity, Ecosystems and Adaptation' Team. The paper also contributes to the SCAR `State of the Antarctic Ecosystem' (AntEco) international program.</t>
  </si>
  <si>
    <t>1424-2818</t>
  </si>
  <si>
    <t>Diversity-Basel</t>
  </si>
  <si>
    <t>10.3390/d12120450</t>
  </si>
  <si>
    <t>PK0CT</t>
  </si>
  <si>
    <t>WOS:000602124300001</t>
  </si>
  <si>
    <t>Ghigliotti, L; Christiansen, JS; Carlig, E; Di Blasi, D; Pisano, E</t>
  </si>
  <si>
    <t>Ghigliotti, Laura; Christiansen, Jorgen S.; Carlig, Erica; Di Blasi, Davide; Pisano, Eva</t>
  </si>
  <si>
    <t>Latitudinal Cline in Chromosome Numbers of Ice Cod A. glacialis (Gadidae) from Northeast Greenland</t>
  </si>
  <si>
    <t>ice cod; karyomorphs; B chromosomes; rDNA; Arctic</t>
  </si>
  <si>
    <t>BOREOGADUS-SAIDA LEPECHIN; B-CHROMOSOMES; ARCTOGADUS-GLACIALIS; 5S RDNA; FISHES; PETERS; POLYMORPHISM; VARIABILITY; KARYOTYPE; ECOLOGY</t>
  </si>
  <si>
    <t>The ice cod Arctogadus glacialis (Peters, 1872) is one of the few fish species endemic to the Arctic. With a circumpolar distribution, the species is confined to the fjords and shelves of the Arctic seas. Biological information on A. glacialis is scarce, with genomic information restricted to microsatellites. Within the frame of the TUNU-Programme: Arctic Ocean Fishes-Diversity, Adaptation and Conservation, we studied A. glacialis at the chromosomal level to explore fish diversity and evolutionary aspects. The analysis of over 50 individuals from the Northeast Greenland fjords between latitudes 71 degrees 09 ' N and 76 degrees 42 ' N revealed a remarkable intraspecific diversity epitomized by chromosome numbers spanning from 28 to 33, the occurrence of putative B chromosomes, and diversified patterns of distribution of heterochromatin and rDNAs. The number of B chromosomes followed a latitudinal gradient from 0-2 in the north to 2-5 in the south. Considering the benthic and rather stationary life history of this species, the observed chromosomal differences might have arisen independently, possibly driven and/or fostered by the dynamics of repetitive sequences, and are being fixed in relatively isolated fjord populations. The resulting latitudinal cline we observe today might have repercussions on the fate of local populations facing the ongoing climate-driven environmental changes.</t>
  </si>
  <si>
    <t>[Ghigliotti, Laura; Carlig, Erica; Di Blasi, Davide; Pisano, Eva] Natl Res Council Italy, Inst Study Anthrop Impacts &amp; Sustainabil Marine E, Via De Marini 6, I-16149 Genoa, Italy; [Christiansen, Jorgen S.] UIT Arctic Univ Norway, Dept Arctic &amp; Marine Biol, NO-9037 Tromso, Norway; [Christiansen, Jorgen S.] Abo Akad Univ, Dept Environm &amp; Marine Biol, FI-20520 Turku, Finland</t>
  </si>
  <si>
    <t>Consiglio Nazionale delle Ricerche (CNR); UiT The Arctic University of Tromso; Abo Akademi University</t>
  </si>
  <si>
    <t>Ghigliotti, L (corresponding author), Natl Res Council Italy, Inst Study Anthrop Impacts &amp; Sustainabil Marine E, Via De Marini 6, I-16149 Genoa, Italy.</t>
  </si>
  <si>
    <t>laura.ghigliotti@gmail.com; jorgen.s.christiansen@uit.no; erica.carlig@ias.cnr.it; davide.diblasi@ias.cnr.it; eva.pisano@ias.cnr.it</t>
  </si>
  <si>
    <t>Ghigliotti, Laura/AAN-6843-2021; Di Blasi, Davide/AAV-5937-2021</t>
  </si>
  <si>
    <t>Ghigliotti, Laura/0000-0003-2139-1381; Di Blasi, Davide/0000-0003-3623-8507</t>
  </si>
  <si>
    <t>Italian MIUR [2013/AZ1.11, PNRA16_00281]; Italian National research Council under Arctic Strategic Project 3.2</t>
  </si>
  <si>
    <t>Italian MIUR(Ministry of Education, Universities and Research (MIUR)); Italian National research Council under Arctic Strategic Project 3.2</t>
  </si>
  <si>
    <t>This research was funded by the Italian MIUR in the frame of the Italian National Programme for Antarctic Research (PNRA), grant numbers 2013/AZ1.11 and PNRA16_00281, and by the Italian National research Council under Arctic Strategic Project 3.2.</t>
  </si>
  <si>
    <t>10.3390/genes11121515</t>
  </si>
  <si>
    <t>PJ9ZT</t>
  </si>
  <si>
    <t>WOS:000602116500001</t>
  </si>
  <si>
    <t>Mallon, JM; Tucker, MA; Beard, A; Bierregaard, RO; Bildstein, KL; Böhning-Gaese, K; Brzorad, JN; Buechley, ER; Bustamante, J; Carrapato, C; Castillo-Guerrero, JA; Clingham, E; Desholm, M; DeSorbo, CR; Domenech, R; Douglas, H; Duriez, O; Enggist, P; Farwig, N; Fiedler, W; Gagliardo, A; García-Ripollés, C; Gallús, JAG; Gilmour, ME; Harel, R; Harrison, AL; Henry, L; Katzner, TE; Kays, R; Kleyheeg, E; Limiñana, R; López-López, P; Lucia, G; Maccarone, A; Mallia, E; Mellone, U; Mojica, EK; Nathan, R; Newman, SH; Oppel, S; Orchan, Y; Prosser, DJ; Riley, H; Rösner, S; Schabo, DG; Schulz, H; Shaffer, S; Shreading, A; Silva, JP; Sim, J; Skov, H; Spiegel, O; Stuber, MJ; Takekawa, JY; Urios, V; Vidal-Mateo, J; Warner, K; Watts, BD; Weber, N; Weber, S; Wikelski, M; Zydelis, R; Mueller, T; Fagan, WF</t>
  </si>
  <si>
    <t>Mallon, Julie M.; Tucker, Marlee A.; Beard, Annalea; Bierregaard, Richard O., Jr.; Bildstein, Keith L.; Bohning-Gaese, Katrin; Brzorad, John N.; Buechley, Evan R.; Bustamante, Javier; Carrapato, Carlos; Castillo-Guerrero, Jose Alfredo; Clingham, Elizabeth; Desholm, Mark; DeSorbo, Christopher R.; Domenech, Robert; Douglas, Hayley; Duriez, Olivier; Enggist, Peter; Farwig, Nina; Fiedler, Wolfgang; Gagliardo, Anna; Garcia-Ripolles, Clara; Gil Gallus, Jose Antonio; Gilmour, Morgan E.; Harel, Roi; Harrison, Autumn-Lynn; Henry, Leeann; Katzner, Todd E.; Kays, Roland; Kleyheeg, Erik; Liminana, Ruben; Lopez-Lopez, Pascual; Lucia, Giuseppe; Maccarone, Alan; Mallia, Egidio; Mellone, Ugo; Mojica, Elizabeth K.; Nathan, Ran; Newman, Scott H.; Oppel, Steffen; Orchan, Yotam; Prosser, Diann J.; Riley, Hannah; Rosner, Sascha; Schabo, Dana G.; Schulz, Holger; Shaffer, Scott; Shreading, Adam; Silva, Joao Paulo; Sim, Jolene; Skov, Henrik; Spiegel, Orr; Stuber, Matthew J.; Takekawa, John Y.; Urios, Vicente; Vidal-Mateo, Javier; Warner, Kevin; Watts, Bryan D.; Weber, Nicola; Weber, Sam; Wikelski, Martin; Zydelis, Ramunas; Mueller, Thomas; Fagan, William F.</t>
  </si>
  <si>
    <t>Diurnal timing of nonmigratory movement by birds: the importance of foraging spatial scales</t>
  </si>
  <si>
    <t>JOURNAL OF AVIAN BIOLOGY</t>
  </si>
  <si>
    <t>flight mode; foraging; movement ecology; multispecies; nonmigratory; temporal</t>
  </si>
  <si>
    <t>TIME-BUDGET; ENERGY-COST; FLIGHT; VULTURES; BEHAVIOR; MIGRATION; SEARCH</t>
  </si>
  <si>
    <t>Timing of activity can reveal an organism's efforts to optimize foraging either by minimizing energy loss through passive movement or by maximizing energetic gain through foraging. Here, we assess whether signals of either of these strategies are detectable in the timing of activity of daily, local movements by birds. We compare the similarities of timing of movement activity among species using six temporal variables: start of activity relative to sunrise, end of activity relative to sunset, relative speed at midday, number of movement bouts, bout duration and proportion of active daytime hours. We test for the influence of flight mode and foraging habitat on the timing of movement activity across avian guilds. We used 64 570 days of GPS movement data collected between 2002 and 2019 for local (non-migratory) movements of 991 birds from 49 species, representing 14 orders. Dissimilarity among daily activity patterns was best explained by flight mode. Terrestrial soaring birds began activity later and stopped activity earlier than pelagic soaring or flapping birds. Broad-scale foraging habitat explained less of the clustering patterns because of divergent timing of active periods of pelagic surface and diving foragers. Among pelagic birds, surface foragers were active throughout all 24 hrs of the day while diving foragers matched their active hours more closely to daylight hours. Pelagic surface foragers also had the greatest daily foraging distances, which was consistent with their daytime activity patterns. This study demonstrates that flight mode and foraging habitat influence temporal patterns of daily movement activity of birds.</t>
  </si>
  <si>
    <t>[Mallon, Julie M.; Fagan, William F.] Univ Maryland, Dept Biol, College Pk, MD 20742 USA; [Tucker, Marlee A.; Bohning-Gaese, Katrin; Mueller, Thomas] Senckenberg Gesell Naturforschung, Senckenberg Biodivers &amp; Climate Res Ctr, Frankfurt, Germany; [Tucker, Marlee A.; Bohning-Gaese, Katrin; Mueller, Thomas] Goethe Univ, Dept Biol Sci, Frankfurt, Germany; [Tucker, Marlee A.] Radboud Univ Nijmegen, Inst Wetland &amp; Water Res, Dept Environm Sci, GL, Nijmegen, Netherlands; [Beard, Annalea] Cardiff Univ, Sch Biosci, Sir Martin Evans Bldg, Cardiff, Wales, England; [Bierregaard, Richard O., Jr.] Univ N Carolina, Dept Biol, Univ City Blvd, Charlotte, NC USA; [Bildstein, Keith L.] Acopian Ctr Conservat Learning, Hawk Mt Sanctuary, Orwigsburg, PA USA; [Brzorad, John N.] Lenoir Rhyne Univ, Reese Inst Conservat Nat Resources, Hickory, NC USA; [Buechley, Evan R.] Hawk Watch Int, Salt Lake City, UT USA; [Buechley, Evan R.] Smithsonian Migratory Bird Ctr, POB 37012, MRC 5503, Washington, DC 20013 USA; [Bustamante, Javier] CSIC, Estn Biol Donana, Dept Wetland Ecol, Seville, Spain; [Bustamante, Javier] CSIC, Estn Biol Donana, Remote Sensing &amp; GIS Lab LAST EBD, Seville, Spain; [Carrapato, Carlos] Ctr Polivalente Div Casa Lanternim, Inst Conservacao Nat &amp; Florestas, Parque Nat Vale Guadiana, Mertola, Portugal; [Castillo-Guerrero, Jose Alfredo] Univ Guadalajara, Ctr Univ Costa Sur, Dept Estudios Desarrollo Sustentable Zona Costera, Cihuatlan, Jalisco, Mexico; [Clingham, Elizabeth] Foreign &amp; Commonwealth Off, Jamestown, St Helena Islan, St Helena; [Desholm, Mark] BirdLife Denmark, Copenhagen, Denmark; [DeSorbo, Christopher R.] Biodivers Res Inst, Portland, ME USA; [Domenech, Robert; Shreading, Adam] Raptor View Res Inst, Missoula, MT USA; [Douglas, Hayley; Riley, Hannah] Tag N Track Clyde Muirshiel Reg Pk, Lochwinnoch, Renfrew, Scotland; [Duriez, Olivier] Univ Montpellier, Univ Paul Valery Montpellier, EPHE, Ctr Ecol Fonct &amp; Evolut,UMR 5175,CNRS, Montpellier, France; [Enggist, Peter; Schulz, Holger] Storch Schweiz, Kreuzlingen, Switzerland; [Farwig, Nina; Rosner, Sascha; Schabo, Dana G.] Philipps Univ Marburg, Dept Biol, Conservat Ecol, Marburg, Germany; [Rosner, Sascha] Pixeldivers GmbH, Marburg, Germany; [Fiedler, Wolfgang; Kleyheeg, Erik; Wikelski, Martin] Max Planck Inst Anim Behav, Dept Migrat, Radolfzell am Bodensee, Germany; [Fiedler, Wolfgang; Wikelski, Martin] Univ Konstanz, Dept Biol, Constance, Germany; [Gagliardo, Anna] Univ Pisa, Dept Biol, Pisa, Italy; [Garcia-Ripolles, Clara] Environm Sci &amp; Solut SL, Valencia, Spain; [Gil Gallus, Jose Antonio] Fdn Conservac Quebrantahuesos FCQ, Zaragoza, Spain; [Gilmour, Morgan E.] Univ Calif Santa Cruz, Ocean Sci Dept, Santa Cruz, CA 95064 USA; [Gilmour, Morgan E.] Univ Tasmania, Inst Marine &amp; Antarctic Studies, Newnham, Tas, Australia; [Harel, Roi; Nathan, Ran; Orchan, Yotam] Hebrew Univ Jerusalem, Alexander Silberman Inst Life Sci, Dept Ecol Evolut &amp; Behav, Movement Ecol Lab, Edmond J Safra Campus, Jerusalem, Israel; [Harrison, Autumn-Lynn] Smithsonian Conservat Biol Inst, Natl Zool Pk, Migratory Bird Ctr, Washington, DC USA; [Henry, Leeann] St Helena Govt, Marine Sect, Environm Management Directorate, Jamestown, St Helena; [Katzner, Todd E.] US Geol Survey, Forest &amp; Rangeland Ecosyst Sci Ctr, Boise, ID USA; [Kays, Roland] North Carolina Museum Nat Sci, Raleigh, NC USA; [Kays, Roland] North Carolina State Univ, Dept Forestry &amp; Environm Resources, Raleigh, NC USA; [Kleyheeg, Erik] Univ Utrecht, Inst Environm Biol, Ecol &amp; Biodivers Grp, Utrecht, Netherlands; [Liminana, Ruben] Univ Alicante, Dept Didact Gen &amp; Didact Espcif, Alicante, Spain; [Liminana, Ruben] Univ Alicante, Univ Fis Aplicada Ciencias &amp; Tecnol IUFACyT, Alicante, Spain; [Lopez-Lopez, Pascual] Univ Valencia, Cavanilles Inst Biodivers &amp; Evolutionary Biol, Terr Vertebrates Grp, Movement Ecol Lab, Valencia, Spain; [Lucia, Giuseppe; Mellone, Ugo] MEDRAPTORS Mediterranean Raptor Migrat Network, Rome, Italy; [Mallia, Egidio] Parco Gallipoli Cognato Piccole Dolomiti Lucane, Accettura, Italy; [Mellone, Ugo; Urios, Vicente; Vidal-Mateo, Javier] Univ Alicante, Vertebrates Zool Res Grp, Alicante, Spain; [Mojica, Elizabeth K.; Watts, Bryan D.] Coll William &amp; Mary, Ctr Conservat Biol, Williamsburg, VA USA; [Mojica, Elizabeth K.; Watts, Bryan D.] Virginia Commonwealth Univ, Williamsburg, VA USA; [Mojica, Elizabeth K.] EDM Int Inc, Ft Collins, CO USA; [Newman, Scott H.] Food &amp; Agr Org United Nations, Reg Off Afr, Accra, Ghana; [Oppel, Steffen] Royal Soc Protection Birds, RSPB Ctr Conservat Sci, David Attenborough Bldg, Cambridge, England; [Prosser, Diann J.] US Geol Survey, Patuxent Wildlife Res Ctr, Laurel, MD USA; [Schulz, Holger] Schulz Wildlife Consulting, Bergenhusen, Germany; [Shaffer, Scott] San Jose State Univ, Dept Biol Sci, San Jose, CA 95192 USA; [Silva, Joao Paulo] Univ Porto, Lab Associado, Ctr Invest Biodiversidade &amp; Recursos Genet, CIBIO InBIO, Campus Agr Vairao, Vairao, Portugal; [Silva, Joao Paulo] Univ Lisbon, Lab Associado, Ctr Invest Biodiversidade &amp; Recursos Genet, Inst Super Agron,CIBIO InBIO, Lisbon, Portugal; [Sim, Jolene; Weber, Nicola; Weber, Sam] Ascens Isl Govt Conservat Dept, Georgetown, Ascension Isl; [Weber, Nicola; Weber, Sam] Univ Exeter, Ctr Ecol &amp; Conservat, Coll Life &amp; Environm Sci, Exeter, Devon, England; [Skov, Henrik] DHI, Ecol &amp; Environm Dept, Horsholm, Denmark; [Spiegel, Orr] Tel Aviv Univ, Fac Life Sci, Sch Zool, Tel Aviv, Israel; [Stuber, Matthew J.] US Fish &amp; Wildlife Serv, Migratory Birds &amp; Habitat Program, Portland, OR USA; [Takekawa, John Y.] Suisun Resource Conservat Dist, Suisun City, CA USA; [Warner, Kevin] Idaho Army Natl Guard, Environm Management Off, Boise, ID USA; [Zydelis, Ramunas] Ornitela UAB, Vilnius, Lithuania</t>
  </si>
  <si>
    <t>University System of Maryland; University of Maryland College Park; Senckenberg Biodiversitat &amp; Klima- Forschungszentrum (BiK-F); Senckenberg Gesellschaft fur Naturforschung (SGN); Goethe University Frankfurt; Radboud University Nijmegen; Cardiff University; University of North Carolina; University of North Carolina Charlotte; Smithsonian Institution; Smithsonian National Zoological Park &amp; Conservation Biology Institute; Consejo Superior de Investigaciones Cientificas (CSIC); CSIC - Estacion Biologica de Donana (EBD); Consejo Superior de Investigaciones Cientificas (CSIC); CSIC - Estacion Biologica de Donana (EBD); Universidad de Guadalajara;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Philipps University Marburg; Max Planck Society; University of Konstanz; University of Pisa; Fundacion para la Conservacion del Quebranthuesos (FCQ); University of California System; University of California Santa Cruz; University of Tasmania; Hebrew University of Jerusalem; Smithsonian Institution; Smithsonian National Zoological Park &amp; Conservation Biology Institute; United States Department of the Interior; United States Geological Survey; North Carolina State University; Utrecht University; Universitat d'Alacant; Universitat d'Alacant; University of Valencia; Universitat d'Alacant; William &amp; Mary; Virginia Commonwealth University; Food &amp; Agriculture Organization of the United Nations (FAO); Royal Society for Protection of Birds; United States Department of the Interior; United States Geological Survey; California State University System; San Jose State University; Universidade do Porto; Universidade de Lisboa; University of Exeter; Danish Hydraulic Institute (DHI); Tel Aviv University; United States Department of the Interior; US Fish &amp; Wildlife Service</t>
  </si>
  <si>
    <t>Mallon, JM (corresponding author), Univ Maryland, Dept Biol, College Pk, MD 20742 USA.</t>
  </si>
  <si>
    <t>jmmallon@umd.edu</t>
  </si>
  <si>
    <t>Mallon, Julie/ABB-7728-2020; Farwig, Nina/JMQ-1406-2023; Harel, Roi/ABA-1787-2020; Limiñana, Ruben/JQJ-2457-2023; Fiedler, Wolfgang/AAG-4510-2021; Mojica, Elizabeth K/G-1504-2012; Nathan, Ran/A-9380-2008; Mojica, Elizabeth/GLS-6846-2022; Spiegel, Orr/D-4035-2011; Oppel, Steffen/H-2771-2019; Zydelis, Ramunas/A-8992-2008; Urios, Vicente/AAD-4800-2022; López-López, Pascual/C-1039-2011; Mueller, Thomas/A-1740-2014; Shaffer, Scott/D-5015-2009; Bustamante, Javier/C-2735-2008; Duriez, Olivier/R-4772-2016; Silva, Joao Paulo/L-6745-2013</t>
  </si>
  <si>
    <t>Mallon, Julie/0000-0003-3311-3792; Farwig, Nina/0000-0002-0554-5128; Harel, Roi/0000-0002-9733-8643; Fiedler, Wolfgang/0000-0003-1082-4161; Mojica, Elizabeth K/0000-0001-6941-4840; Nathan, Ran/0000-0002-5733-6715; Spiegel, Orr/0000-0001-8941-3175; Oppel, Steffen/0000-0002-8220-3789; López-López, Pascual/0000-0001-5269-652X; Zydelis, Ramunas/0000-0001-8019-6880; Shaffer, Scott/0000-0002-7751-5059; Bustamante, Javier/0000-0001-7515-0677; Weber, Nicola/0000-0001-6910-3727; Kays, Roland/0000-0002-2947-6665; Duriez, Olivier/0000-0003-1868-9750; Gilmour, Morgan/0000-0002-2618-1095; Silva, Joao Paulo/0000-0002-1956-5779; Liminana, Ruben/0000-0001-8152-3644</t>
  </si>
  <si>
    <t>Nature Conservancy; Bailey Wildlife Foundation; Bluestone Foundation; Ocean View Foundation; Biodiversity Research Institute; Maine Outdoor Heritage Fund; Davis Conservation Foundation; U.S. Department of Energy [DE-EE0005362]; Darwin Initiative [19-026]; EDP S.A. 'Fundacao para a Biodiversidade'; Portuguese Foundation for Science and Technology (FCT) [DL57/2019/CP 1440/CT 0021]; Enterprise St Helena (ESH); Friends of National Zoo Conservation Research Grant Program; Friends of National Zoo Conservation Nation; ConocoPhillips Global Signature Program; Maryland Department of Natural Resources; Cellular Tracking Technologies; Hawk Mountain Sanctuary</t>
  </si>
  <si>
    <t>Nature Conservancy; Bailey Wildlife Foundation; Bluestone Foundation; Ocean View Foundation; Biodiversity Research Institute; Maine Outdoor Heritage Fund; Davis Conservation Foundation; U.S. Department of Energy(United States Department of Energy (DOE)); Darwin Initiative; EDP S.A. 'Fundacao para a Biodiversidade'; Portuguese Foundation for Science and Technology (FCT)(Fundacao para a Ciencia e a Tecnologia (FCT)); Enterprise St Helena (ESH); Friends of National Zoo Conservation Research Grant Program; Friends of National Zoo Conservation Nation; ConocoPhillips Global Signature Program; Maryland Department of Natural Resources; Cellular Tracking Technologies; Hawk Mountain Sanctuary</t>
  </si>
  <si>
    <t>We thank the Nature Conservancy, the Bailey Wildlife Foundation, the Bluestone Foundation, the Ocean View Foundation, Biodiversity Research Institute, the Maine Outdoor Heritage Fund, the Davis Conservation Foundation and The U.S. Department of Energy (DE-EE0005362), and the Darwin Initiative (19-026), EDP S.A. 'Fundacao para a Biodiversidade' and the Portuguese Foundation for Science and Technology (FCT) (DL57/2019/CP 1440/CT 0021), Enterprise St Helena (ESH), Friends of National Zoo Conservation Research Grant Program and Conservation Nation, ConocoPhillips Global Signature Program, Maryland Department of Natural Resources, Cellular Tracking Technologies and Hawk Mountain Sanctuary for providing funding and in-kind support for the GPS data used in our analyses.</t>
  </si>
  <si>
    <t>0908-8857</t>
  </si>
  <si>
    <t>1600-048X</t>
  </si>
  <si>
    <t>J AVIAN BIOL</t>
  </si>
  <si>
    <t>J. Avian Biol.</t>
  </si>
  <si>
    <t>e02612</t>
  </si>
  <si>
    <t>10.1111/jav.02612</t>
  </si>
  <si>
    <t>PI7WO</t>
  </si>
  <si>
    <t>Green Accepted, Green Submitted, Green Published</t>
  </si>
  <si>
    <t>WOS:000601296800002</t>
  </si>
  <si>
    <t>Xing, S; Hou, XL; Shi, KL; Aldahan, A; Possnert, G</t>
  </si>
  <si>
    <t>Xing, Shan; Hou, Xiaolin; Shi, Keliang; Aldahan, Ala; Possnert, Goran</t>
  </si>
  <si>
    <t>Circulation of Circumpolar Deep Water and marine environment traced by 127I and 129I speciation in the Amundsen Sea Polynya, Antarctica</t>
  </si>
  <si>
    <t>JOURNAL OF ENVIRONMENTAL RADIOACTIVITY</t>
  </si>
  <si>
    <t>Iodine-129; Iodine species; Circumpolar Deep Water; Marine environment; Amundsen sea polynya</t>
  </si>
  <si>
    <t>PINE ISLAND GLACIER; OCEAN CIRCULATION; PHYTOPLANKTON; SEAWATER; IODINE; TRANSFORMATION; HEMISPHERE; IODATE; LEVEL; TIME</t>
  </si>
  <si>
    <t>The long-lived anthropogenic I-129 released from human nuclear activities has been widely employed as an effective oceanographic tracer to investigate circulation of water masses in marine environment. Depth profiles of seawater collected from the Amundsen Sea Polynya, Antarctica were analyzed for total I-129 and I-127, as well as their species of iodide and iodate. The measured I-129 concentrations ((1.15-3.43) x 10(6) atoms/L) and I-129/I-127 atomic ratios ((0.53-1.19) x 10(-11)) indicate that anthropogenic I-129 has not only reached the Antarctic surface marine environment but also the deep water due to a strong vertical mixing of water masses. The Circumpolar Deep Water (CDW) flowed southward along continental shelf towards the ice shelf zone (74.25 degrees S) at a depth of 1025 m and then migrated upward and northward to the polynya and finally to the sea ice zone (71.95 degrees S). The maximum upwelling depth of the CDW was around 200 m in the polynya. The source of I-129(-) in the polynya is predominantly the intrusion of source waters rather than the in-situ reduction of iodate by phytoplankton, implying a considerably slow reduction process of iodate to iodide in this region.</t>
  </si>
  <si>
    <t>[Xing, Shan; Hou, Xiaolin] Chinese Acad Sci, Shaanxi Key Lab Accelerator Mass Spectrometry Tec, Inst Earth Environm, State Key Lab Loess &amp; Quaternary Geol,Xian AMS Ct, Xian 710061, Peoples R China; [Xing, Shan] China Inst Radiat Protect, Taiyuan 030000, Peoples R China; [Hou, Xiaolin] Tech Univ Denmark, Dept Environm Engn, Riso Campus, DK-4000 Roskilde, Denmark; [Hou, Xiaolin; Shi, Keliang] Lanzhou Univ, Sch Nucl Sci &amp; Technol, Lanzhou 730000, Peoples R China; [Aldahan, Ala] United Arab Emirates Univ, Dept Geol, Al Ain 17551, U Arab Emirates; [Possnert, Goran] Uppsala Univ, Tandem Lab, S-75120 Uppsala, Sweden; [Hou, Xiaolin] Pilot Natl Lab Marine Sci &amp; Technol Qingdao, Open Studio Oceanic Continental Climate &amp; Environ, Qingdao 266237, Peoples R China</t>
  </si>
  <si>
    <t>Chinese Academy of Sciences; Institute of Earth Environment, CAS; Technical University of Denmark; Lanzhou University; United Arab Emirates University; Uppsala University; Laoshan Laboratory</t>
  </si>
  <si>
    <t>Hou, XL (corresponding author), Tech Univ Denmark, Dept Environm Engn, Riso Campus, DK-4000 Roskilde, Denmark.</t>
  </si>
  <si>
    <t>xiho@dtu.dk</t>
  </si>
  <si>
    <t>Hou, Xiaolin/A-1585-2008</t>
  </si>
  <si>
    <t>Hou, Xiaolin/0000-0002-4851-4858</t>
  </si>
  <si>
    <t>Scientific Research Program for Young Talents of China National Nuclear Corporation; Ministry of Science and Technology of China [2015FY110800]; Swedish Polar Research Secretariat; US National Science Foundation (NSF)</t>
  </si>
  <si>
    <t>Scientific Research Program for Young Talents of China National Nuclear Corporation; Ministry of Science and Technology of China(Ministry of Science and Technology, China); Swedish Polar Research Secretariat; US National Science Foundation (NSF)(National Science Foundation (NSF))</t>
  </si>
  <si>
    <t>Financial supports provided by the Scientific Research Program for Young Talents of China National Nuclear Corporation and the Ministry of Science and Technology of China (2015FY110800) are gratefully acknowledged. S. Xing appreciates Dr. Q. Liu in Xi'an AMS center for his help in AMS measurement of 129I. The sampling program was part of 2010/2011 Antarctica two-ship expedition through the international scientific cruise jointly funded by the Swedish Polar Research Secretariat and the US National Science Foundation (NSF). We thank the N.P. Palmar scientific team for providing the online measurement data.</t>
  </si>
  <si>
    <t>0265-931X</t>
  </si>
  <si>
    <t>1879-1700</t>
  </si>
  <si>
    <t>J ENVIRON RADIOACTIV</t>
  </si>
  <si>
    <t>J. Environ. Radioact.</t>
  </si>
  <si>
    <t>10.1016/j.jenvrad.2020.106424</t>
  </si>
  <si>
    <t>PI2DL</t>
  </si>
  <si>
    <t>WOS:000600907200009</t>
  </si>
  <si>
    <t>Di Lorenzo, F; Crisafi, F; La Cono, V; Yakimov, MM; Molinaro, A; Silipo, A</t>
  </si>
  <si>
    <t>Di Lorenzo, Flaviana; Crisafi, Francesca; La Cono, Violetta; Yakimov, Michail M.; Molinaro, Antonio; Silipo, Alba</t>
  </si>
  <si>
    <t>The Structure of the Lipid A of Gram-Negative Cold-Adapted Bacteria Isolated from Antarctic Environments</t>
  </si>
  <si>
    <t>psychrophiles; Antarctic bacteria; Lipopolysaccharide (LPS); lipid A; structural characterization; MALDI-TOF mass spectrometry</t>
  </si>
  <si>
    <t>PSYCHROBACTER-CRYOHALOLENTIS; LIPOPOLYSACCHARIDES; ENDOTOXIN; CHEMISTRY; STRAINS</t>
  </si>
  <si>
    <t>Gram-negative Antarctic bacteria adopt survival strategies to live and proliferate in an extremely cold environment. Unusual chemical modifications of the lipopolysaccharide (LPS) and the main component of their outer membrane are among the tricks adopted to allow the maintenance of an optimum membrane fluidity even at particularly low temperatures. In particular, the LPS' glycolipid moiety, the lipid A, typically undergoes several structural modifications comprising desaturation of the acyl chains, reduction in their length and increase in their branching. The investigation of the structure of the lipid A from cold-adapted bacteria is, therefore, crucial to understand the mechanisms underlying the cold adaptation phenomenon. Here we describe the structural elucidation of the highly heterogenous lipid A from three psychrophiles isolated from Terra Nova Bay, Antarctica. All the lipid A structures have been determined by merging data that was attained from the compositional analysis with information from a matrix-assisted laser desorption ionization (MALDI) time of flight (TOF) mass spectrometry (MS) and MS2 investigation. As lipid A is also involved in a structure-dependent elicitation of innate immune response in mammals, the structural characterization of lipid A from such extremophile bacteria is also of great interest from the perspective of drug synthesis and development inspired by natural sources.</t>
  </si>
  <si>
    <t>[Di Lorenzo, Flaviana; Molinaro, Antonio; Silipo, Alba] Univ Napoli Federico II, Dept Chem Sci, Complesso Univ Monte S Angelo,Via Cintia 4, I-80126 Naples, Italy; [Crisafi, Francesca; La Cono, Violetta; Yakimov, Michail M.] CNR, IRBIM Sede Messina, Marine Mol Microbiol &amp; Biotechnol Inst Biol Resou, Spianata San Raineri 86, I-8698122 Messina, Italy</t>
  </si>
  <si>
    <t>University of Naples Federico II; Consiglio Nazionale delle Ricerche (CNR)</t>
  </si>
  <si>
    <t>Di Lorenzo, F; Silipo, A (corresponding author), Univ Napoli Federico II, Dept Chem Sci, Complesso Univ Monte S Angelo,Via Cintia 4, I-80126 Naples, Italy.</t>
  </si>
  <si>
    <t>flaviana.dilorenzo@unina.it; francesca.crisafi@irbim.cnr.it; violetta.lacono@irbim.cnr.it; mikhail.iakimov@cnr.it; molinaro@unina.it; silipo@unina.it</t>
  </si>
  <si>
    <t>La Cono, Violetta/AAY-1416-2020; Crisafi, Francesca/AAB-4467-2021; Silipo, Alba/L-5929-2014; Yakimov, Michail/H-1829-2016; Crisafi, Francesca/P-3660-2018</t>
  </si>
  <si>
    <t>La Cono, Violetta/0000-0002-3306-4938; silipo, alba/0000-0002-5394-6532; Yakimov, Michail/0000-0003-1418-363X; Crisafi, Francesca/0000-0002-4917-893X</t>
  </si>
  <si>
    <t>National Antarctic Research Program (PNRA), Italian Ministry of Education and Research [PNRA16_00089]</t>
  </si>
  <si>
    <t>National Antarctic Research Program (PNRA), Italian Ministry of Education and Research</t>
  </si>
  <si>
    <t>This work was supported by the National Antarctic Research Program (PNRA), Italian Ministry of Education and Research (Research project PNRA16_00089).</t>
  </si>
  <si>
    <t>10.3390/md18120592</t>
  </si>
  <si>
    <t>PK0QZ</t>
  </si>
  <si>
    <t>WOS:000602161300001</t>
  </si>
  <si>
    <t>Gardiner, NB</t>
  </si>
  <si>
    <t>Gardiner, Natasha B.</t>
  </si>
  <si>
    <t>Marine protected areas in the Southern Ocean: Is the Antarctic Treaty System ready to co-exist with a new United Nations instrument for areas beyond national jurisdiction?</t>
  </si>
  <si>
    <t>Antarctic Treaty System; Biodiversity beyond areas of national; jurisdiction; United Nations; Southern Ocean; Marine protected areas; Commission for the Conservation of Antarctic; Marine Living Resources</t>
  </si>
  <si>
    <t>HIGH SEAS; UNDERMINING POSSIBILITIES; ENVIRONMENTAL-PROTECTION; CONSERVATION; MANAGEMENT; CCAMLR; CHALLENGES; LESSONS</t>
  </si>
  <si>
    <t>Marine protected areas (MPAs) are a fundamental tool for effective marine conservation and areas beyond national jurisdiction (ABNJ) prove most challenging for their designation. Largely to blame is the currently fragmented and sector-based governance framework under the United Nations Convention on the Law of the Sea (UNCLOS, 1982). In the face of rapidly deteriorating biodiversity in ABNJ, negotiations are underway for a new international legally binding instrument (ILBI) mandated to promote the conservation and sustainable use of biodiversity beyond national jurisdiction using tools including MPAs. The Southern Ocean, however, is a uniquely governed space, with two MPAs already established in ABNJ under the Antarctic Treaty System (ATS). This article critically examines the status quo for designating MPAs under the ATS and uses the findings to reflect on how the system might interact with the new United Nations ILBI. Despite this critique, complementary synergies between the two instruments are still possible. I therefore hypothesise that Antarctic Treaty Consultative Parties (ATCPs) and members of the Commission for the Conservation of Antarctic Marine Living Resources (CCAMLR) must collectively engage with the ILBI process and across instruments within the ATS, to ensure the future interplay is one of opportunity, not conflict. The article concludes with recommendations to help ATCPs and CCAMLR members more proactively and effectively engage with progressions in the international law of the sea.</t>
  </si>
  <si>
    <t>[Gardiner, Natasha B.] Univ Canterbury, Sch Earth &amp; Environm, Gateway Antarctic, Private Bag 4800, Christchurch 8140, New Zealand</t>
  </si>
  <si>
    <t>University of Canterbury</t>
  </si>
  <si>
    <t>Gardiner, NB (corresponding author), Univ Canterbury, Sch Earth &amp; Environm, Gateway Antarctic, Private Bag 4800, Christchurch 8140, New Zealand.</t>
  </si>
  <si>
    <t>natasha.gardiner@pg.canterbury.ac.nz</t>
  </si>
  <si>
    <t>Gardiner, Natasha/0000-0002-2743-3039</t>
  </si>
  <si>
    <t>University of Canterbury library</t>
  </si>
  <si>
    <t>A huge thank you to Professor Karen Scott for generously giving her time, advice and support during the formation of this article. Thanks to Ceisha Poirot and Dr Neil Gilbert for offering extensive background on the ATS policy processes. Thanks also to Dr Daniela Liggett, Dr Adrian Patterson, James Gardiner, and the anonymous reviewers for their feedback and comments, which enriched the quality of this article. I would also like to thank and acknowledge the University of Canterbury library for providing the funds for open access to this article. Finally, thank you Antarctica New Zealand for allowing me the time to undertake this research.</t>
  </si>
  <si>
    <t>10.1016/j.marpol.2020.104212</t>
  </si>
  <si>
    <t>PE2BL</t>
  </si>
  <si>
    <t>WOS:000598174400019</t>
  </si>
  <si>
    <t>Lauritano, C; Rizzo, C; Lo Giudice, A; Saggiomo, M</t>
  </si>
  <si>
    <t>Lauritano, Chiara; Rizzo, Carmen; Lo Giudice, Angelina; Saggiomo, Maria</t>
  </si>
  <si>
    <t>Physiological and Molecular Responses to Main Environmental Stressors of Microalgae and Bacteria in Polar Marine Environments</t>
  </si>
  <si>
    <t>polar environments; microalgae; bacteria; stressors; stress responses; -omics analyses</t>
  </si>
  <si>
    <t>ANTARCTIC SEA-ICE; BINDING PROTEINS; ROSS SEA; TRANSCRIPTOME ANALYSIS; PSYCHROFLEXUS-TORQUIS; ARCHAEAL COMMUNITIES; BENTHIC DIATOMS; COLD ADAPTATION; CLIMATE-CHANGE; ARCTIC-OCEAN</t>
  </si>
  <si>
    <t>The Arctic and Antarctic regions constitute 14% of the total biosphere. Although they differ in their physiographic characteristics, both are strongly affected by snow and ice cover changes, extreme photoperiods and low temperatures, and are still largely unexplored compared to more accessible sites. This review focuses on microalgae and bacteria from polar marine environments and, in particular, on their physiological and molecular responses to harsh environmental conditions. The data reported in this manuscript show that exposure to cold, increase in CO2 concentration and salinity, high/low light, and/or combination of stressors induce variations in species abundance and distribution for both polar bacteria and microalgae, as well as changes in growth rate and increase in cryoprotective compounds. The use of -omics techniques also allowed to identify specific gene losses and gains which could have contributed to polar environmental adaptation, and metabolic shifts, especially related to lipid metabolism and defence systems, such as the up-regulation of ice binding proteins, chaperones and antioxidant enzymes. However, this review also provides evidence that -omics resources for polar species are still few and several sequences still have unknown functions, highlighting the need to further explore polar environments, the biology and ecology of the inhabiting bacteria and microalgae, and their interactions.</t>
  </si>
  <si>
    <t>[Lauritano, Chiara] Stn Zool Anton Dohrn, Marine Biotechnol Dept, I-80121 Naples, Italy; [Rizzo, Carmen] Stn Zool Anton Dohrn, Marine Biotechnol Dept, Contrada Porticatello 29, I-98167 Messina, Italy; [Lo Giudice, Angelina] Natl Res Council CNR ISP, Inst Polar Sci, Spianata S Raineri 86, I-98122 Messina, Italy; [Saggiomo, Maria] Stn Zool Anton Dohrn, Res Infrastruct Marine Biol Resources Dept, I-80121 Naples, Italy</t>
  </si>
  <si>
    <t>Stazione Zoologica Anton Dohrn di Napoli; Stazione Zoologica Anton Dohrn di Napoli; Consiglio Nazionale delle Ricerche (CNR); Istituto di Scienze Polari (ISP-CNR); Stazione Zoologica Anton Dohrn di Napoli</t>
  </si>
  <si>
    <t>Lauritano, C (corresponding author), Stn Zool Anton Dohrn, Marine Biotechnol Dept, I-80121 Naples, Italy.</t>
  </si>
  <si>
    <t>chiara.lauritano@szn.it; carmen.rizzo@szn.it; angelina.logiudice@cnr.it; maria.saggiomo@szn.it</t>
  </si>
  <si>
    <t>Rizzo, Carmen/S-6285-2019; Rizzo, Carmen/AAA-3075-2022; Lauritano, Chiara/Q-4166-2018</t>
  </si>
  <si>
    <t>Saggiomo, Maria/0000-0001-5794-0050; Rizzo, Carmen/0000-0002-4340-3833; Lauritano, Chiara/0000-0003-4580-9594</t>
  </si>
  <si>
    <t>[PNRA16_00043]; [PNRA16_00020]</t>
  </si>
  <si>
    <t>;</t>
  </si>
  <si>
    <t>This research was supported by PNRA16_00043 and PNRA16_00020.</t>
  </si>
  <si>
    <t>10.3390/microorganisms8121957</t>
  </si>
  <si>
    <t>PK4PI</t>
  </si>
  <si>
    <t>WOS:000602428600001</t>
  </si>
  <si>
    <t>Xiao, F; Li, F; Zhang, SK; Li, JX; Geng, T; Xuan, Y</t>
  </si>
  <si>
    <t>Xiao, Feng; Li, Fei; Zhang, Shengkai; Li, Jiaxing; Geng, Tong; Xuan, Yue</t>
  </si>
  <si>
    <t>Estimating Arctic Sea Ice Thickness with CryoSat-2 Altimetry Data Using the Least Squares Adjustment Method</t>
  </si>
  <si>
    <t>SENSORS</t>
  </si>
  <si>
    <t>Arctic; sea ice thickness; CryoSat-2; seasonal and annual variations; least squares adjustment</t>
  </si>
  <si>
    <t>SNOW DEPTH; ENVISAT RADAR; FREEBOARD; RETRIEVAL; AIRBORNE; VOLUME; VARIABILITY</t>
  </si>
  <si>
    <t>Satellite altimeters can be used to derive long-term and large-scale sea ice thickness changes. Sea ice thickness retrieval is based on measurements of freeboard, and the conversion of freeboard to thickness requires knowledge of the snow depth and snow, sea ice, and sea water densities. However, these parameters are difficult to be observed concurrently with altimeter measurements. The uncertainties in these parameters inevitably cause uncertainties in sea ice thickness estimations. This paper introduces a new method based on least squares adjustment (LSA) to estimate Arctic sea ice thickness with CryoSat-2 measurements. A model between the sea ice freeboard and thickness is established within a 5 km x 5 km grid, and the model coefficients and sea ice thickness are calculated using the LSA method. Based on the newly developed method, we are able to derive estimates of the Arctic sea ice thickness for 2010 through 2019 using CryoSat-2 altimetry data. Spatial and temporal variations of the Arctic sea ice thickness are analyzed, and comparisons between sea ice thickness estimates using the LSA method and three CryoSat-2 sea ice thickness products (Alfred Wegener Institute (AWI), Centre for Polar Observation and Modelling (CPOM), and NASA Goddard Space Flight Centre (GSFC)) are performed for the 2018-2019 Arctic sea ice growth season. The overall differences of sea ice thickness estimated in this study between AWI, CPOM, and GSFC are 0.025 +/- 0.640 m, 0.143 +/- 0.640 m, and -0.274 +/- 0.628 m, respectively. Large differences between the LSA and three products tend to appear in areas covered with thin ice due to the limited accuracy of CryoSat-2 over thin ice. Spatiotemporally coincident Operation IceBridge (OIB) thickness values are also used for validation. Good agreement with a difference of 0.065 +/- 0.187 m is found between our estimates and the OIB results.</t>
  </si>
  <si>
    <t>[Xiao, Feng; Li, Fei; Zhang, Shengkai; Li, Jiaxing; Geng, Tong; Xuan, Yue] Wuhan Univ, Chinese Antarctic Ctr Surveying &amp; Mapping, 129 Luoyu Rd, Wuhan 430079, Peoples R China</t>
  </si>
  <si>
    <t>Li, F (corresponding author), Wuhan Univ, Chinese Antarctic Ctr Surveying &amp; Mapping, 129 Luoyu Rd, Wuhan 430079, Peoples R China.</t>
  </si>
  <si>
    <t>shaw89@whu.edu.cn; fli@whu.edu.cn; zskai@whu.edu.cn; listening@whu.edu.cn; t.geng@whu.edu.cn; xuanyue@whu.edu.cn</t>
  </si>
  <si>
    <t>Zhang, Shengkai/0000-0001-7436-2504</t>
  </si>
  <si>
    <t>National Key Research and Development Program of China [2017YFA0603104]; Natural Science Foundation of China [41730102, 41531069]</t>
  </si>
  <si>
    <t>National Key Research and Development Program of China; Natural Science Foundation of China(National Natural Science Foundation of China (NSFC))</t>
  </si>
  <si>
    <t>This research was funded by the National Key Research and Development Program of China, grant number 2017YFA0603104 and the Natural Science Foundation of China, grant numbers 41730102, 41531069.</t>
  </si>
  <si>
    <t>1424-8220</t>
  </si>
  <si>
    <t>SENSORS-BASEL</t>
  </si>
  <si>
    <t>Sensors</t>
  </si>
  <si>
    <t>10.3390/s20247011</t>
  </si>
  <si>
    <t>Chemistry, Analytical; Engineering, Electrical &amp; Electronic; Instruments &amp; Instrumentation</t>
  </si>
  <si>
    <t>Chemistry; Engineering; Instruments &amp; Instrumentation</t>
  </si>
  <si>
    <t>PL7UX</t>
  </si>
  <si>
    <t>WOS:000603323000001</t>
  </si>
  <si>
    <t>García-Cárdenas, FJ; Núñez-Flores, M; López-González, PJ</t>
  </si>
  <si>
    <t>Garcia-Cardenas, Francisco J.; Nunez-Flores, Monica; Lopez-Gonzalez, Pablo J.</t>
  </si>
  <si>
    <t>Molecular phylogeny and divergence time estimates in pennatulaceans (Cnidaria: Octocorallia: Pennatulacea)</t>
  </si>
  <si>
    <t>SCIENTIA MARINA</t>
  </si>
  <si>
    <t>phylogeny; mtMutS; Cox1; 28S; Pennatulacea; sea pen; divergence time</t>
  </si>
  <si>
    <t>DEEP-SEA OCTOCORALS; MITOCHONDRIAL GENOME; BRYOZOAN PYWACKIA; PHYLUM CNIDARIA; WATER CORALS; ANTHOZOA; GENUS; EVOLUTION; COELENTERATA; SYSTEMATICS</t>
  </si>
  <si>
    <t>Pennatulaceans are an important component of benthic marine communities usually related to soft bottoms. Despite their important ecological role, as yet little is known about their origin and divergence time. The first attempts to establish phylogenetic relationships among genera date from the early 20th century, when only morphological characters were available. In the last decade, phylogenetic analyses based on mitochondrial DNA sequences from a selected number of species have proposed a different hypothetical ancestor for this group, but their intergeneric relationships remain obscure. The present study is based on a combination of mitochondrial and nuclear markers (mtMutS, Cox/ and 28S rDNA), adding new molecular information about the phylogenetic relationships among the pennatulacean genera, including 38 new sequences belonging to 13 different species. Some of the phylogenetic relationships inferred in the present study question the current classification of sea pens based on morphology (at different taxonomic levels), clearly indicating that the two main groups Sessilifiorae and Subsellifiorae, some of their main families (e.g. Pennatulidae, Umbellulidae, Virgulariidae) and some genera (e.g. Umbellula, Veretillum) are non-monophyletic. In addition, the veretfllids, traditionally considered the most primitive pennatulaceans, are not shown as the earliest-diverging taxon. Moreover, an analysis of divergence time performed here suggested that the origin of the pennatulaceans dates from the Lower Cretaceous (Berriasian, similar to 144 Ma), in agreement with their sparsely known fossil record, while the initial divergence of most extant genera occurred in the Oligocene and Miocene times.</t>
  </si>
  <si>
    <t>[Garcia-Cardenas, Francisco J.; Nunez-Flores, Monica; Lopez-Gonzalez, Pablo J.] Univ Seville, Fac Biol, Dept Zool, Biodiversidad &amp; Ecol Acuat, Reina Mercedes 6, Seville 41012, Spain; [Nunez-Flores, Monica] Univ Concepcion, Programa Doctorado Sistemat &amp; Biodiversidad, Fac Ciencias Nat &amp; Oceanog, Concepcion, Chile</t>
  </si>
  <si>
    <t>University of Sevilla; Universidad de Concepcion</t>
  </si>
  <si>
    <t>García-Cárdenas, FJ (corresponding author), Univ Seville, Fac Biol, Dept Zool, Biodiversidad &amp; Ecol Acuat, Reina Mercedes 6, Seville 41012, Spain.</t>
  </si>
  <si>
    <t>frangarca@us.es; nuez.monica@gmail.com; pjlopez@us.es</t>
  </si>
  <si>
    <t>Nunez Flores, Monica/0000-0002-9692-1909; Garcia Cardenas, Francisco Jose/0000-0002-1503-9552; Lopez Gonzalez, Pablo Jose/0000-0002-7348-6270</t>
  </si>
  <si>
    <t>Spanish Ministry of Economy, Industry and Competitiveness [CTM201783920-P]; LAMPOS, ANT XIX/5 [REN2001-4929-E/ANT]; CLIMANT, ANT XXIII/8 [POL2006-06399/CGL]; INDE-MARES-Cap de Creus [LIFE07/NAT/E/000732 LIFE+INDEMARES]; INDEMARES-Alboran [LIFE07/NAT/E/000732 LIFE+INDEMARES]; INDEMARES-Chica [LIFE07/NAT/E/000732 LIFE+INDEMARES]; [CONICYT-PCHA/Doctorado Nacional/2017-21170438]</t>
  </si>
  <si>
    <t>Spanish Ministry of Economy, Industry and Competitiveness(Spanish Government); LAMPOS, ANT XIX/5; CLIMANT, ANT XXIII/8; INDE-MARES-Cap de Creus; INDEMARES-Alboran; INDEMARES-Chica;</t>
  </si>
  <si>
    <t>Part of this study was included in an MSc thesis for the master's degree in Evolutionary Biology at the University of Seville. We would like to thank numerous colleagues and cruise leaders who have worked on the campaigns during which the material examined here was obtained: BIACORES, GUINEA BISSAU, BENGUELA XV, ANT XVII/3, BIOICE, ANT XIX/5, BIOROSS, ANT XXIII/8, ARCO, INDEMARES I (Menorca Channel-Cap de Creus), the Scottia cruises, INDEMARES-Alboran and INDEMARES-Chica. On these cruises, our special thanks are addressed to Francesc Pages, Wolf Arntz, Josep-Maria Gili, Jim Drewery, Gudmundur Gudmundsson, Gudmundur Vidir, Jorundur Svavarsson, Stefano Schiaparelli, Annenina Lortz, Julian Gutt, Enrique Isla, Helmut Zibrowius, Victor Diaz-del-Rio, Jose Luis Rueda, Serge Gofas, Angel Luque and Cesar Megina. This research was partially supported by the Spanish projects REN2001-4929-E/ANT (LAMPOS, ANT XIX/5), POL2006-06399/CGL (CLIMANT, ANT XXIII/8), LIFE07/NAT/E/000732 LIFE+INDEMARES (INDE-MARES-Cap de Creus, INDEMARES-Alboran and INDEMARES-Chica) and CONICYT-PCHA/Doctorado Nacional/2017-21170438 (NFM). The study of the Antarctic specimens and the final conception of this paper were carried out under the project CTM201783920-P (DIVERSICORAL) funded by the Spanish Ministry of Economy, Industry and Competitiveness. The authors would also like to thank R. Santos Gally (Department of Plant Biology and Ecology, University of Seville) and G. Gutierrez Pozo (Department of Genetics, University of Seville) for their assistance during the molecular analyses. Mr Tony Krupa is thanked for reviewing the English version.</t>
  </si>
  <si>
    <t>CONSEJO SUPERIOR INVESTIGACIONES CIENTIFICAS-CSIC</t>
  </si>
  <si>
    <t>MADRID</t>
  </si>
  <si>
    <t>VITRUVIO 8, 28006 MADRID, SPAIN</t>
  </si>
  <si>
    <t>0214-8358</t>
  </si>
  <si>
    <t>1886-8134</t>
  </si>
  <si>
    <t>SCI MAR</t>
  </si>
  <si>
    <t>Sci. Mar.</t>
  </si>
  <si>
    <t>10.3989/scimar.05067.28A</t>
  </si>
  <si>
    <t>PH5HS</t>
  </si>
  <si>
    <t>WOS:000600444100001</t>
  </si>
  <si>
    <t>Li, B; Wang, ZM; An, JC; Zhang, BJ; Geng, H; Ma, YY; Li, MC; Qian, YD</t>
  </si>
  <si>
    <t>Li, Bing; Wang, Zemin; An, Jiachun; Zhang, Baojun; Geng, Hong; Ma, Yuanyuan; Li, Mingci; Qian, Yide</t>
  </si>
  <si>
    <t>Ionospheric Phase Compensation for InSAR Measurements Based on the Faraday Rotation Inversion Method</t>
  </si>
  <si>
    <t>radar interferometry; ionospheric distortion; Faraday rotation; compensation</t>
  </si>
  <si>
    <t>The ionospheric error can significantly affect the synthetic aperture radar (SAR) signals, particularly in the case of L band and lower frequency SAR systems. The ionospheric distortions are mixed with terrain and ground deformation signals, lowering the precision of the interferometric measurements. Moreover, it is often difficult to detect the small-scale ionospheric structure due to its rapid changes and may have more influence on ionospheric phase compensation for InSAR measurements. In this paper, we present a Faraday rotation (FR) inversion method and corresponding procedure to compensate the ionospheric error for SAR interferograms and to detect the variations of small-scale ionospheric disturbances. This method retrieves the absolute total electron content (TEC) based on the FR estimation and corrects the ionospheric error for synthetic aperture radar interferometry (InSAR) measurements by transforming the differential TEC into the ionospheric phase. In two selected study cases, located in high latitude and equatorial regions where ionospheric disturbances occur frequently, we test the method using the Phased Array L-band Synthetic Aperture Radar (PALSAR) full-polarimetric SAR images. Our results show that the proposed procedure can effectively compensate the ionospheric phase. In order to validate the results, we present the results of ionospheric phase compensation based on the split-spectrum method as a comparison to the proposed method. To analyze the ability of our proposed method in detecting small-scale ionospheric disturbances, TEC derived from FR estimation are also compared with those derived from the global ionosphere maps (GIM). Our research provides a robust choice for the correction of ionospheric error in SAR interferograms. It also provides a powerful tool to measure small-scale ionospheric structure.</t>
  </si>
  <si>
    <t>[Li, Bing; Wang, Zemin; An, Jiachun; Zhang, Baojun; Ma, Yuanyuan; Li, Mingci; Qian, Yide] Wuhan Univ, Chinese Antarctic Ctr Surveying &amp; Mapping, 129 Luoyu Rd, Wuhan 430079, Peoples R China; [Zhang, Baojun] Wuhan Univ, State Key Lab Informat Engn Surveying Mapping &amp; R, Wuhan 430079, Peoples R China; [Geng, Hong] Wuhan Univ, Sch Resource &amp; Environm Sci, Wuhan 430079, Peoples R China</t>
  </si>
  <si>
    <t>Wuhan University; Wuhan University; Wuhan University</t>
  </si>
  <si>
    <t>An, JC (corresponding author), Wuhan Univ, Chinese Antarctic Ctr Surveying &amp; Mapping, 129 Luoyu Rd, Wuhan 430079, Peoples R China.</t>
  </si>
  <si>
    <t>binglee@whu.edu.cn; zmwang@whu.edu.cn; jcan@whu.edu.cn; bjzhang@whu.edu.cn; genghong@whu.edu.cn; mayuanyuan123@whu.edu.cn; mingcich@163.com; qianyide@whu.edu.cn</t>
  </si>
  <si>
    <t>li, bing/GWQ-9617-2022; Li, Ye/JBS-2949-2023; Li, bo/IWL-9318-2023; Li, Kun/JLL-6505-2023</t>
  </si>
  <si>
    <t>Li, Kun/0000-0002-3638-2974; Zhang, Baojun/0000-0001-5438-8723; Qian, Yide/0000-0001-6916-8336; An, Jiachun/0000-0002-3106-0714</t>
  </si>
  <si>
    <t>National Natural Science Foundation of China [41776195, 41941010]</t>
  </si>
  <si>
    <t>This research was funded by the National Natural Science Foundation of China, grant numbers 41776195 and 41941010.</t>
  </si>
  <si>
    <t>10.3390/s20236877</t>
  </si>
  <si>
    <t>PD8LN</t>
  </si>
  <si>
    <t>WOS:000597929600001</t>
  </si>
  <si>
    <t>McDowell, IE; Albert, MR; Lieblappen, SA; Keegan, KM</t>
  </si>
  <si>
    <t>McDowell, Ian E.; Albert, Mary R.; Lieblappen, Stephanie A.; Keegan, Kaitlin M.</t>
  </si>
  <si>
    <t>Local Weather Conditions Create Structural Differences between Shallow Firn Columns at Summit, Greenland and WAIS Divide, Antarctica</t>
  </si>
  <si>
    <t>firn density; firn permeability; polar meteorology; Greenland ice sheet; West Antarctic ice sheet</t>
  </si>
  <si>
    <t>DIGITAL ELEVATION MODEL; ICE-SHEET; AIR; PERMEABILITY; CORE; DENSIFICATION; RECORD; DRIVEN; SNOW</t>
  </si>
  <si>
    <t>Understanding how physical characteristics of polar firn vary with depth assists in interpreting paleoclimate records and predicting meltwater infiltration and storage in the firn column. Spatial heterogeneities in firn structure arise from variable surface climate conditions that create differences in firn grain growth and packing arrangements. Commonly, estimates of how these properties change with depth are made by modeling profiles using long-term estimates of air temperature and accumulation rate. Here, we compare surface meteorology and firn density and permeability in the depth range of 3.5-11 m of the firn column from cores collected at Summit, Greenland and WAIS Divide, Antarctica, two sites with the same average accumulation rate and mean annual air temperature. We show that firn at WAIS Divide is consistently denser than firn at Summit. However, the difference in bulk permeability of the two profiles is less statistically significant. We argue that differences in local weather conditions, such as mean summer temperatures, daily temperature variations, and yearly wind speeds, create the density discrepancies. Our results are consistent with previous results showing density is not a good indicator of firn permeability within the shallow firn column. Future modeling efforts should account for these weather variables when estimating firn structure with depth.</t>
  </si>
  <si>
    <t>[McDowell, Ian E.; Keegan, Kaitlin M.] Univ Nevada, Grad Program Hydrol Sci, 1664 N Virginia St, Reno, NV 89557 USA; [McDowell, Ian E.; Keegan, Kaitlin M.] Univ Nevada, Dept Geol Sci &amp; Engn, 1664 N Virginia St, Reno, NV 89557 USA; [Albert, Mary R.; Lieblappen, Stephanie A.] Dartmouth Coll, Thayer Sch Engn, 14 Engn Dr, Hanover, NH 03755 USA</t>
  </si>
  <si>
    <t>Nevada System of Higher Education (NSHE); University of Nevada Reno; Nevada System of Higher Education (NSHE); University of Nevada Reno; Dartmouth College</t>
  </si>
  <si>
    <t>McDowell, IE (corresponding author), Univ Nevada, Grad Program Hydrol Sci, 1664 N Virginia St, Reno, NV 89557 USA.;McDowell, IE (corresponding author), Univ Nevada, Dept Geol Sci &amp; Engn, 1664 N Virginia St, Reno, NV 89557 USA.</t>
  </si>
  <si>
    <t>ian.mcdowell@nevada.unr.edu; Mary.R.Albert@dartmouth.edu; steph.lieblappen@gmail.com; kkeegan@unr.edu</t>
  </si>
  <si>
    <t>McDowell, Ian/AAX-4666-2021</t>
  </si>
  <si>
    <t>McDowell, Ian/0000-0003-1285-724X; Keegan, Kaitlin/0000-0002-1241-2681</t>
  </si>
  <si>
    <t>NSF Office of Polar Programs [0944078, 0520445, 1443341]; Directorate For Geosciences; Office of Polar Programs (OPP) [1443341, 0944078, 0520445] Funding Source: National Science Foundation</t>
  </si>
  <si>
    <t>NSF Office of Polar Programs(National Science Foundation (NSF)); Directorate For Geosciences; Office of Polar Programs (OPP)(National Science Foundation (NSF)NSF - Directorate for Geosciences (GEO))</t>
  </si>
  <si>
    <t>This research was funded by NSF Office of Polar Programs, grant numbers 0944078, 0520445, and 1443341.</t>
  </si>
  <si>
    <t>10.3390/atmos11121370</t>
  </si>
  <si>
    <t>PJ3QY</t>
  </si>
  <si>
    <t>WOS:000601688000001</t>
  </si>
  <si>
    <t>Bordiec, M; Carpy, S; Bourgeois, O; Herny, C; Massé, M; Perret, L; Claudin, P; Pochat, S; Douté, S</t>
  </si>
  <si>
    <t>Bordiec, M.; Carpy, S.; Bourgeois, O.; Herny, C.; Masse, M.; Perret, L.; Claudin, P.; Pochat, S.; Doute, S.</t>
  </si>
  <si>
    <t>Sublimation waves: Geomorphic markers of interactions between icy planetary surfaces and winds</t>
  </si>
  <si>
    <t>EARTH-SCIENCE REVIEWS</t>
  </si>
  <si>
    <t>Sublimation; Planetary surfaces; Bedforms; Instability; Scaling laws; Wind; Ice sheets</t>
  </si>
  <si>
    <t>NORTH POLAR-CAP; DUNE-FORMING WINDS; WATER ICE; AEOLIAN PROCESSES; ENERGY-BALANCE; EISRIESENWELT CAVE; LAYERED DEPOSITS; MARTIAN SURFACE; MARS; RIPPLES</t>
  </si>
  <si>
    <t>Sublimation waves are periodic, linear and transverse bedforms that grow by sublimation of icy substrates under turbulent winds. They occur in different environments of the Earth and other planets, where the climate is favorable to sublimation. Their morphological and kinematic characteristics (wavelength, migration velocity, characteristic time of formation) depend on the environmental conditions in which they develop (atmosphere viscosity, wind speed, sublimation rate). To highlight these relations, we designed a theoretical model for their formation, based on models previously designed for dissolution bedforms. From a linear stability analysis of the model, we derived a dispersion relation and three scaling laws. These are validated by comparison with measurements available for two natural terrestrial examples (Blue Ice Areas of the Antarctic ice sheets and ice caves) and with new measurements in a laboratory experiment. They are applied to linear bedforms, of hitherto unknown origin, that we identified on the Martian North Polar Cap. We thus demonstrate that sublimation waves are convenient geomorphic markers to constrain surface compositions, atmospheric properties, climates, and winds on terrestrial ice sheets and other icy planetary surfaces.</t>
  </si>
  <si>
    <t>[Bordiec, M.; Carpy, S.; Bourgeois, O.; Masse, M.; Pochat, S.] Univ Angers, Univ Nantes, CNRS, Lab Planetol &amp; Geodynam,UMR 6112, Nantes, France; [Herny, C.] Univ Bern, Phys Inst, Bern, Switzerland; [Perret, L.] CNRS, Cent Nantes, Lab Rech Hydrodynam Energet &amp; Environm Atmospher, UMR 6598, Nantes, France; [Claudin, P.] Univ Paris 06, Univ Paris Diderot, ESPCI, Lab Phys &amp; Mecan Milieux Heterogenes,CNRS,UMR 763, Paris, France; [Doute, S.] Univ Grenoble Alpes, CNRS, Inst Planetol &amp; Astrophys Grenoble IPAG, UMR 5274, Grenoble, France</t>
  </si>
  <si>
    <t>Nantes Universite; Universite d'Angers; Centre National de la Recherche Scientifique (CNRS); CNRS - National Institute for Earth Sciences &amp; Astronomy (INSU); University of Bern; Nantes Universite; Ecole Centrale de Nantes; Centre National de la Recherche Scientifique (CNRS); CNRS - Institute for Engineering &amp; Systems Sciences (INSIS); Sorbonne Universite; Universite PSL; Ecole Superieure de Physique et de Chimie Industrielles de la Ville de Paris (ESPCI); Universite Paris Cite; Centre National de la Recherche Scientifique (CNRS); Institut de Planetologie et d'Astrophysique de Grenoble (IPAG); Communaute Universite Grenoble Alpes; Universite Grenoble Alpes (UGA); Centre National de la Recherche Scientifique (CNRS); CNRS - National Institute for Earth Sciences &amp; Astronomy (INSU)</t>
  </si>
  <si>
    <t>Bordiec, M (corresponding author), Univ Angers, Univ Nantes, CNRS, Lab Planetol &amp; Geodynam,UMR 6112, Nantes, France.</t>
  </si>
  <si>
    <t>mai.bordiec@univ-nantes.fr</t>
  </si>
  <si>
    <t>Perret, Laurent/JOZ-4010-2023</t>
  </si>
  <si>
    <t>Perret, Laurent/0000-0002-3291-5067; carpy, sabrina/0000-0002-2705-6974</t>
  </si>
  <si>
    <t>Centre National de la Recherche Scientifique (CNRS)/INSU; University of Nantes; CNRS; Region Pays de la Loire, through the GeoPlaNet project; Programme National de Planetologie (PNP) through the Modelisation de la sublimation comme agent geomorphologique a la surface des planetes projec</t>
  </si>
  <si>
    <t>Centre National de la Recherche Scientifique (CNRS)/INSU(Centre National de la Recherche Scientifique (CNRS)); University of Nantes; CNRS(Centre National de la Recherche Scientifique (CNRS)); Region Pays de la Loire, through the GeoPlaNet project; Programme National de Planetologie (PNP) through the Modelisation de la sublimation comme agent geomorphologique a la surface des planetes projec</t>
  </si>
  <si>
    <t>We acknowledge financial support from the Centre National de la Recherche Scientifique (CNRS)/INSU, through the TelluS Program Caracterisation et modelisation des formes de dissolution periodiques sur les parois calcaires soumises a des ecoulements d'eau project and through the MI InFlniti Effets lies au changement de phase sur la stabilite et la forme des interfaces glacees en presence dun ecoulement atmospherique turbulent project. We also acknowledge financial support from the University of Nantes, the CNRS and Region Pays de la Loire, through the GeoPlaNet project and the Programme National de Planetologie (PNP) through the Modelisation de la sublimation comme agent geomorphologique a la surface des planetes project.</t>
  </si>
  <si>
    <t>0012-8252</t>
  </si>
  <si>
    <t>1872-6828</t>
  </si>
  <si>
    <t>EARTH-SCI REV</t>
  </si>
  <si>
    <t>Earth-Sci. Rev.</t>
  </si>
  <si>
    <t>10.1016.j.earscirev.2020.103350</t>
  </si>
  <si>
    <t>PG6JW</t>
  </si>
  <si>
    <t>WOS:000599840700001</t>
  </si>
  <si>
    <t>Neder, C; Sahade, R; Abele, D; Pesch, R; Jerosch, K</t>
  </si>
  <si>
    <t>Neder, Camila; Sahade, Ricardo; Abele, Doris; Pesch, Roland; Jerosch, Kerstin</t>
  </si>
  <si>
    <t>Default versus Configured-Geostatistical Modeling of Suspended Particulate Matter in Potter Cove, West Antarctic Peninsula</t>
  </si>
  <si>
    <t>FLUIDS</t>
  </si>
  <si>
    <t>geostatistical interpolation; neighborhood analysis; Kriging; Bayesian; glacial run-off; sediment plume</t>
  </si>
  <si>
    <t>KING GEORGE ISLAND; SURFICIAL SEDIMENT TYPES; INTERPOLATION TECHNIQUES; SPATIAL VARIABILITY; GLACIER RETREAT; EROSION; ASCIDIANS; MELTWATER; DYNAMICS; PATTERNS</t>
  </si>
  <si>
    <t>The glacier retreat observed during the last decades at Potter Cove (PC) causes an increasing amount of suspended particulate matter (SPM) in the water column, which has a high impact on sessile filter feeder' species at PC located at the West Antarctic Peninsula. SPM presents a highly-fluctuating dynamic pattern on a daily, monthly, seasonal, and interannual basis. Geostatistical interpolation techniques are widely used by default to generate reliable spatial information and thereby to improve the ecological understanding of environmental variables, which is often fundamental for guiding decision-makers and scientists. In this study, we compared the results of default and configured settings of three geostatistical algorithms (Simple Kriging, Ordinary Kriging, and Empirical Bayesian) and developed a performance index. In order to interpolate SPM data from the summer season 2010/2011 at PC, the best performance was obtained with Empirical Bayesian Kriging (standard mean = -0.001 and root mean square standardized = 0.995). It showed an excellent performance (performance index = 0.004), improving both evaluation parameters when radio and neighborhood were configured. About 69% of the models showed improved standard means when configured compared to the default settings following a here proposed guideline.</t>
  </si>
  <si>
    <t>[Neder, Camila; Sahade, Ricardo] Univ Nacl Cordoba, Fac Ciencias Exactas Fis &amp; Nat, Ecosistemas Marinos &amp; Polares, Av Velez Sarsfield 299, RA-5000 Cordoba, Argentina; [Neder, Camila; Sahade, Ricardo] Consejo Nacl Invest Cient &amp; Tecn CONICET, Inst Diversidad Ecol &amp; Anim IDEA, Av Velez Sarsfield 299, RA-5000 Cordoba, Argentina; [Neder, Camila; Abele, Doris; Jerosch, Kerstin] Alfred Wegener Inst Polar &amp; Marine Res, Handelshafen 12, D-27570 Bremerhaven, Germany; [Pesch, Roland] Jade Univ Appl Sci, Inst Appl Photogrammetry &amp; Geoinformat, Ofener Str 16, D-26121 Oldenburg, Germany</t>
  </si>
  <si>
    <t>National University of Cordoba; Consejo Nacional de Investigaciones Cientificas y Tecnicas (CONICET); Helmholtz Association; Alfred Wegener Institute, Helmholtz Centre for Polar &amp; Marine Research; Jade University of Applied Sciences</t>
  </si>
  <si>
    <t>Neder, C (corresponding author), Univ Nacl Cordoba, Fac Ciencias Exactas Fis &amp; Nat, Ecosistemas Marinos &amp; Polares, Av Velez Sarsfield 299, RA-5000 Cordoba, Argentina.;Neder, C (corresponding author), Consejo Nacl Invest Cient &amp; Tecn CONICET, Inst Diversidad Ecol &amp; Anim IDEA, Av Velez Sarsfield 299, RA-5000 Cordoba, Argentina.;Neder, C; Jerosch, K (corresponding author), Alfred Wegener Inst Polar &amp; Marine Res, Handelshafen 12, D-27570 Bremerhaven, Germany.</t>
  </si>
  <si>
    <t>cami.n37@gmail.com; rsahade@unc.edu.ar; Doris.Abele@awi.de; roland.pesch@jade-hs.de; Kerstin.Jerosch@awi.de</t>
  </si>
  <si>
    <t>Jerosch, Kerstin/ABC-8913-2020</t>
  </si>
  <si>
    <t>Jerosch, Kerstin/0000-0003-0728-2154; Neder, Camila/0000-0001-9978-9053; Abele, Doris/0000-0002-5766-5017</t>
  </si>
  <si>
    <t>EU-Project IMCONet (FP7 IRSES) [319718]; European Union's Horizon 2020 research and innovation programme under the Marie Sklodowska-Curie grant [872690]; AlfredWegener Institute (AWI); Consejo Nacional de Investigaciones Cientificas y Tecnicas (CONICET) [4252/116]; ALEARG'18 by Deutscher Akademischer Austauschdienst (DAAD) [91700957]; Ministerio de Educacion Argentina; Marie Curie Actions (MSCA) [872690] Funding Source: Marie Curie Actions (MSCA)</t>
  </si>
  <si>
    <t>EU-Project IMCONet (FP7 IRSES); European Union's Horizon 2020 research and innovation programme under the Marie Sklodowska-Curie grant(Marie Curie Actions); AlfredWegener Institute (AWI); Consejo Nacional de Investigaciones Cientificas y Tecnicas (CONICET)(Consejo Nacional de Investigaciones Cientificas y Tecnicas (CONICET)); ALEARG'18 by Deutscher Akademischer Austauschdienst (DAAD)(Deutscher Akademischer Austausch Dienst (DAAD)); Ministerio de Educacion Argentina; Marie Curie Actions (MSCA)(Marie Curie Actions)</t>
  </si>
  <si>
    <t>Ministerio de Educacion Argentina This research was funded by EU-Project IMCONet (FP7 IRSES, action no. 319718) and the European Union's Horizon 2020 research and innovation programme under the Marie Sklodowska-Curie grant agreement No 872690, AlfredWegener Institute (AWI), Consejo Nacional de Investigaciones Cientificas y Tecnicas (CONICET-Res. No 4252/116), ALEARG'18 (ref Nffi 91700957) by Deutscher Akademischer Austauschdienst (DAAD) and Ministerio de Educacion Argentina.</t>
  </si>
  <si>
    <t>2311-5521</t>
  </si>
  <si>
    <t>Fluids</t>
  </si>
  <si>
    <t>10.3390/fluids5040235</t>
  </si>
  <si>
    <t>Mechanics; Physics, Fluids &amp; Plasmas</t>
  </si>
  <si>
    <t>Mechanics; Physics</t>
  </si>
  <si>
    <t>PJ1MK</t>
  </si>
  <si>
    <t>WOS:000601541000001</t>
  </si>
  <si>
    <t>Almendros, J; Wilcock, W; Soule, D; Teixidó, T; Vizcaíno, L; Ardanaz, O; Granja-Bruña, JL; Martin-Jiménez, D; Yuan, X; Heit, B; Schmidt-Aursch, MC; Geissler, W; Dziak, R; Carrión, F; Ontiveros, A; Abella, R; Carmona, E; Agüí-Fernández, JF; Sánchez, N; Serrano, I; Davoli, R; Krauss, Z; Kidiwela, M; Schmahl, L</t>
  </si>
  <si>
    <t>Almendros, J.; Wilcock, W.; Soule, D.; Teixido, T.; Vizcaino, L.; Ardanaz, O.; Granja-Bruna, J. L.; Martin-Jimenez, D.; Yuan, X.; Heit, B.; Schmidt-Aursch, M. C.; Geissler, W.; Dziak, R.; Carrion, F.; Ontiveros, A.; Abella, R.; Carmona, E.; Agui-Fernandez, J. F.; Sanchez, N.; Serrano, I.; Davoli, R.; Krauss, Z.; Kidiwela, M.; Schmahl, L.</t>
  </si>
  <si>
    <t>BRAVOSEIS: Geophysical investigation of rifting and volcanism in the Bransfield strait, Antarctica</t>
  </si>
  <si>
    <t>Bransfield strait; Antarctica; Orca volcano; Humpback volcano; Amphibious seismic network; Marine geophysics; Back-arc basin; Submarine volcano</t>
  </si>
  <si>
    <t>SOUTH SHETLAND ISLANDS; WAVE VELOCITY STRUCTURE; DECEPTION ISLAND; SEISMIC STRUCTURE; WEST ANTARCTICA; BASIN; EVOLUTION; PENINSULA; GRAVITY; PLATE</t>
  </si>
  <si>
    <t>The Bransfield Basin is a back-arc basin located in Western Antarctica between the South Shetland Islands and Antarctic Peninsula. Although the subduction of the Phoenix plate under the South Shetland block has ceased, extension continues through a combination of slab rollback and transtensional motions between the Scotia and Antarctic plates. This process has created a continental rift in the basin, interleaved with volcanic islands and seamounts, which may be near the transition from rifting to seafloor spreading. In the framework of the BRAVOSEIS project (2017-2020), we deployed a dense amphibious seismic network in the Bransfield Strait comprising 15 land stations and 24 ocean-bottom seismometers, as well as a network of 6 moored hydrophones; and acquired marine geophysics data including multibeam bathymetry, sub-bottom profiler, gravity &amp; magnetics, multi-channel seismics, and seismic refraction data. The experiment has collected a unique, high quality, and multifaceted geophysical data set in the Central Bransfield Basin, with a special focus on Orca and Humpback seamounts. Preliminary results confirm that the Bransfield region has slab-related intermediate depth seismicity, with earthquake characteristics suggesting distributed extension across the rift. Gravity and magnetic highs delineate a segmented rift with along-axis variations that are consistent with increased accumulated strain to the northeast. Orca volcano shows evidences of an active caldera and magma accumulation at shallow depths, while Humpback volcano has evolved past the caldera stage and is currently dominated by rifting structures. These differences suggest that volcanic evolution is influenced by the position along the rift. Although a lot of analysis remains, these results provide useful constraints on the structure and dynamics of the Bransfield rift and associated volcanoes.</t>
  </si>
  <si>
    <t>[Almendros, J.; Teixido, T.; Vizcaino, L.; Ardanaz, O.; Martin-Jimenez, D.; Carrion, F.; Carmona, E.; Agui-Fernandez, J. F.; Serrano, I.; Davoli, R.] Univ Granada, Granada, Spain; [Wilcock, W.; Krauss, Z.; Kidiwela, M.] Univ Washington, Seattle, WA 98195 USA; [Soule, D.; Schmahl, L.] CUNY Queens Coll, Flushing, NY 11367 USA; [Granja-Bruna, J. L.] Univ Complutense Madrid, Madrid, Spain; [Yuan, X.; Heit, B.] GFZ Potsdam, Potsdam, Germany; [Schmidt-Aursch, M. C.; Geissler, W.] Helmholtz Ctr Polar &amp; Marine Res, Alfred Wegener Inst, Bremerhaven, Germany; [Dziak, R.] NOAA, Washington, DC USA; [Ontiveros, A.] Univ Jaen, Jaen, Spain; [Abella, R.] Natl Geog Inst, Madrid, Spain; [Sanchez, N.] Spanish Geol Survey, Madrid, Spain</t>
  </si>
  <si>
    <t>University of Granada; University of Washington; University of Washington Seattle; City University of New York (CUNY) System; Queens College NY (CUNY); Complutense University of Madrid; Helmholtz Association; Helmholtz-Center Potsdam GFZ German Research Center for Geosciences; Helmholtz Association; Alfred Wegener Institute, Helmholtz Centre for Polar &amp; Marine Research; National Oceanic Atmospheric Admin (NOAA) - USA; Universidad de Jaen</t>
  </si>
  <si>
    <t>Almendros, J (corresponding author), Univ Granada, Andalusian Inst Geophys, C Prof Clavera 12, Granada 18071, Spain.</t>
  </si>
  <si>
    <t>vikingo@ugr.es</t>
  </si>
  <si>
    <t>Almendros, Javier/M-2468-2014; Sanchez, Nieves/G-4083-2016; Yuan, Xiaohui/G-5149-2010; Heit, Ben/AAQ-2354-2021; Ontiveros Ortega, Alfonso/O-8438-2016; GRANJA-BRUNA, JOSE-LUIS/S-5675-2017</t>
  </si>
  <si>
    <t>Almendros, Javier/0000-0001-5936-6160; Sanchez, Nieves/0000-0001-9239-5254; Yuan, Xiaohui/0000-0002-2891-1354; Heit, Ben/0000-0001-7728-5137; Geissler, Wolfram/0000-0001-6807-555X; Kidiwela, Maleen Jayanath Wijeratna/0000-0002-3040-5469; Ontiveros Ortega, Alfonso/0000-0003-1394-883X; Wilcock, William/0000-0001-7224-7246; Schmidt-Aursch, Mechita/0000-0002-2393-4514; Agui Fernandez, Jose Feliciano/0000-0001-6991-7616; GRANJA-BRUNA, JOSE-LUIS/0000-0001-8741-5388</t>
  </si>
  <si>
    <t>Spanish Ministry of Science [CTM201677315-R]; National Science Foundation [ANT-17744651, ANT-1744581]; Alfred Wegener Institute</t>
  </si>
  <si>
    <t>Spanish Ministry of Science(Spanish Government); National Science Foundation(National Science Foundation (NSF)); Alfred Wegener Institute</t>
  </si>
  <si>
    <t>This work has been funded by project BRAVOSEIS (CTM201677315-R) of the Spanish Ministry of Science. Additional funds came through the National Science Foundation (ANT-17744651 and ANT-1744581) and the Alfred Wegener Institute. We thank all participants in the BRAVOSEIS 2018, 2019, and 2020 cruises, with a special acknowledgement to Capt. J. E. Regodon and his crew at R/V Hesperides; Capt. J. C. Hernandez and his crew at Sarmiento de Gamboa; M. A. Ojeda, E. Gonzalez, and all the UTM staff involved in the planning and realization of the surveys. They all spared no effort to help us reach our scientific objectives. We also thank the Spanish Polar Committee and institutions involved in the management of the Spanish Antarctic campaigns and the development of the Spanish Polar Program. We are grateful for the help and support that we have always found in the personnel of the Antarctic Bases, especially the Spanish Bases Juan Carlos I and Gabriel de Castilla. We thank the German Instrument Pool for Amphibian Seismology (DEPAS) for providing the temporary onshore stations and the broadband ocean-bottom seismometers. Raw network data are available at GEOFON (network code 5M, Heit et al., 2020) and IRIS (network code ZX, Wilcock et al., 2020) data centers, and can be accessed upon request. This paper is NOAA/Pacific Marine Environmental Laboratory contribution number 5130.</t>
  </si>
  <si>
    <t>10.1016/j.jsames.2020.102834</t>
  </si>
  <si>
    <t>PH5EY</t>
  </si>
  <si>
    <t>WOS:000600436900002</t>
  </si>
  <si>
    <t>Deelaman, W; Pongpiachan, S; Tipmanee, D; Suttinun, O; Choochuay, C; Iadtem, N; Charoenkalunyuta, T; Promdee, K</t>
  </si>
  <si>
    <t>Deelaman, Woranuch; Pongpiachan, Siwatt; Tipmanee, Danai; Suttinun, Oramas; Choochuay, Chomsri; Iadtem, Natthapong; Charoenkalunyuta, Teetat; Promdee, Kittiphop</t>
  </si>
  <si>
    <t>Source apportionment of polycyclic aromatic hydrocarbons in the terrestrial soils of King George Island, Antarctica</t>
  </si>
  <si>
    <t>Polycyclic aromatic hydrocarbon; PAH; Terrestrial soil; King George island; Binary diagnostic ratio; Source apportionment; Principal components analysis; Hierarchical cluster analysis</t>
  </si>
  <si>
    <t>ECOLOGICAL RISK-ASSESSMENT; FINE ORGANIC AEROSOL; SOURCE IDENTIFICATION; MOLECULAR MARKERS; SURFACE SEDIMENTS; MARINE-SEDIMENTS; RIVER-BASIN; PAH SOURCE; PCBS; ENVIRONMENT</t>
  </si>
  <si>
    <t>This study employed chemical characterisation to determine the source of polycyclic aromatic hydrocarbons (PAHs) in the terrestrial soils of King George Island, Antarctica. The total concentrations of 12 PAHs in the samples of terrestrial soils collected at 44 sites ranged from 1.83 to 32.9 ng g(-1) with an average value of 10.8 +/- 8.22 ng g(-1). The concentrations of these PAHs were relatively lower compared with those found in other studies in other locations. The spatial distributions of PAHs showed the highest concentrations to be in areas adjacent to the Great Wall Station and the road network, and light molecular weight PAHs were predominant. Threeand four-ring PAHs were the most abundant, representing 48.3% and 27.1% of the total, respectively. Although the binary diagnostic ratios indicated petrogenic sources as the main PAH-emission sources, principal components analysis and hierarchical cluster analysis suggested that electricity generators (22.84%) and light-duty gasoline (18.94%) are the main sources in the soil of King George Island, Antarctica.</t>
  </si>
  <si>
    <t>[Deelaman, Woranuch; Suttinun, Oramas; Choochuay, Chomsri; Iadtem, Natthapong] Prince Songkla Univ Hat Yai Campus, Fac Environm Management, Songkhla 90112, Thailand; [Pongpiachan, Siwatt] Natl Inst Dev Adm NIDA, NIDA Ctr Res &amp; Dev Disaster Prevent &amp; Management, Sch Social &amp; Environm Dev, 118 Moo 3,Sereethai Rd, Bangkok 10240, Thailand; [Tipmanee, Danai] Prince Songkla Univ, Fac Technol &amp; Environm, Phuket Campus 80 M-1 Kathu, Phuket 83120, Thailand; [Charoenkalunyuta, Teetat] Chulalongkorn Univ, Dept Survey Engn, Bangkok 10330, Thailand; [Promdee, Kittiphop] Chulachomklao Royal Mil Acad, Dept Environm Sci, Nakhon 26001, Thailand</t>
  </si>
  <si>
    <t>National Institute of Development Administration - Thailand; Prince of Songkla University; Chulalongkorn University</t>
  </si>
  <si>
    <t>Pongpiachan, S (corresponding author), Natl Inst Dev Adm NIDA, NIDA Ctr Res &amp; Dev Disaster Prevent &amp; Management, Sch Social &amp; Environm Dev, 118 Moo 3,Sereethai Rd, Bangkok 10240, Thailand.</t>
  </si>
  <si>
    <t>pongpiajun@gmail.com</t>
  </si>
  <si>
    <t>Charoenkalunyuta, Teetat/AAD-4258-2019; Choochuay, Chomsri/AAY-9628-2021</t>
  </si>
  <si>
    <t>Charoenkalunyuta, Teetat/0000-0002-9562-9607; Choochuay, Chomsri/0000-0002-6321-1951; Pongpiachan, Siwatt/0000-0003-1062-7627</t>
  </si>
  <si>
    <t>Graduate School of Prince of Songkla University</t>
  </si>
  <si>
    <t>The authors would like to thank the Information Technology Foundation under the Initiative of Her Royal Highness Princess Maha Chakri Sirindhorn, the Polar Research Project under the initiative of Her Royal Highness Princess Maha Chakri Sirindhorn, the National Science and Technology Development Agency (NSTDA), and the Chinese Arctic and Antarctic Administration. Thanks are also due to all the staff of the Faculty of Environmental Management, Prince of Songkla University for their cooperation and to the Graduate School of Prince of Songkla University for providing a scholarship.</t>
  </si>
  <si>
    <t>10.1016/j.jsames.2020.102832</t>
  </si>
  <si>
    <t>WOS:000600436900001</t>
  </si>
  <si>
    <t>Ro, S; Hur, SD; Hong, S; Chang, C; Moon, J; Han, Y; Jun, SJ; Hwang, H; Hong, SB</t>
  </si>
  <si>
    <t>Ro, Seokhyun; Hur, Soon Do; Hong, Sungmin; Chang, Chaewon; Moon, Jangil; Han, Yeongcheol; Jun, Seong Joon; Hwang, Heejin; Hong, Sang-bum</t>
  </si>
  <si>
    <t>An improved ion chromatography system coupled with a melter for high-resolution ionic species reconstruction in Antarctic firn cores</t>
  </si>
  <si>
    <t>MICROCHEMICAL JOURNAL</t>
  </si>
  <si>
    <t>On-line multi-ion chromatography system; Firn core melter; Fluoride ion; Methanesulfonate ion; Styx Glacier; Antarctica</t>
  </si>
  <si>
    <t>ICE CORE; METHANESULFONIC-ACID; MELTING SYSTEM; TRACE-ELEMENTS; SNOW; DOME; INFORMATION; MIGRATION; FLUORIDE</t>
  </si>
  <si>
    <t>We improved an on-line multi-ion chromatography (IC) system combined with a custom firn core melter (ICmelter). Five anions (F-, CH3SO3-, Cl-, NO3-, SO42-) and five cations (Na+, NH4+, K+, Mg2+, Ca2+) are simultaneously determined every 1.3 min; high-resolution ion data, with a depth interval of approximately 1.8 cm, can thus be obtained from Antarctic firn cores using the IC-melter. The IC-melter provides a processing speed of 1.1-1.7 h per similar to 0.7-0.8 m firn core. The depth resolution was designed to capture seasonal variations of ions based on the accumulation rate of Styx Glacier (Northern Victoria Land, Antarctica), where a firn core used herein was obtained, and variations of the firn core density. The analytical conditions (eluent concentration and flow rate, run time, peak separation, and sensitivity) of the multi-IC system were optimized to achieve the research goals. Cations and anions were separated through 4-min isocratic elution (CH3SO3H eluent) and 5-min isocratic elution (KOH eluent), respectively. The isocratic elution method for anion analysis was selected, rather than the gradient elution method, due to the exceptionally low ionic strength of the meltwater and easy operation of the multi-IC system. All ionic species showed calibration curves with determinant coefficients 29.3%. Pearson's r values between ions obtained from the IC-melter and conventional method were 0.67. In this study, as an application of the IC-melter, high-resolution ion species data from the firn core (depth interval: similar to 20.11-22.85 m) are shortly presented.</t>
  </si>
  <si>
    <t>[Ro, Seokhyun; Hong, Sungmin] Inha Univ, Dept Ocean Sci, Coll Nat Sci, Incheon 22212, South Korea; [Ro, Seokhyun; Hur, Soon Do; Chang, Chaewon; Moon, Jangil; Han, Yeongcheol; Jun, Seong Joon; Hwang, Heejin; Hong, Sang-bum] Korea Polar Res Inst KOPRI, 26 Songdomirae Ro, Incheon 21990, South Korea</t>
  </si>
  <si>
    <t>Inha University; Korea Polar Research Institute (KOPRI)</t>
  </si>
  <si>
    <t>Hong, SB (corresponding author), Korea Polar Res Inst KOPRI, 26 Songdomirae Ro, Incheon 21990, South Korea.</t>
  </si>
  <si>
    <t>hong909@kopri.re.kr</t>
  </si>
  <si>
    <t>Korea Polar Research Institute (KOPRI), South Korea [PE20190]; Basic Science Research Program through the National Research Foundation of Korea (NRF), South Korea - Ministry of Education, Science and Technology, South Korea [NRF-2018R1A2B2006489]</t>
  </si>
  <si>
    <t>Korea Polar Research Institute (KOPRI), South Korea; Basic Science Research Program through the National Research Foundation of Korea (NRF), South Korea - Ministry of Education, Science and Technology, South Korea</t>
  </si>
  <si>
    <t>This research was partly supported by Korea Polar Research Institute (KOPRI), South Korea, research grant (PE20190). This work was also supported by the Basic Science Research Program through the National Research Foundation of Korea (NRF), South Korea, funded by the Ministry of Education, Science and Technology (NRF-2018R1A2B2006489), South Korea. We sincerely thank summer season researchers to take part in field activities at Styx Glacier on December, 2014.</t>
  </si>
  <si>
    <t>0026-265X</t>
  </si>
  <si>
    <t>1095-9149</t>
  </si>
  <si>
    <t>MICROCHEM J</t>
  </si>
  <si>
    <t>Microchem J.</t>
  </si>
  <si>
    <t>10.1016/j.microc.2020.105377</t>
  </si>
  <si>
    <t>PF0OC</t>
  </si>
  <si>
    <t>WOS:000598763000002</t>
  </si>
  <si>
    <t>Stuart-Smith, J; Edgar, GJ; Last, P; Linardich, C; Lynch, T; Barrett, N; Bessell, T; Wong, L; Stuart-Smith, RD</t>
  </si>
  <si>
    <t>Stuart-Smith, Jemina; Edgar, Graham J.; Last, Peter; Linardich, Christi; Lynch, Tim; Barrett, Neville; Bessell, Tyson; Wong, Lincoln; Stuart-Smith, Rick D.</t>
  </si>
  <si>
    <t>Conservation challenges for the most threatened family of marine bony fishes (handfishes: Brachionichthyidae)</t>
  </si>
  <si>
    <t>Conservation; Extinction; Tasmania; Endangered; Biodiversity loss; Population assessment</t>
  </si>
  <si>
    <t>EXTINCTION RISK; VARIABILITY; TASMANIA; OCEAN</t>
  </si>
  <si>
    <t>Marine species live out-of-sight, consequently geographic range, population size and long-term trends are extremely difficult to characterise for accurate conservation status assessments. Detection challenges have precluded listing of marine bony fishes as Extinct on the International Union for Conservation of Nature (IUCN) Red List, until now (March 2020). Our data compilation on handfishes (Family Brachionichthyidae) revealed them as the most threatened marine bony fish family, with 7 of 14 species recently listed as Critically Endangered or Endangered. The family also includes the only exclusively marine bony fish to be recognised as Extinct - the Smooth handfish (Sympterichthys unipennis). Ironically, some of the characteristics that threaten handfishes with extinction have assisted assessments. Poor dispersal capabilities leading to small, fragmented populations allow monitoring and population size estimation for some shallow water species. Evidence that the Smooth handfish is now Extinct included no sightings over 200 years in an area subject to numerous scientific surveys, inferred shallow habitat and moderate abundance at time of original collection, and major habitat transformation through fishing, aquaculture, rising sea temperature, and urban development. Contemporary threats to extant handfish species include habitat degradation, introduced species, loss of spawning substrate, climate change, and demographic risks associated with small, fragmented populations. Multifaceted conservation efforts are needed, including addressing threats to habitat quality, bolstering wild population numbers, and implementing novel techniques to find and monitor populations. Expanded monitoring, including application of eDNA methods, represent critical steps towards overcoming the challenges in studying wild populations of rare marine species. Ongoing investigation will likely reveal numerous other threatened species for which little is known.</t>
  </si>
  <si>
    <t>[Stuart-Smith, Jemina; Edgar, Graham J.; Lynch, Tim; Barrett, Neville; Bessell, Tyson; Wong, Lincoln; Stuart-Smith, Rick D.] Univ Tasmania, Inst Marine &amp; Antarctic Studies, Hobart, Tas 7001, Australia; [Stuart-Smith, Jemina; Lynch, Tim; Wong, Lincoln] CSIRO, Ocean &amp; Atmosphere, Hobart, Tas, Australia; [Linardich, Christi] Old Dominion Univ, Dept Biol Sci, Int Union Conservat Nat Marine Biodivers Unit, Norfolk, VA 23529 USA; [Last, Peter] CSIRO, Natl Res Collect Australian Natl Fish Collect, Hobart, Tas, Australia</t>
  </si>
  <si>
    <t>University of Tasmania; Commonwealth Scientific &amp; Industrial Research Organisation (CSIRO); Old Dominion University; Commonwealth Scientific &amp; Industrial Research Organisation (CSIRO)</t>
  </si>
  <si>
    <t>Stuart-Smith, J (corresponding author), Univ Tasmania, Inst Marine &amp; Antarctic Studies, Hobart, Tas 7001, Australia.</t>
  </si>
  <si>
    <t>Jemina.StuartSmith@utas.edu.au</t>
  </si>
  <si>
    <t>Stuart-Smith, Rick/I-5214-2019; Edgar, Graham/AAY-3797-2020; Last, Peter R/B-9740-2009; Barrett, Neville/J-7593-2014</t>
  </si>
  <si>
    <t>Stuart-Smith, Rick/0000-0002-8874-0083; Edgar, Graham/0000-0003-0833-9001; Stuart-Smith, Jemina/0000-0003-0009-568X; Bessell, Tyson/0000-0003-4823-5653; Barrett, Neville/0000-0002-6167-1356</t>
  </si>
  <si>
    <t>Marine Biodiversity Hub; Australian Government's National Environmental Science Programme (NESP); Mohammed bin Zayed Conservation Fund; Sea World Research and Rescue Foundation Inc.; Natural Resource Management South</t>
  </si>
  <si>
    <t>Marine Biodiversity Hub; Australian Government's National Environmental Science Programme (NESP)(Australian Government); Mohammed bin Zayed Conservation Fund; Sea World Research and Rescue Foundation Inc.; Natural Resource Management South</t>
  </si>
  <si>
    <t>This work was supported by the Marine Biodiversity Hub, a collaborative partnership supported through funding from the Australian Government's National Environmental Science Programme (NESP). We thank divers from Reef Life Survey, the Institute for Marine and Antarctic Studies, and CSIRO who contribute to the monitoring Spotted and Red handfish populations, and the Derwent Estuary Program, Antonia Cooper, Ella Clausius, Mark Stalker, Karen Gowlett-Holmes, Mick Barron, Mark Green, Barry Bruce, Michael Jacques, Adam Duraj, Tim Fountain, and the National Handfish Recovery Team for their ongoing efforts. Support has also been provided by Alex Hulme and Lesley Gidding-Reeve in the Biodiversity Conservation Division, Department of Agriculture, Water and the Environment, from the Department of Primary Industries, Water, and Environment (Tasmania), Seahorse World, and Tasmania Ports Corporation. Additional funding provided through the Mohammed bin Zayed Conservation Fund, Sea World Research and Rescue Foundation Inc., Natural Resource Management South, as well as individual donors for the Handfish Conservation Project. Thanks to Ashley Leedman for early work in developing the Handfish Recovery Plan, Southern Tas Divers for their support of fieldwork, and the Marine Biodiversity Unit for reviews of the handfish Red List assessments, including Kent Carpenter, Beth Polidoro and Gina Ralph. Thanks also to Caleb Gardner, Greg Smith, Andrew Trotter and the IMAS Taroona aquaculture team, Debra Jones (UTAS), and Alastair Graham (CSIRO).</t>
  </si>
  <si>
    <t>10.1016/j.biocon.2020.108831</t>
  </si>
  <si>
    <t>PG7OT</t>
  </si>
  <si>
    <t>WOS:000599921200015</t>
  </si>
  <si>
    <t>Liu, CL; Wang, XL</t>
  </si>
  <si>
    <t>Liu, Chenlin; Wang, Xiuliang</t>
  </si>
  <si>
    <t>Superoxide dismutase and ascorbate peroxidase genes in Antarctic endemic brown alga Ascoseira mirabilis (Ascoseirales, Phaeophyceae): data mining of a de novo transcriptome</t>
  </si>
  <si>
    <t>Antarctic brown alga; ascorbate peroxidase; Ascoseira mirabilis; superoxide dismutase; transcriptomic analysis</t>
  </si>
  <si>
    <t>MOLECULAR PHYLOGENY; EVOLUTION; GENOME; RED; RADIATION; INSIGHTS; HISTORY; LIGHT</t>
  </si>
  <si>
    <t>The Antarctic endemic brown alga Ascoseira mirabilis is physically and physiologically well adapted to the extreme polar environment. To better understand the molecular strategies associated with stress adaptation, the transcriptome of A. mirabilis was sequenced, and its antioxidant enzyme genes were identified and compared with other algae. A total of 126,576 unigenes with a mean length of 734 bp and N50 of 1174 bp was assembled from the transcriptome data. Phylogenetic analysis revealed that dramatic evolutionary changes had occurred in the brown algal superoxide dismutases (SODs) and class I peroxidases that were not consistent with the phylogeny of the species. Fe/Mn SODs are more prevalent in brown algae than in red and green algae. Two additional Fe-SODs in A. mirabilis were phylogenetically closely related to those of green algae, but not to those in other brown algae. We also identified three A. mirabilis ascorbate peroxidase (APx) genes that had a different origin from other brown algal APxs. The SOD and APx genes specifically identified in A. mirabilis will be crucial for understanding the evolution of the algal antioxidant enzymes that contribute to ecological success under extreme environmental conditions in the Antarctic region.</t>
  </si>
  <si>
    <t>[Liu, Chenlin] Minist Nat Resources, Key Lab Marine Ecol Environm Sci &amp; Technol, Qingdao 266061, Peoples R China; [Liu, Chenlin; Wang, Xiuliang] Qingdao Natl Lab Marine Sci &amp; Technol, Lab Marine Biol &amp; Biotechnol, Qingdao 266000, Peoples R China; [Wang, Xiuliang] Chinese Acad Sci, Inst Oceanol, Qingdao 266071, Peoples R China</t>
  </si>
  <si>
    <t>Ministry of Natural Resources of the People's Republic of China; Laoshan Laboratory; Chinese Academy of Sciences; Institute of Oceanology, CAS</t>
  </si>
  <si>
    <t>Liu, CL (corresponding author), Minist Nat Resources, Key Lab Marine Ecol Environm Sci &amp; Technol, Qingdao 266061, Peoples R China.;Liu, CL (corresponding author), Qingdao Natl Lab Marine Sci &amp; Technol, Lab Marine Biol &amp; Biotechnol, Qingdao 266000, Peoples R China.</t>
  </si>
  <si>
    <t>ch.lliu@163.com</t>
  </si>
  <si>
    <t>Wang, Xiuliang/0000-0003-4262-0083</t>
  </si>
  <si>
    <t>34th Chinese National Antarctic Research Exploration with the Xiangyanghong 01 scientific expedition vessel [JDKC0518013]; National Key R&amp;D programme of China [2018YFC1406705]</t>
  </si>
  <si>
    <t>34th Chinese National Antarctic Research Exploration with the Xiangyanghong 01 scientific expedition vessel; National Key R&amp;D programme of China</t>
  </si>
  <si>
    <t>This work was supported by the 34th Chinese National Antarctic Research Exploration with the Xiangyanghong 01 scientific expedition vessel (JDKC0518013), and a grant from the National Key R&amp;D programme of China (2018YFC1406705).</t>
  </si>
  <si>
    <t>10.1515/bot-2020-0025</t>
  </si>
  <si>
    <t>OY9AB</t>
  </si>
  <si>
    <t>WOS:000594530500006</t>
  </si>
  <si>
    <t>Shotyk, W</t>
  </si>
  <si>
    <t>Shotyk, W.</t>
  </si>
  <si>
    <t>Natural and anthropogenic sources of copper to organic soils: a global, geochemical perspective</t>
  </si>
  <si>
    <t>CANADIAN JOURNAL OF SOIL SCIENCE</t>
  </si>
  <si>
    <t>peat; ombrotrophic bog; copper; bromine; atmospheric deposition; environmental archives</t>
  </si>
  <si>
    <t>ATMOSPHERIC LEAD DEPOSITION; OMBROTROPHIC PEAT BOG; MULTIELEMENT ANALYZER EMMA; C-14 YR BP; JURA MOUNTAINS; TRACE-ELEMENTS; DUST DEPOSITION; PB; RECORD; CORES</t>
  </si>
  <si>
    <t>Copper (Cu) is essential for all organisms but is commonly deficient in organic soils or found locally in excess. Natural and anthropogenic inputs of Cu were examined using 32 peat cores from bogs in Europe, North America, New Zealand, Greenland, and Antarctica. The natural abundance of Cu in ombrotrophic (rainwater-fed) peat was studied using (1) samples from pre-industrial periods (representing background values), (2) bromine (Br) concentrations and the background Cu/Br ratio, and (3) cores from remote locations. Etang de la Gruere in Switzerland provides a record of 15 000 yr of peat accumulation. The lowest Cu concentrations (1.0 +/- 0.20 mgkg(-1)) are found in 18 peat layers dating from ca. 6000 to 9000 cal yr BP, when atmospheric deposition of soil-derived dust was at a minimum. Similar background values occur in peat bogs from other regions. Recent peat layers from bogs in developed areas reveal much greater concentrations. Using the Cu/Br ratio, excess Cu in peat profiles can be calculated and attributed either to anthropogenic inputs in recent peats or natural inputs from mineral-water interactions in deeper layers. Peat cores from remote regions of northern Alberta show little or no evidence of anthropogenic Cu.</t>
  </si>
  <si>
    <t>[Shotyk, W.] Univ Alberta, Dept Renewable Resources, 348B South Acad Bldg, Edmonton, AB T6G 2H1, Canada</t>
  </si>
  <si>
    <t>Shotyk, W (corresponding author), Univ Alberta, Dept Renewable Resources, 348B South Acad Bldg, Edmonton, AB T6G 2H1, Canada.</t>
  </si>
  <si>
    <t>shotyk@ualberta.ca</t>
  </si>
  <si>
    <t>University of Berne; Swiss National Science Foundation; University of Heidelberg; German Research Foundation; University of Alberta; Alberta Advanced Education; Canada Foundation for Innovation; Alberta Innovates; COSIA; Natural Sciences and Engineering Research Council; Natural Sciences and Engineering Research Council (NSERC); Ontario Geological Survey; SEVA Lottofonds</t>
  </si>
  <si>
    <t>University of Berne; Swiss National Science Foundation(Swiss National Science Foundation (SNSF)); University of Heidelberg; German Research Foundation(German Research Foundation (DFG)); University of Alberta(University of Alberta); Alberta Advanced Education; Canada Foundation for Innovation(Canada Foundation for InnovationCGIARSpanish Government); Alberta Innovates; COSIA; Natural Sciences and Engineering Research Council(Natural Sciences and Engineering Research Council of Canada (NSERC)); Natural Sciences and Engineering Research Council (NSERC)(Natural Sciences and Engineering Research Council of Canada (NSERC)); Ontario Geological Survey; SEVA Lottofonds</t>
  </si>
  <si>
    <t>This summary represents a scientific journey of almost 40 yr, dating back to my fascination with Cu complexation by organic matter in soils, as an undergraduate student at the University of Guelph. I thank all of the people who helped along the way, too many to enumerate here. The samples from Lindow Bog were kindly provided by John Grattan, the Solovetsky Island bog by Kimmo Tolonen, the Kopoutai Bog by Jane Shearer, and the Antarctic peats by Bronislaw Wojtun. I also thank the analysts who provided all of the Cu concentration data, namely Andriy Cheburkin (EMMA XRF in Kiev, Elmvale, Sudbury, and Heidelberg), Marlies Gloor and Daniel Pezzota (ICP-MS in Birmensdorf, Switzerland), Michael Krachler (ICP-MS in Heidelberg) and Iain GrantWeaver (ICP-MS in Edmonton). The funding agencies that have generously supported this work over the years include the Ontario Geological Survey; the University of Berne, SEVA Lottofonds and the Swiss National Science Foundation (1989 -2000); the University of Heidelberg and the German Research Foundation (2000 -2011); the University of Alberta, Alberta Advanced Education, the Canada Foundation for Innovation, Alberta Innovates, COSIA, and the Natural Sciences and Engineering Research Council (since October of 2011). Thanks to Lukas Frost and Andrii Oleksandrenko for help with the bibliography and GPS coordinates, respectively, and to Olivia Shotyk for creating the illustration of EGR in cross section. Finally, thanks to the reviewers whose comments helped me to improve the manuscript. Research in our laboratory on Peat Bog Archives of Atmospheric Trace Elements (PEAATE) is supported by a Discovery Grant from the Natural Sciences and Engineering Research Council (NSERC). This paper is dedicated to Andreas Grunig, my devoted Swiss bog brother, for introducing me to Etang de la Gruere, the beautiful little bog that continues to provide helpful reference values, against which other bogs may be compared.</t>
  </si>
  <si>
    <t>0008-4271</t>
  </si>
  <si>
    <t>1918-1841</t>
  </si>
  <si>
    <t>CAN J SOIL SCI</t>
  </si>
  <si>
    <t>Can. J. Soil Sci.</t>
  </si>
  <si>
    <t>10.1139/cjss-2019-0161</t>
  </si>
  <si>
    <t>PA4FJ</t>
  </si>
  <si>
    <t>WOS:000595593400016</t>
  </si>
  <si>
    <t>Wade, BS; O'Neill, JF; Phujareanchaiwon, C; Ali, I; Lyle, M; Witkowski, J</t>
  </si>
  <si>
    <t>Wade, Bridget S.; O'Neill, James F.; Phujareanchaiwon, Chawisa; Ali, Imran; Lyle, Mitchell; Witkowski, Jakub</t>
  </si>
  <si>
    <t>Evolution of deep-sea sediments across the Paleocene-Eocene and Eocene- Oligocene boundaries</t>
  </si>
  <si>
    <t>Sediments; Carbonate compensation depth; PETM; Eocene; Oligocene boundary; Silica; Dissolution</t>
  </si>
  <si>
    <t>CALCITE COMPENSATION DEPTH; THERMAL MAXIMUM; NORTH-ATLANTIC; EQUATORIAL PACIFIC; STABLE-ISOTOPE; SOUTHERN-OCEAN; ICE-SHEET; EOCENE/OLIGOCENE BOUNDARY; SEDIMENTOLOGICAL EVIDENCE; ANTARCTIC GLACIATION</t>
  </si>
  <si>
    <t>The composition and distribution of deep-sea sediments is the result of a multitude of climatic, biotic and oceanic conditions relating to biogeochemical cycles and environmental change. Here we utilize the extensive sediment archives of the International Ocean Discovery Program (IODP) and its predecessors to construct maps of deep-sea sediment type across two critical but contrasting boundaries in the Paleogene, one characterised by an interval of extreme warmth (Paleocene/Eocene) and the other by global cooling (Eocene/Oligocene). Ocean sediment distribution shows significant divergence both between the latest Paleocene and Paleocene Eocene Thermal Maximum (PETM), across the Eocene-Oligocene Transition (EOT), and in comparison to modern sediment distributions. Carbonate sedimentation in the latest Paleocene extends to high southern latitudes. Disappearance of carbonate sediments at the PETM is well documented and can be attributed to dissolution caused by significant ocean acidification as a result of carbon-cycle perturbation. Biosiliceous sediments are rare and it is posited that the reduced biogenic silica deposition at the equator is commensurate with an overall lack of equatorial upwelling in the early Paleogene ocean. In the Southern Ocean, we attribute the low in biosiliceous burial, to the warm deep water temperatures which would have impacted biogenic silica preservation. In the late Eocene, our sediment depositional maps record a tongue of radiolarian ooze in the eastern equatorial Pacific. Enhanced biosiliceous deposits in the late Eocene equatorial Pacific and South Atlantic are due to increased productivity and the spin-up of the oceans. Our compilation documents the enhanced global carbonate sedimentation in the early Oligocene, confirming that the drop in the carbonate compensation depth was global.</t>
  </si>
  <si>
    <t>[Wade, Bridget S.; O'Neill, James F.; Phujareanchaiwon, Chawisa; Ali, Imran] UCL, Dept Earth Sci, Gower St, London WC1E 6BT, England; [O'Neill, James F.] Kings Coll London, Dept Geog, Bush House,NE Wing,30 Aldwych, London WC2B 4BG, England; [Phujareanchaiwon, Chawisa] Chulalongkorn Univ, Dept Geol, 254 Phayathai Rd, Bangkok 10330, Thailand; [Ali, Imran] PetroStrat Ltd, Parc Caer Seion, Conwy LL32 8FA, North Wales, Wales; [Lyle, Mitchell] Oregon State Univ, Coll Earth Ocean &amp; Atmospher Sci, 104 CEOAS Admin Bldg, Corvallis, OR 97331 USA; [Witkowski, Jakub] Univ Szczecin, Inst Marine &amp; Environm Sci, Ul Mickiewicza 16a, PL-70383 Szczecin, Poland</t>
  </si>
  <si>
    <t>University of London; University College London; University of London; King's College London; Chulalongkorn University; Oregon State University; University of Szczecin</t>
  </si>
  <si>
    <t>Wade, BS (corresponding author), UCL, Dept Earth Sci, Gower St, London WC1E 6BT, England.</t>
  </si>
  <si>
    <t>b.wade@ucl.ac.uk</t>
  </si>
  <si>
    <t>Witkowski, Jakub/HMD-6743-2023; Wade, Bridget S/F-4987-2014</t>
  </si>
  <si>
    <t>Wade, Bridget S/0000-0002-7245-8614; Phujareanchaiwon, Chawisa/0009-0008-7361-6793</t>
  </si>
  <si>
    <t>U.S. National Science Foundation; UK Natural Environment Research Council (NERC) [NE/G014817]; Polish National Science Centre [2016/21/B/ST10/02937]; NERC [NE/G014817/2] Funding Source: UKRI</t>
  </si>
  <si>
    <t>U.S. National Science Foundation(National Science Foundation (NSF)); UK Natural Environment Research Council (NERC)(UK Research &amp; Innovation (UKRI)Natural Environment Research Council (NERC)); Polish National Science Centre; NERC(UK Research &amp; Innovation (UKRI)Natural Environment Research Council (NERC))</t>
  </si>
  <si>
    <t>We are grateful to two anonymous reviews, whose comments greatly improved the manuscript and sediment maps. We thank Ellen Thomas and Jerry Dickens for comments on earlier versions of the maps, and Anna Joy Drury and Kate Hendry for discussion. Sediment information used in this study was compiled from the International Ocean Discovery Program (IODP) and its predecessors. IODP is sponsored by the U.S. National Science Foundation and participating countries. Funding: BW was supported by UK Natural Environment Research Council (NERC) [reference number NE/G014817]. Support for JW was provided by the Polish National Science Centre [grant number 2016/21/B/ST10/02937].</t>
  </si>
  <si>
    <t>10.1016/j.earscirev.2020.103403</t>
  </si>
  <si>
    <t>PG6JK</t>
  </si>
  <si>
    <t>WOS:000599839400005</t>
  </si>
  <si>
    <t>Kim, JE; Min, SK; Hong, JM; Kim, KH; Han, SJ; Yim, JH; Park, H; Kim, IC</t>
  </si>
  <si>
    <t>Kim, Jung Eun; Min, Seul Ki; Hong, Ju-Mi; Kim, Kyung Hee; Han, Se Jong; Yim, Joung Han; Park, Hyun; Kim, Il-Chan</t>
  </si>
  <si>
    <t>Anti-inflammatory effects of methanol extracts from the Antarctic lichen, Amandinea sp. in LPS-stimulated raw 264.7 macrophages and zebrafish</t>
  </si>
  <si>
    <t>FISH &amp; SHELLFISH IMMUNOLOGY</t>
  </si>
  <si>
    <t>Antarctic; Amandinea sp.; Anti-Inflammation; Pro-inflammatory cytokines; NF-kappa B pathway; Zebrafish</t>
  </si>
  <si>
    <t>NF-KAPPA-B; BIOLOGICAL-ACTIVITIES; INFLAMMATION; LIPOPOLYSACCHARIDE; CYTOKINES; ANTIOXIDANT; SUPPRESSION; METABOLITES; DIVERSITY</t>
  </si>
  <si>
    <t>The aim of the present study was to determine the anti-inflammatory effect of an extracts isolated from the lichen. Amandinea sp. was collected from the Antarctic and extracted with methanol. The basic screening of the anti-inflammatory property of the extracts was done using the NO assay. The extracts showed very little cytotoxicity, and reduced NO production in LPS-stimulated RAW 264.7 cells in a dose-dependent manner. Furthermore, the extracts inhibited LPS-induced release of pro-inflammatory cytokines such as interleukin-6 (IL-6), and tumor necrosis factor-alpha(TNF-alpha), and inflammatory mediators inducible nitric oxide synthase (iNOS), and cyclooxygenase-2 (COX-2). The extracts also reduced the cytosolic p-I kappa B-alpha level and the level of the nuclear factor p65. We examined the anti-inflammatory effects of the extracts using zebrafish in vivo. The extracts reduced the amount of reactive oxygen species (ROS) in LPS-induced zebrafish larvae and inhibited the mRNA expression of inflammatory cytokines and mediators in a tail-cutting induced model. These results are similar to those obtained in vitro with RAW 264.7 cells. Collectively, the data suggest that the extracts may contain one of more compounds with anti-inflammatory effects. Further studies are required to identify the candidate compound/s and to understand the mechanism of action of the extract.</t>
  </si>
  <si>
    <t>[Kim, Jung Eun; Min, Seul Ki; Hong, Ju-Mi; Kim, Kyung Hee; Han, Se Jong; Yim, Joung Han; Kim, Il-Chan] Korea Polar Res Inst KOPRI, Div Polar Life Sci, Incheon 21990, South Korea; [Kim, Jung Eun] Sungkyunkwan Univ, Grad Sch, Dept Pharm, Suwon 16419, South Korea; [Han, Se Jong] Univ Sci &amp; Technol, Dept Polar Sci, Incheon 21990, South Korea; [Park, Hyun] Korea Univ, Div Biotechnol, Seoul 02841, South Korea</t>
  </si>
  <si>
    <t>Korea Polar Research Institute (KOPRI); Sungkyunkwan University (SKKU); Korea University</t>
  </si>
  <si>
    <t>Kim, IC (corresponding author), Korea Polar Res Inst KOPRI, Div Polar Life Sci, Incheon 21990, South Korea.</t>
  </si>
  <si>
    <t>js2202@kopri.re.kr</t>
  </si>
  <si>
    <t>Park, Hyun/0000-0002-8055-2010</t>
  </si>
  <si>
    <t>Korea Polar Research Institute [PE20010]</t>
  </si>
  <si>
    <t>This work was supported by the Korea Polar Research Institute (Grant no. PE20010).</t>
  </si>
  <si>
    <t>1050-4648</t>
  </si>
  <si>
    <t>1095-9947</t>
  </si>
  <si>
    <t>FISH SHELLFISH IMMUN</t>
  </si>
  <si>
    <t>Fish Shellfish Immunol.</t>
  </si>
  <si>
    <t>10.1016/j.fsi.2020.10.017</t>
  </si>
  <si>
    <t>Fisheries; Immunology; Marine &amp; Freshwater Biology; Veterinary Sciences</t>
  </si>
  <si>
    <t>PG6ZT</t>
  </si>
  <si>
    <t>WOS:000599882200033</t>
  </si>
  <si>
    <t>Huang, XX; Bernhardt, A; De Santis, L; Wu, SG; Leitchenkov, G; Harris, P; O'Brien, P</t>
  </si>
  <si>
    <t>Huang, Xiaoxia; Bernhardt, Anne; De Santis, Laura; Wu, Shiguo; Leitchenkov, German; Harris, Peter; O'Brien, Philip</t>
  </si>
  <si>
    <t>Depositional and erosional signatures in sedimentary successions on the continental slope and rise off Prydz Bay, East Antarctica- implications for Pliocene paleoclimate</t>
  </si>
  <si>
    <t>MARINE GEOLOGY</t>
  </si>
  <si>
    <t>Prydz Bay; Antarctica; Mass-transports deposits; Submarine canyons; Sediment drifts</t>
  </si>
  <si>
    <t>TROUGH-MOUTH FAN; ICE-SHEET; WEDDELL SEA; SUBMARINE CANYONS; SOUTHERN-OCEAN; BOTTOM WATER; DYNAMIC-BEHAVIOR; ENDERBY-LAND; LATE MIOCENE; MARGIN</t>
  </si>
  <si>
    <t>The Prydz Bay region of Antarctica is the immediate recipient of ice and sediments transported by the Lambert Glacier, the single largest outflow from the East Antarctic Ice Sheet. The continental slope and rise provide records covering multiple glacial cycles and containing paleoclimatic information. Marine geological and geophysical data collected from the continental shelf and adjacent slope of Prydz Bay, Antarctica, including seismic reflection data, bathymetry, and core records from ODP drilling sites, reveal the history of glacial sediment transport and deposition since the early Pliocene times. Seismic facies are interpreted in terms of episodes of slope progradation, contourite, turbidite, trough-mouth fan, and mass transport deposition. Two seismic units with estimated age of early to late Pliocene and late Pliocene to recent have been analyzed in detail for the area immediately offshore the Lambert Glacier and Prydz Bay and the adjacent Mac. Robertson margin. The upper slope is dominated by episodic mass transport deposits, many of which accumulated to form a trough mouth fan since Early Pliocene times. The trough mouth fan contrasts with the adjacent steep (4-6 degrees) continental slope of the Mac. Robertson margin, where glacigenic sediments have been transported down slope as high-velocity turbidity currents via submarine channels. The distal region exhibits evidence for contrasting effects of high-energy, traction-dominated versus lower-energy, fallout-dominated suspension flows. The counter-clockwise Coriolis force modifies the erosion and deposition patterns of turbidity currents creating an asymmetric channel-levee architecture. Since the early Pliocene, turbidite sedimentation surpassed the amount of sediment reworked and transported by westward-flowing contour currents along the base of slope. On the continental rise, contourites and sediment waves were deposited in response to enhanced bottom-water formation, which is consistent with climatic cooling since late Pliocene times. This study, based on existing seismic reflection and ODP data, highlights the need for a future scientific ocean drilling proposal on the Prydz Bay continental slope and rise in order to more accurately determine the timing of the important events that have influenced the evolution of this margin.</t>
  </si>
  <si>
    <t>[Huang, Xiaoxia; Wu, Shiguo] Chinese Acad Sci, Inst Deep Sea Sci &amp; Engn, Sanya 572000, Peoples R China; [Huang, Xiaoxia; Bernhardt, Anne] Free Univ Berlin, Inst Geol Sci, D-12249 Berlin, Germany; [De Santis, Laura] Natl Inst Oceanog &amp; Appl Geophys OGS, Trieste, Italy; [Leitchenkov, German] Inst Geol &amp; Mineral Resources World Ocean, St Petersburg, Russia; [Leitchenkov, German] St Petersburg State Univ, St Petersburg, Russia; [Harris, Peter] GRID Arendal, Arendal, Norway; [O'Brien, Philip] Macquarie Univ, Dept Environm Sci, Sydney, NSW, Australia</t>
  </si>
  <si>
    <t>Chinese Academy of Sciences; Institute of Deep-Sea Science &amp; Engineering, CAS; Free University of Berlin; Istituto Nazionale di Oceanografia e di Geofisica Sperimentale; Saint Petersburg State University; Macquarie University</t>
  </si>
  <si>
    <t>Huang, XX (corresponding author), Chinese Acad Sci, Inst Deep Sea Sci &amp; Engn, Sanya 572000, Peoples R China.</t>
  </si>
  <si>
    <t>huangxx@idsse.ac.cn</t>
  </si>
  <si>
    <t>Bernhardt, Anne/HGA-8205-2022</t>
  </si>
  <si>
    <t>National Natural Science Foundation of China [41976233]; Key Research Program of Frontier Sciences, CAS [ZDBS-LY-7018]; Pioneer Hundred Talents Program Chinese Academy of Sciences (CAS) [Y910091001]</t>
  </si>
  <si>
    <t>National Natural Science Foundation of China(National Natural Science Foundation of China (NSFC)); Key Research Program of Frontier Sciences, CAS; Pioneer Hundred Talents Program Chinese Academy of Sciences (CAS)</t>
  </si>
  <si>
    <t>We thank the finance supports of The National Natural Science Foundation of China (41976233), and the Key Research Program of Frontier Sciences, CAS, Grant No. ZDBS-LY-7018, and Pioneer Hundred Talents Program (Y910091001) Chinese Academy of Sciences (CAS). Dr. Graeme Eagles is acknowledged for his constructive comments on the first draft of this work. Schlumberger is acknowledged for the donation of the Petrel (*) license. This research is a contribution to the Past Antarctic Ice Sheet dynamics (PAIS) program of the Scientific Committee for Antarctic Research (SCAR).</t>
  </si>
  <si>
    <t>0025-3227</t>
  </si>
  <si>
    <t>1872-6151</t>
  </si>
  <si>
    <t>MAR GEOL</t>
  </si>
  <si>
    <t>Mar. Geol.</t>
  </si>
  <si>
    <t>10.1016/j.margeo.2020.106339</t>
  </si>
  <si>
    <t>Geosciences, Multidisciplinary; Oceanography</t>
  </si>
  <si>
    <t>Geology; Oceanography</t>
  </si>
  <si>
    <t>PA4YN</t>
  </si>
  <si>
    <t>WOS:000595643300008</t>
  </si>
  <si>
    <t>Rabert, C; Larama, G; Fuentes, A; Gutiérrez-Moraga, A; Tapia-Valdebenito, D</t>
  </si>
  <si>
    <t>Rabert, Claudia; Larama, Giovanni; Fuentes, Alejandra; Gutierrez-Moraga, Ana; Tapia-Valdebenito, Daisy</t>
  </si>
  <si>
    <t>In Situ Rhizosphere Microbiome in Antarctic Vascular Plants, Modulated by Soil Condition</t>
  </si>
  <si>
    <t>MICROBIOLOGY RESOURCE ANNOUNCEMENTS</t>
  </si>
  <si>
    <t>Antarctic soils are considered young soils; therefore, the microbiota associated with Antarctic vascular plants play a critical role in their productivity. In this research, we compared the microbiota from three different soil conditions using a 16S rRNA and internal transcribed spacer rRNA gene amplicon approach for bacterial and fungal communities.</t>
  </si>
  <si>
    <t>[Rabert, Claudia; Tapia-Valdebenito, Daisy] Univ Autonoma Chile, Fac Ciencias Salud, Inst Ciencias Biomed, Temuco, Chile; [Larama, Giovanni] Univ La Frontera, Ctr Modelac &amp; Computac Cient, Temuco, Chile; [Fuentes, Alejandra] Univ La Frontera, Lab Biorremediac, Fac Ciencias Agr, Temuco, Chile; [Gutierrez-Moraga, Ana] Univ Autonoma Chile, Fac Ciencias Salud, Inst Ciencias Biomed, Santiago, Chile</t>
  </si>
  <si>
    <t>Universidad Autonoma de Chile; Universidad de La Frontera; Universidad de La Frontera; Universidad Autonoma de Chile</t>
  </si>
  <si>
    <t>Rabert, C (corresponding author), Univ Autonoma Chile, Fac Ciencias Salud, Inst Ciencias Biomed, Temuco, Chile.</t>
  </si>
  <si>
    <t>claudia.rabert@uautonoma.cl</t>
  </si>
  <si>
    <t>Larama, Giovanni/O-2745-2019; Larama, Giovanni/IAN-1822-2023</t>
  </si>
  <si>
    <t>Larama, Giovanni/0000-0002-9658-7752; Rabert, Claudia/0000-0001-8179-9245; Tapia, Daisy/0000-0002-8678-3995</t>
  </si>
  <si>
    <t>FONDECYT [11181270]</t>
  </si>
  <si>
    <t>FONDECYT(Comision Nacional de Investigacion Cientifica y Tecnologica (CONICYT)CONICYT FONDECYT)</t>
  </si>
  <si>
    <t>This work was supported by FONDECYT grant number 11181270.</t>
  </si>
  <si>
    <t>2576-098X</t>
  </si>
  <si>
    <t>MICROBIOL RESOUR ANN</t>
  </si>
  <si>
    <t>Microbiol. Resour. Ann.</t>
  </si>
  <si>
    <t>e01125-20</t>
  </si>
  <si>
    <t>10.1128/MRA.01125-20</t>
  </si>
  <si>
    <t>PH4VM</t>
  </si>
  <si>
    <t>WOS:000600412300011</t>
  </si>
  <si>
    <t>Patterson, D; Simmonds, JG; Snell, TL</t>
  </si>
  <si>
    <t>Patterson, Diana; Simmonds, Janette G.; Snell, Tristan L.</t>
  </si>
  <si>
    <t>Savage Beasts, Great Companions: The First Dogs to Winter on the Antarctic Continent</t>
  </si>
  <si>
    <t>SOCIETY &amp; ANIMALS</t>
  </si>
  <si>
    <t>animal welfare; canine-human bond; animal-human history</t>
  </si>
  <si>
    <t>PERSPECTIVES; PSYCHOLOGY; HISTORY</t>
  </si>
  <si>
    <t>By investigating the nature of the social interactions between sledge dogs and explorers in the first land-based exploration in Antarctica, this research contributes to an animal-human perspective in Antarctic historical studies. Consideration of the interspecies interactions provide further insight into attitudes to nonhuman animal welfare, including towards wildlife, at the turn of the twentieth century. The companionship of favored animals appeared to have alleviated some of the stresses of isolation and confinement in the inhospitable Antarctic environment.</t>
  </si>
  <si>
    <t>[Patterson, Diana; Simmonds, Janette G.; Snell, Tristan L.] Monash Univ, Melbourne, Vic, Australia</t>
  </si>
  <si>
    <t>Patterson, D (corresponding author), Monash Univ, Melbourne, Vic, Australia.</t>
  </si>
  <si>
    <t>diana.patterson@bigpond.com</t>
  </si>
  <si>
    <t>Simmonds, Janette G/A-4906-2008</t>
  </si>
  <si>
    <t>Simmonds, Janette G/0000-0003-0259-4095</t>
  </si>
  <si>
    <t>BRILL</t>
  </si>
  <si>
    <t>LEIDEN</t>
  </si>
  <si>
    <t>PLANTIJNSTRAAT 2, P O BOX 9000, 2300 PA LEIDEN, NETHERLANDS</t>
  </si>
  <si>
    <t>1063-1119</t>
  </si>
  <si>
    <t>1568-5306</t>
  </si>
  <si>
    <t>SOC ANIM</t>
  </si>
  <si>
    <t>Soc. Anim.</t>
  </si>
  <si>
    <t>10.1163/15685306-12341564</t>
  </si>
  <si>
    <t>Sociology; Veterinary Sciences</t>
  </si>
  <si>
    <t>PG3RA</t>
  </si>
  <si>
    <t>WOS:000599654800011</t>
  </si>
  <si>
    <t>Landman, MJ; Fitzgibbon, QP; Wirtz, A; Codabaccus, BM; Ventura, T; Smith, GG; Carter, CG</t>
  </si>
  <si>
    <t>Landman, Michael J.; Fitzgibbon, Quinn P.; Wirtz, Andrea; Codabaccus, Basseer M.; Ventura, Tomer; Smith, Gregory G.; Carter, Chris G.</t>
  </si>
  <si>
    <t>Physiological status and nutritional condition of cultured juvenile Thenus australiensis over the moult cycle</t>
  </si>
  <si>
    <t>COMPARATIVE BIOCHEMISTRY AND PHYSIOLOGY B-BIOCHEMISTRY &amp; MOLECULAR BIOLOGY</t>
  </si>
  <si>
    <t>Slipper lobster; Thenus australiensis; Crustacean; Moult cycle; Brix; Nutritional condition</t>
  </si>
  <si>
    <t>H. MILNE EDWARDS; HEMOLYMPH ECDYSTEROID LEVELS; SERUM-PROTEIN CONCENTRATION; SOUTHERN ROCK LOBSTER; SPINY LOBSTER; HOMARUS-AMERICANUS; 1837 DECAPODA; LIPID EXTRACTION; JASUS-EDWARDSII; GROWTH</t>
  </si>
  <si>
    <t>The moult cycle is arguably the most critical aspect of crustacean biology and is associated with dramatic changes in behaviour, physiology and condition. Here we describe the first detailed investigation of the combined changes in morphology, physiological status and nutritional condition over the moult cycle of juvenile T. australiensis. Haemolymph refractive index (measured as Brix) was evaluated as a non-destructive method for predicting physiological status and nutritional condition. Post-moult, inter-moult and pre-moult stages were identifiable by microscopic examination of the pleopod distal tips, though differentiation of the pre-moult substages was not possible using this technique. Monitoring of ecdysial suture lines on the exoskeleton gill chambers was found to be highly useful for visually determining progression through the pre-moult stage and predicting the timing of ecdysis. A classical pattern of inter-moult growth was observed where size and wet weight remained relatively uniform over the moult cycle while highly significant changes in whole-body composition were simultaneously observed over time. Growth was most evident by changes in dry weight and dry matter content which more than doubled by the onset of pre-moult. Changes in dry matter content were generally mirrored by Brix and whole-body crude protein, total lipid and gross energy content. Brix strongly correlated with dry matter content and significant correlations were also found for all other primary measures of nutritional condition. Typical moult-related changes were also found for circulating ecdysteroids. This study clearly demonstrates pronounced cyclical changes in physiology and condition of juvenile T. australiensis over a typical moult cycle. The significant correlations between haemolymph and whole-body composition validates Brix as a practical and non-destructive method to objectively assess physiological status, nutritional condition and quality in T. australiensis and further demonstrates its potential for individual crustacean assessment in experimental research and practical commercial applications.</t>
  </si>
  <si>
    <t>[Landman, Michael J.; Fitzgibbon, Quinn P.; Wirtz, Andrea; Codabaccus, Basseer M.; Smith, Gregory G.; Carter, Chris G.] Univ Tasmania, Inst Marine &amp; Antarctic Studies, Hobart, Tas, Australia; [Ventura, Tomer] Univ Sunshine Coast, Fac Sci Hlth Educ &amp; Engn, GeneCol Res Ctr, Sippy Downs, Qld, Australia</t>
  </si>
  <si>
    <t>University of Tasmania; University of the Sunshine Coast</t>
  </si>
  <si>
    <t>Landman, MJ (corresponding author), Univ Tasmania, Inst Marine &amp; Antarctic Studies IMAS, Private Bag 49, Hobart, Tas 7001, Australia.</t>
  </si>
  <si>
    <t>michael.landman@utas.edu.au</t>
  </si>
  <si>
    <t>Ventura, T./H-9832-2019; Carter, Chris Guy/A-3438-2008; Smith, Gregory/C-9263-2013</t>
  </si>
  <si>
    <t>Ventura, T./0000-0002-0777-2367; Carter, Chris Guy/0000-0001-5210-1282; codabaccus, mohamed/0000-0001-5108-373X; Smith, Gregory/0000-0002-8677-1230; Williamson, Andrea/0000-0002-2498-8135; Landman, Michael/0000-0003-0465-8080; Fitzgibbon, Quinn/0000-0002-1104-3052</t>
  </si>
  <si>
    <t>Australian Research Council Industrial Transformation Hub for Sustainable Onshore Lobster Aquaculture [IH190100014]</t>
  </si>
  <si>
    <t>Australian Research Council Industrial Transformation Hub for Sustainable Onshore Lobster Aquaculture(Australian Research Council)</t>
  </si>
  <si>
    <t>This research was conducted by the Australian Research Council Industrial Transformation Hub for Sustainable Onshore Lobster Aquaculture (project number IH190100014). The views expressed herein are those of the authors and are not necessarily those of the Australian Government or Australian Research Council. The authors would like to thank Dr. Ashley Townsend and Dr. Christian Dietz at the Central Science Laboratory, University of Tasmania, for isotopic elemental analysis of tissue samples. The authors also thank Ms. Thu Vo and Dr. Trong D. Tran at the Genecology Research Centre, University of the Sunshine Coast, for LC-MS/MS analysis of haemolymph ecdysteroids.</t>
  </si>
  <si>
    <t>1096-4959</t>
  </si>
  <si>
    <t>1879-1107</t>
  </si>
  <si>
    <t>COMP BIOCHEM PHYS B</t>
  </si>
  <si>
    <t>Comp. Biochem. Physiol. B-Biochem. Mol. Biol.</t>
  </si>
  <si>
    <t>10.1016/j.cbpb.2020.110504</t>
  </si>
  <si>
    <t>Biochemistry &amp; Molecular Biology; Zoology</t>
  </si>
  <si>
    <t>OE3CN</t>
  </si>
  <si>
    <t>WOS:000580412900014</t>
  </si>
  <si>
    <t>O'Brien, KM; Rix, AS; Grove, TJ; Sarrimanolis, J; Brooking, A; Roberts, M; Crockett, EL</t>
  </si>
  <si>
    <t>O'Brien, K. M.; Rix, A. S.; Grove, T. J.; Sarrimanolis, J.; Brooking, A.; Roberts, M.; Crockett, E. L.</t>
  </si>
  <si>
    <t>Characterization of the hypoxia-inducible factor-1 pathway in hearts of Antarctic notothenioid fishes</t>
  </si>
  <si>
    <t>Antarctic fishes; Anaerobic metabolism; Hypoxia; Heat stress</t>
  </si>
  <si>
    <t>DNA-BINDING; LACTATE-DEHYDROGENASE; TREMATOMUS BERNACCHII; ELEVATED-TEMPERATURE; THERMAL-ACCLIMATION; OXIDATIVE STRESS; CROSS-TOLERANCE; CLIMATE-CHANGE; COLD; METABOLISM</t>
  </si>
  <si>
    <t>The ability of Antarctic notothenioid fishes to mount a robust molecular response to hypoxia is largely unknown. The transcription factor, hypoxia-inducible factor-1 (HIF-1), a heterodimer of HIF-1 alpha and HIF-1 beta subunits, is the master regulator of oxygen homeostasis in most metazoans. We sought to determine if, in the hearts of Antarctic notothenioids, HIF-1 is activated and functional in response to either an acute heat stress or hypoxia. The redblooded Notothenia coriiceps and the hemoglobinless icefish, Chaenocephalus aceratus, were exposed to their critical thermal maximum (CTMAX) or hypoxia (5.0 +/- 0.3 mg of O-2 L-1) for 2 h. Additionally, N. coriiceps was exposed to 2.3 +/- 0.3 mg of O-2 L-1 for 12 h, and red-blooded Gobionotothen gibberifrons was exposed to both levels of hypoxia. Levels of HIF-1 alpha were quantified in nuclei isolated from heart ventricles using western blotting. Transcript levels of genes involved in anaerobic metabolism, and known to be regulated by HIF-1, were quantified by real-time PCR, and lactate levels were measured in heart ventricles. Protein levels of HIF-1 alpha increase in nuclei of hearts of N. coriiceps and C. aceratus in response to exposure to CTMAX and in hearts of N. coriiceps exposed to severe hypoxia, yet mRNA levels of anaerobic metabolic genes do not increase in any species, nor do lactate levels increase, suggesting that HIF-1 does not stimulate metabolic remodeling in hearts of notothenioids under these conditions. Together, these data suggest that Antarctic notothenioids may be vulnerable to hypoxic events, which are likely to increase with climate warming.</t>
  </si>
  <si>
    <t>[O'Brien, K. M.; Rix, A. S.; Sarrimanolis, J.; Brooking, A.; Roberts, M.] Inst Arctic Biol, Fairbanks, AK USA; [Grove, T. J.] Valdosta State Univ, Dept Biol, Valdosta, GA 31698 USA; [Crockett, E. L.] Ohio Univ, Dept Biol Sci, Athens, OH 45701 USA</t>
  </si>
  <si>
    <t>University System of Georgia; Valdosta State University; University System of Ohio; Ohio University</t>
  </si>
  <si>
    <t>O'Brien, KM (corresponding author), POB 757000, Fairbanks, AK 99775 USA.</t>
  </si>
  <si>
    <t>kmobrien@alaska.edu</t>
  </si>
  <si>
    <t>Rix, Anna/0000-0002-0046-1275</t>
  </si>
  <si>
    <t>National Science Foundation [PLR-1341663, 1341602]; Institutional Development Award (IDeA) from the National Institute of General Medical Sciences of the National Institutes of Health (NIH) [P20GM103395]; BLaST Program at UAF - NIH Common Fund through the Office of Strategic Coordination, Office of the NIH [TL4GM118992, RL5GM118990, UL1GM118991]</t>
  </si>
  <si>
    <t>National Science Foundation(National Science Foundation (NSF)); Institutional Development Award (IDeA) from the National Institute of General Medical Sciences of the National Institutes of Health (NIH); BLaST Program at UAF - NIH Common Fund through the Office of Strategic Coordination, Office of the NIH</t>
  </si>
  <si>
    <t>Funding for this project was provided by grants from the National Science Foundation (PLR-1341663 to KMO and 1341602 to ELC). ASR was supported in part by a graduate research assistantship from an Institutional Development Award (IDeA) from the National Institute of General Medical Sciences of the National Institutes of Health (NIH) (P20GM103395). AB was supported by an undergraduate fellowship from the BLaST Program at UAF which is funded by the NIH Common Fund through the Office of Strategic Coordination, Office of the NIH Director with the linked awards TL4GM118992, RL5GM118990, &amp; UL1GM118991. The content is solely the responsibility of the authors and does not necessarily represent the official views of the National Institutes of Health.</t>
  </si>
  <si>
    <t>10.1016/j.cbpb.2020.110505</t>
  </si>
  <si>
    <t>WOS:000580412900015</t>
  </si>
  <si>
    <t>England, MR; Wagner, TJW; Eisenman, I</t>
  </si>
  <si>
    <t>England, Mark R.; Wagner, Till J. W.; Eisenman, Ian</t>
  </si>
  <si>
    <t>Modeling the breakup of tabular icebergs</t>
  </si>
  <si>
    <t>FRESH-WATER FLUX; BASAL MELT RATES; SOUTHERN-OCEAN; SEA-ICE; INTERACTIVE ICEBERGS; CLIMATE; EVOLUTION; IMPACT; FUTURE</t>
  </si>
  <si>
    <t>Nearly half of the freshwater flux from the Antarctic Ice Sheet into the Southern Ocean occurs in the form of large tabular icebergs that calve off the continent's ice shelves. However, because of difficulties in adequately simulating their breakup, large Antarctic icebergs to date have either not been represented in models or represented but with no breakup scheme such that they consistently survive too long and travel too far compared with observations. Here, we introduce a representation of iceberg fracturing using a breakup scheme based on the footloose mechanism. We optimize the parameters of this breakup scheme by forcing the iceberg model with an ocean state estimate and comparing the modeled iceberg trajectories and areas with the Antarctic Iceberg Tracking Database. We show that including large icebergs and a representation of their breakup substantially affects the iceberg meltwater distribution, with implications for the circulation and stratification of the Southern Ocean.</t>
  </si>
  <si>
    <t>[England, Mark R.; Wagner, Till J. W.] Univ North Carolina Wilmington, Dept Phys &amp; Phys Oceanog, Wilmington, NC 28403 USA; [England, Mark R.; Eisenman, Ian] Univ Calif San Diego, Scripps Inst Oceanog, La Jolla, CA 92093 USA</t>
  </si>
  <si>
    <t>University of North Carolina; University of North Carolina Wilmington; University of California System; University of California San Diego; Scripps Institution of Oceanography</t>
  </si>
  <si>
    <t>England, MR (corresponding author), Univ North Carolina Wilmington, Dept Phys &amp; Phys Oceanog, Wilmington, NC 28403 USA.;England, MR (corresponding author), Univ Calif San Diego, Scripps Inst Oceanog, La Jolla, CA 92093 USA.</t>
  </si>
  <si>
    <t>mengland@ucsd.edu</t>
  </si>
  <si>
    <t>Eisenman, Ian/B-9329-2009</t>
  </si>
  <si>
    <t>England, Mark/0000-0003-3882-872X; Eisenman, Ian/0000-0003-0190-2869; Wagner, Till/0000-0003-4572-1285</t>
  </si>
  <si>
    <t>NSF [OPP-1744835 OPP-1643445]</t>
  </si>
  <si>
    <t>This work was supported by NSF grants OPP-1744835 OPP-1643445.</t>
  </si>
  <si>
    <t>eabd1273</t>
  </si>
  <si>
    <t>10.1126/sciadv.abd1273</t>
  </si>
  <si>
    <t>PG7IS</t>
  </si>
  <si>
    <t>WOS:000599905500026</t>
  </si>
  <si>
    <t>Convey, P</t>
  </si>
  <si>
    <t>Convey, Peter</t>
  </si>
  <si>
    <t>The price of cumulative human activities in the Antarctic</t>
  </si>
  <si>
    <t>ANTARCTIC SCIENCE</t>
  </si>
  <si>
    <t>Convey, Peter/AAV-5728-2020</t>
  </si>
  <si>
    <t>Convey, Peter/0000-0001-8497-9903</t>
  </si>
  <si>
    <t>NERC [bas0100036] Funding Source: UKRI</t>
  </si>
  <si>
    <t>0954-1020</t>
  </si>
  <si>
    <t>1365-2079</t>
  </si>
  <si>
    <t>ANTARCT SCI</t>
  </si>
  <si>
    <t>Antarct. Sci.</t>
  </si>
  <si>
    <t>10.1017/S0954102020000577</t>
  </si>
  <si>
    <t>OS9LW</t>
  </si>
  <si>
    <t>WOS:000590479300001</t>
  </si>
  <si>
    <t>Casas, G; Martínez-Varela, A; Roscales, JL; Vila-Costa, M; Dachs, J; Jiménez, B</t>
  </si>
  <si>
    <t>Casas, Gemma; Martinez-Varela, Alicia; Roscales, Jose L.; Vila-Costa, Maria; Dachs, Jordi; Jimenez, Begona</t>
  </si>
  <si>
    <t>Enrichment of perfluoroalkyl substances in the sea-surface microlayer and sea-spray aerosols in the Southern Ocean</t>
  </si>
  <si>
    <t>Perfluoroalkyl substances; Sea-surface microlayer; Antarctica; Sea-spray aerosol; Organic pollutants; Southern ocean</t>
  </si>
  <si>
    <t>KING GEORGE ISLAND; POLYFLUOROALKYL SUBSTANCES; ORGANIC POLLUTANTS; PERFLUORINATED COMPOUNDS; MARINE AEROSOLS; TRANSPORT; ATLANTIC; WATER; ACIDS; AIR</t>
  </si>
  <si>
    <t>Sea-spray (or sea-salt) aerosol (SSA) formation and their subsequent atmospheric transport and deposition have been suggested to play a prominent role in the occurrence of ionizable perfluoroalkyl substances (PFAS) in the maritime Antarctica and other remote regions. However, field studies on SSA's role as vector of transport of PFAS are lacking. Following a multiphase approach, seawater (SW), the sea surface microlayer (SML) and SSA were sampled simultaneously at South Bay (Livingston Island, Antarctica). Average PFAS concentrations were 313 pg L-1, 447 pg L-1, and 0.67 pg m(-3) in SW, the SML and SSA, respectively. The enrichment factors of PFAS in the SML and SSA ranged between 1.2 and 5, and between 522 and 4690, respectively. This amplification of concentrations in the SML is consistent with the surfactant properties of PFAS, while the large enrichment of PFAS in atmospheric SSA may be facilitated by the large surface area of SSA and the sorption of PFAS to aerosol organic matter. This is the first field work assessing the simultaneous occurrence of PFAS in SW, the SML and SSA. The large measured amplification of concentrations in marine aerosols supports the role of SSA as a relevant vector for long-range atmospheric transport of PFAS. (C) 2020 Elsevier Ltd. All rights reserved.</t>
  </si>
  <si>
    <t>[Casas, Gemma; Martinez-Varela, Alicia; Vila-Costa, Maria; Dachs, Jordi] CSIC, Inst Environm Assessment &amp; Water Res IDAEA, Dept Environm Chem, Barcelona, Catalonia, Spain; [Casas, Gemma; Roscales, Jose L.; Jimenez, Begona] CSIC, Inst Organ Chem IQOG, Dept Instrumental Anal &amp; Environm Chem, Madrid, Spain</t>
  </si>
  <si>
    <t>Consejo Superior de Investigaciones Cientificas (CSIC); CSIC - Centro de Investigacion y Desarrollo Pascual Vila (CID-CSIC); CSIC - Instituto de Diagnostico Ambiental y Estudios del Agua (IDAEA); Consejo Superior de Investigaciones Cientificas (CSIC); CSIC - Instituto de Quimica Organica General (IQOG)</t>
  </si>
  <si>
    <t>Dachs, J (corresponding author), CSIC, Inst Environm Assessment &amp; Water Res IDAEA, Barcelona, Catalonia, Spain.</t>
  </si>
  <si>
    <t>jordi.dachs@idaea.csic.es</t>
  </si>
  <si>
    <t>Jiménez, Begoña/C-6324-2012; Casas, Gemma/JYP-3405-2024; Roscales, Jose/H-6716-2015; Vila-Costa, Maria/L-4833-2014</t>
  </si>
  <si>
    <t>Jiménez, Begoña/0000-0002-2401-4648; Roscales, Jose/0000-0002-0446-6911; Gemma, Casas/0000-0002-4197-2151; Dachs, Jordi/0000-0002-4237-169X; Vila-Costa, Maria/0000-0003-1730-8418</t>
  </si>
  <si>
    <t>Spanish Ministry of science [CTM 2015-70535-P, CTM 2015-65691-R]; Catalan Government [2017SGR800]</t>
  </si>
  <si>
    <t>Spanish Ministry of science(Spanish Government); Catalan Government</t>
  </si>
  <si>
    <t>We thank the staff of the Marine Technology Unit (UTM-CSIC) for their logistical support during the sampling campaign at Livingston Island, and M. Pizarro for technical assistance. This work was supported by Spanish Ministry of science to GC and AMV through predoctoral fellowships, and through projects SENTINEL (CTM 2015-70535-P) and ISOMICS (CTM 2015-65691-R). This research is part of POLARCSIC activities. The research group of Global Change and Genomic Biogeochemistry receives support from the Catalan Government (2017SGR800). Special thanks to TERNUA for their nonprofit collaboration by sponsoring with technical ecofriendly clothing and gear equipment for Antarctic campaigns.</t>
  </si>
  <si>
    <t>10.1016/j.envpol.2020.115512</t>
  </si>
  <si>
    <t>OY0SZ</t>
  </si>
  <si>
    <t>WOS:000593965600005</t>
  </si>
  <si>
    <t>Herbert, A; Liggett, D; Frame, B</t>
  </si>
  <si>
    <t>Herbert, Andrea; Liggett, Daniela; Frame, Bob</t>
  </si>
  <si>
    <t>Polarising Ushuaia: informal settlements and tourism in an Antarctic gateway city</t>
  </si>
  <si>
    <t>LOCAL ENVIRONMENT</t>
  </si>
  <si>
    <t>Antarctic gateway city; Ushuaia; informal settlements; urban development; slum tourism</t>
  </si>
  <si>
    <t>URBANISM; SLUM</t>
  </si>
  <si>
    <t>Ushuaia, one of five Antarctic gateway cities worldwide, is one of the most prosperous places in Argentina. However, its initial impression to visitors as a highly affluent town can be misleading. Since the mid-2000s, informal settlements have sprung up in the forest belt above the city with an estimated 14% of Ushuaia's population. These contrasting representations, polar opposites in some ways, are integral parts of Ushuaia and its positioning as a forward-thinking, culturally differentiated Antarctic gateway city. This paper explores this tension through a case study of two settlements in the northwest of the city, including informal settlers' lived experiences and aspirations; representations and processes of urban development, and the views of the formally tenanted population. Ethnographically exploring a topic that has divided Ushuaia for decades and giving a voice to inhabitants of informal settlements adds depth to an otherwise incomplete and top-down understanding of Ushuaia as a tourist town. Informal settlements are an integral part of the city that could, potentially, add value to tourism enterprises and enrich the tourist gaze by providing a less polarised, more inclusive perspective.</t>
  </si>
  <si>
    <t>[Herbert, Andrea; Liggett, Daniela; Frame, Bob] Univ Canterbury, Gateway Antarctica, Christchurch, New Zealand</t>
  </si>
  <si>
    <t>Herbert, A (corresponding author), Univ Canterbury, Gateway Antarctica, Christchurch, New Zealand.</t>
  </si>
  <si>
    <t>Andrea.Herbert@canterbury.ac.nz</t>
  </si>
  <si>
    <t>Frame, Bob I/A-2876-2008</t>
  </si>
  <si>
    <t>Liggett, Daniela/0000-0003-4184-5205; Frame, Bob/0000-0003-2447-4174</t>
  </si>
  <si>
    <t>1354-9839</t>
  </si>
  <si>
    <t>1469-6711</t>
  </si>
  <si>
    <t>LOCAL ENVIRON</t>
  </si>
  <si>
    <t>Local Environ.</t>
  </si>
  <si>
    <t>11-12</t>
  </si>
  <si>
    <t>10.1080/13549839.2020.1843420</t>
  </si>
  <si>
    <t>Green &amp; Sustainable Science &amp; Technology; Environmental Studies; Geography; Regional &amp; Urban Planning; Urban Studies</t>
  </si>
  <si>
    <t>Science &amp; Technology - Other Topics; Environmental Sciences &amp; Ecology; Geography; Public Administration; Urban Studies</t>
  </si>
  <si>
    <t>PB0GF</t>
  </si>
  <si>
    <t>WOS:000596005500002</t>
  </si>
  <si>
    <t>Chevrier, VF; Roy, R; Meslin, PY; Le Mouélic, S; Mathé, PE; Rochette, P; Bonello, G</t>
  </si>
  <si>
    <t>Chevrier, V. F.; Roy, R.; Meslin, P. Y.; Le Mouelic, S.; Mathe, P. E.; Rochette, P.; Bonello, G.</t>
  </si>
  <si>
    <t>Geochemical and spectral characterization of an altered Antarctic dolerite: Implications for recent weathering on Mars</t>
  </si>
  <si>
    <t>PLANETARY AND SPACE SCIENCE</t>
  </si>
  <si>
    <t>Antarctica; Ferrar dolerite; Mars; Regolith; Weathering; Reflectance spectroscopy; LIBS</t>
  </si>
  <si>
    <t>We present new mineralogical, chemical and spectral analysis of an alteration profile on the Ferrar dolerite (Dry Valley, Antarctica), complementing a previous study (Chevrier a al., 2006a). The whole profile is about 5 cm long and subdivided into three different layers: a brown surface rind inferior to 1 mm in thickness, followed by a brownish-grey discoloration zone from 1 to 5 mm depth and finally a dark fresh core. Mineralogical (X-Ray Diffraction), chemical (EDAX, LIBS), and spectral (FTIR) measurements indicate the formation of iron (oxy)-hydroxides (maghemite) in the very top millimeter of the alteration profile, resulting from the destabilization of ferromagnesian minerals (pyroxene). This zone also exhibits strong hydration features as evidenced by LIBS hydrogen signal and the 2.80 mu m water band in reflectance spectra. Below this alteration zone (around 5-mm-deep), spectral measurements indicate a discolored zone characterized by an enrichment in pyroxene (1.00 and 2.00 mu m bands), possibly due to the dissolution of the glass component in the matrix. However, despite these spectral changes, the overall chemistry and mineralogy of the sample remains largely unaffected. This suggests that recent cold and dry weathering on the surface of Mars may spectrally modify surfaces of basaltic rocks, by forming iron (and manganese) (oxy)-hydroxides, but essentially in the very uppermost millimeter and that the underlying mineralogy should remain intact.</t>
  </si>
  <si>
    <t>[Chevrier, V. F.] Univ Arkansas, Arkansas Ctr Space &amp; Planetary Sci, 332 N Arkansas Ave, Fayetteville, AR 72701 USA; [Roy, R.] Orano Canada Inc, 817-45th St West, Saskatoon, SK S7L 5X2, Canada; [Meslin, P. Y.] UPS CNRS OMP, Inst Rech Astrophys &amp; Planetol, 9 Ave Du Colonel Roche,BP46, F-31028 Toulouse 04, France; [Le Mouelic, S.] Univ Nantes, Lab Planetol &amp; Geodynam, CNRS, UMR 6112, 2 Rue Houssiniere, F-44000 Nantes, France; [Mathe, P. E.; Rochette, P.] Aix Marseille Univ, Coll France, CEREGE, INRAE,IRD,CNRS, Aix En Provence, France; [Bonello, G.] LEDs CHAT Digital Art Interior Design &amp; Commun, Marseille 04, Provence Alpes, France</t>
  </si>
  <si>
    <t>University of Arkansas System; University of Arkansas Fayetteville; Nantes Universite; Centre National de la Recherche Scientifique (CNRS); CNRS - National Institute for Earth Sciences &amp; Astronomy (INSU); Institut de Recherche pour le Developpement (IRD); INRAE; Universite PSL; College de France; Aix-Marseille Universite; Centre National de la Recherche Scientifique (CNRS)</t>
  </si>
  <si>
    <t>Chevrier, VF (corresponding author), Univ Arkansas, Arkansas Ctr Space &amp; Planetary Sci, 332 N Arkansas Ave, Fayetteville, AR 72701 USA.</t>
  </si>
  <si>
    <t>vchevrie@uark.edu</t>
  </si>
  <si>
    <t>Rochette, Pierre/O-4612-2019; Meslin, Pierre-Yves/HKV-3329-2023</t>
  </si>
  <si>
    <t>Rochette, Pierre/0000-0002-7362-0660; Meslin, Pierre-Yves/0000-0002-0703-3951; Le Mouelic, Stephane/0000-0001-5260-1367</t>
  </si>
  <si>
    <t>Agence Nationale de la Recherche (ANR) [ANR-16-CE31-0012]; Centre National d'Etudes Spatiales (CNES); Los Alamos National Laboratory (LANL); Agence Nationale de la Recherche (ANR) [ANR-16-CE31-0012] Funding Source: Agence Nationale de la Recherche (ANR)</t>
  </si>
  <si>
    <t>Agence Nationale de la Recherche (ANR)(Agence Nationale de la Recherche (ANR)); Centre National d'Etudes Spatiales (CNES)(Centre National D'etudes Spatiales); Los Alamos National Laboratory (LANL)(United States Department of Energy (DOE)Los Alamos National Laboratory); Agence Nationale de la Recherche (ANR)(Agence Nationale de la Recherche (ANR))</t>
  </si>
  <si>
    <t>The authors would like to thank the PNRA (Programmo Nazionale di Ricerca in Antartide,Italian Antarctic program) and A. Meloni from INGV Roma for providing the studied sample. P.-Y. Meslin acknowledges support from the Agence Nationale de la Recherche (ANR) under the program ANR-16-CE31-0012 entitled MarsPRIME for the LIBS analyses. Funding for the Engineering Model of ChemCam used for the LIBS experiment was provided by the Centre National d'Etudes Spatiales (CNES) and by Los Alamos National Laboratory (LANL). We thank two anonymous reviewers who helped improve this manuscript.</t>
  </si>
  <si>
    <t>0032-0633</t>
  </si>
  <si>
    <t>PLANET SPACE SCI</t>
  </si>
  <si>
    <t>Planet Space Sci.</t>
  </si>
  <si>
    <t>10.1016/j.pss.2020.105106</t>
  </si>
  <si>
    <t>PA4YG</t>
  </si>
  <si>
    <t>WOS:000595642600010</t>
  </si>
  <si>
    <t>Pedrana, J; Pütz, K; Bernad, L; Muñoz, S; Gorosábel, A; Castresana, G; Leiss, A; Pon, JPS</t>
  </si>
  <si>
    <t>Pedrana, Julieta; Puetz, Klemens; Bernad, Lucia; Munoz, Sebastian; Gorosabel, Antonella; Castresana, Gabriel; Leiss, Alejandro; Seco Pon, Juan Pablo</t>
  </si>
  <si>
    <t>Spatial and temporal variation in the migration of Ruddy-headed Goose in southern South America using satellite tagging</t>
  </si>
  <si>
    <t>BIRD CONSERVATION INTERNATIONAL</t>
  </si>
  <si>
    <t>Chloephaga rubidiceps; human-wildlife conflict; migration routes; Patagonia; satellite transmitters</t>
  </si>
  <si>
    <t>AGE-RELATED DIFFERENCES; SPRING MIGRATION; STOPOVER SITES; CHLOEPHAGA-RUBIDICEPS; FAT DEPOSITION; BIRD MIGRATION; GEESE; CONSERVATION; SHELDGEESE; WATERFOWL</t>
  </si>
  <si>
    <t>Ruddy-headed Goose Chloephaga rubidiceps is the smallest of the five South American sheldgeese and has two separate populations: one sedentary, which resides in the Malvinas/Falkland Islands and one migratory that overwinters mainly in the Pampas region, Argentina and breeds in Southern Patagonia. The Ruddy-headed Goose's continental population has decreased considerably, and recent estimates indicated that the population size is less than 800 individuals. In Argentina and Chile, this population is categorised as endangered. Understanding migration across vast landscapes is essential for the identification of factors affecting the survival of this endangered population and for the application of effective conservation measures. We aim to provide the first documentation of the complete migration cycle of Ruddy-headed Goose, and to analyse their annual migration in detail, including identification of stop-over, breeding and wintering sites, and to compare migration timing during spring and autumn migration. Adults were captured in the southern Pampas and equipped with solar satellite transmitters in 2015 and 2016. We analysed the influence of season (spring vs autumn migration) on the number and duration of stop-overs, distance travelled and overall migration speed using Generalized Linear Mixed Models. Our results showed that tracked geese used the eastern Patagonian route to reach their breeding grounds and take the same route after breeding. Spring migration was significantly faster than autumn migration, at least based on the number of days spent in their stop-overs. Stop-overs were closer to the final destination, either during spring and autumn migrations, though some of them were not used during subsequent migrations. Our migration cartography for Ruddy-headed Geese, together with the timing and location data, should be used to improve conservation efforts directed at this species and might contribute to the modification of the current status of 'Least Concern' under the IUCN criteria.</t>
  </si>
  <si>
    <t>[Pedrana, Julieta; Gorosabel, Antonella] Consejo Nacl Invest Cient &amp; Tecn, Recursos Nat &amp; Gest Ambiental, Estn Expt Agr EEA Balcarce, Inst Nacl Tecnol Agr INTA, Ruta 226 Km 73-5, RA-7620 Balcarce, Argentina; [Puetz, Klemens] Antarctic Res Trust, Oste Hamme Kanal 10, D-27432 Bremervorde, Germany; [Bernad, Lucia; Munoz, Sebastian] INTA EEA Balcarce, Recursos Nat &amp; Gest Ambiental, Ruta 226 Km 73-5, RA-7620 Balcarce, Argentina; [Castresana, Gabriel; Leiss, Alejandro] Organismo Prov Desarrollo Sostenible OPDS, Calle 12 &amp; 53 Torre II Piso 14, RA-1900 La Plata, Argentina; [Seco Pon, Juan Pablo] Univ Nacl Mar del Plata, CONICET, Inst Invest Marinas &amp; Costeras IIMyC, Funes 3250, RA-7600 Mar Del Plata, Argentina</t>
  </si>
  <si>
    <t>Instituto Nacional de Tecnologia Agropecuaria (INTA); Consejo Nacional de Investigaciones Cientificas y Tecnicas (CONICET); Instituto Nacional de Tecnologia Agropecuaria (INTA); National University of Mar del Plata; Consejo Nacional de Investigaciones Cientificas y Tecnicas (CONICET)</t>
  </si>
  <si>
    <t>Pedrana, J (corresponding author), Consejo Nacl Invest Cient &amp; Tecn, Recursos Nat &amp; Gest Ambiental, Estn Expt Agr EEA Balcarce, Inst Nacl Tecnol Agr INTA, Ruta 226 Km 73-5, RA-7620 Balcarce, Argentina.</t>
  </si>
  <si>
    <t>pedrana.julieta@inta.gob.ar</t>
  </si>
  <si>
    <t>pedrana, julieta/0000-0002-0908-7865; Seco Pon, Juan Pablo/0000-0003-2480-5455</t>
  </si>
  <si>
    <t>Antarctic Research Trust, INTA [PNNAT-1128053]; National Agency for Science and Technology, Argentina [PICT 2012-0192]</t>
  </si>
  <si>
    <t>Antarctic Research Trust, INTA; National Agency for Science and Technology, Argentina</t>
  </si>
  <si>
    <t>We thank Nicolas Charadia, Leandro Olmos, Juan Pablo Isacch, Nestor Maceira, Ricardo Matus, Olivia Blank, Daniel Novoa, and Daniel MacLean for their generous help with fieldwork and logistical support. This work was funded by Antarctic Research Trust, INTA (PNNAT-1128053) and National Agency for Science and Technology, Argentina (PICT 2012-0192). The procedure used in this study was assessed and approved by the Buenos Aires Provincial Agency for Sustainable Development (OPDS), Argentina (Licence Number: 0023352/18).</t>
  </si>
  <si>
    <t>0959-2709</t>
  </si>
  <si>
    <t>1474-0001</t>
  </si>
  <si>
    <t>BIRD CONSERV INT</t>
  </si>
  <si>
    <t>Bird Conserv. Int.</t>
  </si>
  <si>
    <t>PII S0959270920000143</t>
  </si>
  <si>
    <t>10.1017/S0959270920000143</t>
  </si>
  <si>
    <t>Biodiversity Conservation; Ornithology</t>
  </si>
  <si>
    <t>PB3VF</t>
  </si>
  <si>
    <t>WOS:000596251700010</t>
  </si>
  <si>
    <t>Matsumoto, K; Tanioka, T</t>
  </si>
  <si>
    <t>Matsumoto, Katsumi; Tanioka, Tatsuro</t>
  </si>
  <si>
    <t>Shifts in regional production as a driver of future global ocean production stoichiometry</t>
  </si>
  <si>
    <t>ocean carbon cycle; stoichiometry; numerical model; future projection; biological production</t>
  </si>
  <si>
    <t>MARINE-PHYTOPLANKTON; CARBON; RATIOS; CYCLE; MODEL</t>
  </si>
  <si>
    <t>Using a global ocean biogeochemistry model, we examined three drivers of global ocean production C:N:P ratio: flexible phytoplankton stoichiometry, phytoplankton community composition, and regional production shifts. For a middle-of-the-road warming scenario (SSP2), the model predicts a substantial increase in the global export C:P ratio from 113:1 to 119:1 by the year 2100. The most important physiological driver of this stoichiometric change is the effect of the worldwide warming on cyanobacteria, followed by the effect of phosphate depletion on eukaryotes in the Southern Ocean. Also, there is a modest global shift in the phytoplankton community in favor of cyanobacteria at the expense of eukaryotes with a minimal effect on the global production stoichiometry. We find that shifts in the regional production, even in the absence of any change in phytoplankton stoichiometry or taxonomy, can change the global production C:N:P ratio. For example, enhancing the production in the polar waters, which typically have low C:N:P ratios, will have the effect of lowering the global ratio. In our model, the retreat of Antarctic sea ice has this very effect but is offset by production changes downstream and elsewhere. This study thus provides an understanding of how regional production changes can affect the global production C:N:P ratio. However, the current literature indicates substantial uncertainty in the future projections of regional production changes, so it is unclear at this time what their net effect is on the global production C:N:P ratio. Finally, our model predicts that the overall increase in the carbon content of organic matter due to flexible C:N:P ratio helps to stabilize carbon export in the face of reduced nutrient export (i.e. the decrease in C export is similar to 30% smaller than expected from the decrease in P export by 2100) but has a minimal effect on atmospheric CO2 uptake (similar to 1%).</t>
  </si>
  <si>
    <t>[Matsumoto, Katsumi; Tanioka, Tatsuro] Univ Minnesota, Dept Earth &amp; Environm Sci, Minneapolis, MN 55455 USA</t>
  </si>
  <si>
    <t>University of Minnesota System; University of Minnesota Twin Cities</t>
  </si>
  <si>
    <t>Matsumoto, K (corresponding author), Univ Minnesota, Dept Earth &amp; Environm Sci, Minneapolis, MN 55455 USA.</t>
  </si>
  <si>
    <t>katsumi@umn.edu</t>
  </si>
  <si>
    <t>Tanioka, Tatsuro/AAD-2108-2022; Tanioka, Tatsuro/AAD-2107-2022; Matsumoto, Katsumi/X-3706-2018</t>
  </si>
  <si>
    <t>Tanioka, Tatsuro/0000-0003-2794-7678; Matsumoto, Katsumi/0000-0002-5832-9592</t>
  </si>
  <si>
    <t>US National Science Foundation [OCE-1827948]; Leverhulme Trust</t>
  </si>
  <si>
    <t>US National Science Foundation(National Science Foundation (NSF)); Leverhulme Trust(Leverhulme Trust)</t>
  </si>
  <si>
    <t>This work was supported by the US National Science Foundation (OCE-1827948). KM was supported by the Leverhulme Trust Visiting Professorship while on sabbatical at the University of Oxford. Numerical modeling and analysis were carried out using resources at the University of Minnesota Supercomputing Institute.</t>
  </si>
  <si>
    <t>10.1088/1748-9326/abc4b0</t>
  </si>
  <si>
    <t>PB1CB</t>
  </si>
  <si>
    <t>WOS:000596065700001</t>
  </si>
  <si>
    <t>Batchelor, CL; Montelli, A; Ottesen, D; Evans, J; Dowdeswell, EK; Christie, FDW; Dowdeswell, JA</t>
  </si>
  <si>
    <t>Batchelor, Christine L.; Montelli, Aleksandr; Ottesen, Dag; Evans, Jeffrey; Dowdeswell, Evelyn K.; Christie, Frazer D. W.; Dowdeswell, Julian A.</t>
  </si>
  <si>
    <t>New insights into the formation of submarine glacial landforms from high-resolution Autonomous Underwater Vehicle data</t>
  </si>
  <si>
    <t>Autonomous Underwater Vehicles; Glacial landforms; Grounding-zone wedge; Iceberg ploughmarks; Corrugation ridges; Antarctic Peninsula</t>
  </si>
  <si>
    <t>GROUNDING-LINE RETREAT; PINE ISLAND BAY; ANTARCTIC ICE-SHEET; PENINSULA CONTINENTAL-SHELF; WESTERN WEDDELL SEA; ZONE WEDGES; ROSS SEA; ICEBERG PLOUGHMARKS; SUBGLACIAL BEDFORMS; CORRUGATION RIDGES</t>
  </si>
  <si>
    <t>Autonomous Underwater Vehicles (AUVs) deployed close to the seafloor can acquire high-resolution geophysical data about the topography and shallow stratigraphy of the seabed, yet have had limited application within the fields of glacial geomorphology and ice sheet reconstruction. Here, we present multibeam echo-sounding, side-scan sonar, sub-bottom profiler and High-Resolution Synthetic Aperture Sonar (HISAS) data acquired during three AUV dives on the northeast Antarctic Peninsula continental shelf. These data enable glacial landforms, including mega-scale glacial lineations (MSGLs), grounding-zone wedges (GZWs) and iceberg ploughmarks, to be imaged at a horizontal resolution of a few tens of centimetres, allowing for the identification of subtle morphological features. We map tidal ridges that are interpreted as having been formed 1) along the ice-sheet grounding line by the squeezing up of soft seafloor sediments by vertical motion of the grounding line during tidal cycles, and 2) by the tidally driven motion of grounded or near-grounded icebergs. These data also enable the mapping of small GZWs that show the location of short-term still-stands or re-advances of the ice-sheet grounding zone. No meltwater channels are identified from our data, suggesting that free-flowing meltwater may not be essential for the formation of GZWs or MSGLs. The examples presented here show how high-resolution AUV-derived geophysical data provide a step-change in our ability to image seafloor glacial landforms, enabling new interpretations about past ice dynamics and glacial sedimentation at fine temporal and spatial scales. (C) 2020 The Authors. Published by Elsevier B.V.</t>
  </si>
  <si>
    <t>[Batchelor, Christine L.] Norwegian Univ Sci &amp; Technol NTNU, N-7491 Trondheim, Norway; [Batchelor, Christine L.; Montelli, Aleksandr; Dowdeswell, Evelyn K.; Christie, Frazer D. W.; Dowdeswell, Julian A.] Univ Cambridge, Scott Polar Res Inst, Cambridge CB2 1ER, England; [Ottesen, Dag] Geol Survey Norway NGU, Postboks 6315, N-7491 Trondheim, Norway; [Evans, Jeffrey] Loughborough Univ, Geog &amp; Environm, Epinal Way, Loughborough LE11 3TU, Leics, England</t>
  </si>
  <si>
    <t>Norwegian University of Science &amp; Technology (NTNU); University of Cambridge; Geological Survey of Norway; Loughborough University</t>
  </si>
  <si>
    <t>Batchelor, CL (corresponding author), Norwegian Univ Sci &amp; Technol NTNU, N-7491 Trondheim, Norway.</t>
  </si>
  <si>
    <t>clb70@cam.ac.uk</t>
  </si>
  <si>
    <t>Batchelor, Christine/JCN-7543-2023; Christie, Frazer/AAI-2435-2021</t>
  </si>
  <si>
    <t>Christie, Frazer/0000-0002-7378-4243</t>
  </si>
  <si>
    <t>Flotilla Foundation; Marine Archaeology Consultants Switzerland; Norwegian VISTA post-doctoral scholarship; Prince Albert II of Monaco Foundation</t>
  </si>
  <si>
    <t>This research was funded by the Flotilla Foundation and Marine Archaeology Consultants Switzerland. The AUVs, associated technical support and initial data pre-processingwere provided by Ocean Infinity and Deep Ocean Search. AUV deploymentswere fromthe South African icebreaking research vessel SA Agulhas II, and we thank the Captain, Ice Pilot, Officers and Crew for their support of our research. We thank the Mareano programme (www.mareano.no) for access to bathymetric data from the Norwegian margin. ESA/Copernicus Sentinel-1a/b Interferometric Wide swath imagery used to map the position of the 2019 ice front was acquired free-of-charge from the Alaskan Satellite Facility (https://search.asf.alaska.edu/#/) in ground range detected (GRD) format. CLB was funded by a Norwegian VISTA post-doctoral scholarship during this work, and FDWC was supported by the Prince Albert II of Monaco Foundation. We thank Johann P. Klages and an anonymous reviewer for their helpful reviews of this paper.</t>
  </si>
  <si>
    <t>RADARWEG 29a, 1043 NX AMSTERDAM, NETHERLANDS</t>
  </si>
  <si>
    <t>10.1016/j.geomorph.2020.107396</t>
  </si>
  <si>
    <t>OS1HZ</t>
  </si>
  <si>
    <t>WOS:000589916700005</t>
  </si>
  <si>
    <t>Yu, Y; Liu, XF; Miao, JK; Leng, KL</t>
  </si>
  <si>
    <t>Yu, Yuan; Liu, Xiaofang; Miao, Junkui; Leng, Kailiang</t>
  </si>
  <si>
    <t>Chitin from Antarctic krill shell: Eco-preparation, detection, and characterization</t>
  </si>
  <si>
    <t>INTERNATIONAL JOURNAL OF BIOLOGICAL MACROMOLECULES</t>
  </si>
  <si>
    <t>Antarctic krill shell; Chitin; Amino-monosaccharide</t>
  </si>
  <si>
    <t>SHRIMP SHELLS; PHOSPHORYLATED PEPTIDES; PHYSICOCHEMICAL PROPERTIES; CHITOSAN PREPARATION; PROTEIN; EXTRACTION; CRAB; WASTE; IDENTIFICATION; OPTIMIZATION</t>
  </si>
  <si>
    <t>Antarctic krill is a nutrient-rich crustacean that is one of the main species in the Antarctic ecosystem. Antarctic krill shell (AKS) can be used as raw materials to prepare chitin. In this study, lactic acid and dispase were used to prepare Antarctic krill chitin (AKC-1). Amino-monosaccharide contents of chitin samples were detected by pre-column PMP-HPLC method. Analytical instruments were conducted to determine characteristics of chitin samples. Results showed that the amino-monosaccharide content of AKS was 4.62 g/100 g (measured in D-glucosamine). The yield of AKC-1 was 5.49 g/100 g, and the amino-monosaccharide content was 80.90 g/100 g. AKC-1 showed smooth flakes, a porous surface, and alpha-chitin structural characteristics. The maximum degradation temperature (DTG(max)) was 318.3 degrees C. The yield of deacetylated chitin (AKC-2) was 4.74 g/100 g, with deacetylation degree of 80.8%, viscosity average molecular weight of approximately 145.7 kDa, and amino-monosaccharide content of 97.06 g/100 g. The surface morphology of AKC-2 was similar to that of AKC-1, and the DTG(max) was 311.5 degrees C. A mild, eco-friendly chitin preparation method and an amino-monosaccharide content detection method of raw material before chitin preparation are described in this study, which can provide technical support for comprehensive utilization of Antarctic krill resources. (C) 2020 Elsevier B.V. All rights reserved.</t>
  </si>
  <si>
    <t>[Yu, Yuan; Liu, Xiaofang; Miao, Junkui; Leng, Kailiang] Chinese Acad Fishery Sci, Yellow Sea Fisheries Res Inst, Key Lab Sustainable Dev Polar Fishery, Minist Agr &amp; Rural Affairs, 106 Nanjing Rd, Qingdao 266071, Shandong, Peoples R China; [Leng, Kailiang] Pilot Natl Lab Marine Sci &amp; Technol Qingdao, Lab Marine Drugs &amp; Bioprod, 1 Wenhai Rd, Qingdao 266200, Shandong, Peoples R China</t>
  </si>
  <si>
    <t>Ministry of Agriculture &amp; Rural Affairs; Chinese Academy of Fishery Sciences; Yellow Sea Fisheries Research Institute, CAFS; Laoshan Laboratory</t>
  </si>
  <si>
    <t>Leng, KL (corresponding author), Chinese Acad Fishery Sci, Yellow Sea Fisheries Res Inst, Key Lab Sustainable Dev Polar Fishery, Minist Agr &amp; Rural Affairs, 106 Nanjing Rd, Qingdao 266071, Shandong, Peoples R China.</t>
  </si>
  <si>
    <t>lengkl@ysfri.ac.cn</t>
  </si>
  <si>
    <t>Li, Yan/JUU-5189-2023</t>
  </si>
  <si>
    <t>Marine S&amp;T Fund of Shandong Province for Pilot National Laboratory for Marine Science and Technology (Qingdao) [2018SDKJ0304-4]</t>
  </si>
  <si>
    <t>Marine S&amp;T Fund of Shandong Province for Pilot National Laboratory for Marine Science and Technology (Qingdao)</t>
  </si>
  <si>
    <t>This study was financially supported by the Marine S&amp;T Fund of Shandong Province for Pilot National Laboratory for Marine Science and Technology (Qingdao) (No. 2018SDKJ0304-4).</t>
  </si>
  <si>
    <t>0141-8130</t>
  </si>
  <si>
    <t>1879-0003</t>
  </si>
  <si>
    <t>INT J BIOL MACROMOL</t>
  </si>
  <si>
    <t>Int. J. Biol. Macromol.</t>
  </si>
  <si>
    <t>10.1016/j.ijbiomac.2020.08.244</t>
  </si>
  <si>
    <t>Biochemistry &amp; Molecular Biology; Chemistry, Applied; Polymer Science</t>
  </si>
  <si>
    <t>Biochemistry &amp; Molecular Biology; Chemistry; Polymer Science</t>
  </si>
  <si>
    <t>OP4ZV</t>
  </si>
  <si>
    <t>WOS:000588093700393</t>
  </si>
  <si>
    <t>Kim, S; Yoo, KC; Lee, JI; Roh, YH; Bak, YS; Um, IK; Lee, MK; Yoon, HI</t>
  </si>
  <si>
    <t>Kim, Sunghan; Yoo, Kyu-Cheul; Lee, Jae Il; Roh, Youn Ho; Bak, Young-Suk; Um, In-Kwon; Lee, Min Kyung; Yoon, Ho Il</t>
  </si>
  <si>
    <t>Paleoceanographic changes in the Southern Ocean off Elephant Island since the last glacial period: Links between surface water productivity, nutrient utilization, bottom water currents, and ice-rafted debris</t>
  </si>
  <si>
    <t>Paleoceanography; Marine core; Geochemistry; Nutrient utilization; Ocean-cryosphere interaction; Ice-rafted debris</t>
  </si>
  <si>
    <t>ANTARCTIC CIRCUMPOLAR CURRENT; LATE QUATERNARY; SEA-ICE; SCOTIA SEA; INDIAN SECTOR; GRAIN-SIZE; ISOTOPIC COMPOSITION; PALEOCURRENT SPEED; CLIMATE CHANGES; SORTABLE SILT</t>
  </si>
  <si>
    <t>To understand past changes in ocean-cryosphere interactions in the Southern Ocean off the Antarctic Peninsula, multi-proxy analyses of three sediment cores located off Elephant Island were used to reconstruct changes in paleoproductivity, nutrient utilization, bottom current intensity, and iceberg calving since the last glacial period. The glacial period was characterized by low surface water produc-tivity with high nutrient utilization, indicating surface water stratification. During the deglaciation, surface water productivity increased with decreasing nutrient utilization, implying that the increase is associated with increased nutrient supply from the subsurface water by enhancing Antarctic Circumpolar Current (ACC) influence as fronts migrate southward with warming. Abundant occurrence of grains &gt;1 mm during the deglacial period indicates rapid ice sheet retreat with large-scale melting and calving. During the glacial period, however, coarse silt-fine sand-sized fraction represented ice-rafted debris (IRD). The different IRD grain size characteristics are thought to be related to the IRD source material characteristics. Regardless of IRD input, the running downcore correlation (5 to 9-point) between sortable silt mean grain size and percentage showed that sediments are well sorted by bottom current. However, the cross plot of them showed different temporal relationships. Sediments were sorted by the ACC and southwestward flowing bottom current. Along with southward migration of fronts and the ACC, southwestward flowing bottom current influence diminished, whereas the ACC influence increased particularly from 7 ka. Our results indicate that the sedimentary processes in the Scotia Sea largely depend on the regional interactions between the ocean and the cryosphere. (C) 2020 Elsevier Ltd. All rights reserved.</t>
  </si>
  <si>
    <t>[Kim, Sunghan; Yoo, Kyu-Cheul; Lee, Jae Il; Roh, Youn Ho; Lee, Min Kyung; Yoon, Ho Il] Korea Polar Res Inst, Incheon 21990, South Korea; [Roh, Youn Ho] Univ Sci &amp; Technol, Daejeon 34113, South Korea; [Bak, Young-Suk] Jeonbuk Natl Univ, Dept Earth &amp; Environm Sci, Jeonju 54896, South Korea; [Um, In-Kwon] Korea Inst Geosci &amp; Mineral Resources, Petr &amp; Marine Res Div, Daejeon 34132, South Korea</t>
  </si>
  <si>
    <t>Korea Polar Research Institute (KOPRI); University of Science &amp; Technology (UST); Jeonbuk National University; Korea Institute of Geoscience &amp; Mineral Resources (KIGAM)</t>
  </si>
  <si>
    <t>Yoo, KC (corresponding author), Korea Polar Res Inst, Incheon 21990, South Korea.</t>
  </si>
  <si>
    <t>kcyoo@kopri.re.kr</t>
  </si>
  <si>
    <t>Um, In Kwon/0000-0002-0191-8230</t>
  </si>
  <si>
    <t>KOPRI project [PE20180]</t>
  </si>
  <si>
    <t>KOPRI project(Korea Polar Research Institute of Marine Research Placement (KOPRI))</t>
  </si>
  <si>
    <t>We would like to thank the crew and scientific party of the R/V Yuzhmorgeologiya for their support during the onboard gravity coring. We would like to thank the KOPRI laboratory members for their assistance with experimental measurements. We appreciate the handling editor (Dr. Antje Voelker) and three anonymous reviewers for their important and constructive comments to improve data interpretation and manuscript structure. This research was supported by the KOPRI project (PE20180).</t>
  </si>
  <si>
    <t>10.1016/j.quascirev.2020.106563</t>
  </si>
  <si>
    <t>OS1FU</t>
  </si>
  <si>
    <t>WOS:000589910600007</t>
  </si>
  <si>
    <t>Alkama, R; Koffi, EN; Vavrus, SJ; Diehl, T; Francis, JA; Stroeve, J; Forzieri, G; Vihma, T; Cescatti, A</t>
  </si>
  <si>
    <t>Alkama, Ramdane; Koffi, Ernest N.; Vavrus, Stephen J.; Diehl, Thomas; Francis, Jennifer Ann; Stroeve, Julienne; Forzieri, Giovanni; Vihma, Timo; Cescatti, Alessandro</t>
  </si>
  <si>
    <t>Wind amplifies the polar sea ice retreat</t>
  </si>
  <si>
    <t>polar sea ice; wind speed; poleward transfer of heat and moisture; thermal; dynamic; turbulent and radiative; local vertical fluxes; large-scale horizontal fluxes</t>
  </si>
  <si>
    <t>ARCTIC AMPLIFICATION; CLIMATE-CHANGE; REANALYSIS; OCEAN; VARIABILITY; EVOLUTION; MOISTURE; IMPACTS; TRENDS; SPEED</t>
  </si>
  <si>
    <t>The rapid polar sea ice retreat and its drivers are challenging and still unresolved questions in climate change research. In particular, the relationship between near-surface wind speed and sea ice extent remains unclear for two main reasons: (1) observed wind speeds over Polar Regions are very sparse, and (2) simulated winds by climate models are dependent on subjective parameterizations of boundary layer stratification, ultimately leading to large uncertainty. Here, we use observation-based data (passive microwave sea ice concentration and six different reanalysis datasets) together with output from 26 climate models (from the CMIP5 archive) to quantify the relationships between near-surface wind speed and sea ice concentration over the past 40 years. We find strong inverse relationships between near-surface wind speed and sea ice concentration that are consistent among the six reanalysis datasets. The poleward wind component is particularly increasing in years of reduced sea ice concentration, which contributes to the enhancement of the atmospheric (surface oceanic) poleward heat flux by up to 24 +/- 1% (29 +/- 2%) in the Arctic and 37 +/- 3% (51 +/- 3%) in the Antarctic seas, therefore boosting the impact of polar sea ice loss and contributing to polar amplification of climate warming. In addition, our results show a marginal contribution of the dynamical (pushing/opening/compacting) effects of wind on sea ice compared to the thermodynamic effects which in turn play a lower role than the associated change in local surface Autumn-Winter turbulent and Spring-Summer radiative fluxes. Climate models generally produce similar results but with lower magnitude, and one model even simulates the opposite relationship wind/sea-ice. Given the rapid changes in polar climate and the potential impacts on the mid-latitudes, it is urgent that model developments make use of evidence from satellite observations and reanalysis datasets to reduce uncertainties in the representation of relationships between polar winds and sea ice.</t>
  </si>
  <si>
    <t>[Alkama, Ramdane; Koffi, Ernest N.; Diehl, Thomas; Forzieri, Giovanni; Cescatti, Alessandro] European Commiss, Joint Res Ctr, Ispra, Italy; [Vavrus, Stephen J.] Univ Wisconsin, Nelson Inst Ctr Climat Res, Madison, WI 53706 USA; [Francis, Jennifer Ann] Woods Hole Res Ctr, Falmouth, MA USA; [Stroeve, Julienne] UCL, Ctr Polar Observat &amp; Modelling, London, England; [Vihma, Timo] Finnish Meteorol Inst, Helsinki, Finland</t>
  </si>
  <si>
    <t>European Commission Joint Research Centre; EC JRC ISPRA Site; University of Wisconsin System; University of Wisconsin Madison; Woodwell Climate Research Center; University of London; University College London; Finnish Meteorological Institute</t>
  </si>
  <si>
    <t>Alkama, R (corresponding author), European Commiss, Joint Res Ctr, Ispra, Italy.</t>
  </si>
  <si>
    <t>ram.alkama@hotmail.fr</t>
  </si>
  <si>
    <t>Francis, Jennifer/JPX-0349-2023; Alkama, Ramdane/ABF-9937-2021</t>
  </si>
  <si>
    <t>Alkama, Ramdane/0000-0001-9864-2084</t>
  </si>
  <si>
    <t>Academy of Finland [304345]; European Commission Joint Research Centre; Academy of Finland (AKA) [304345] Funding Source: Academy of Finland (AKA)</t>
  </si>
  <si>
    <t>Academy of Finland(Research Council of Finland); European Commission Joint Research Centre(European Union (EU)European Commission Joint Research Centre); Academy of Finland (AKA)(Research Council of Finland)</t>
  </si>
  <si>
    <t>The authors acknowledge the use of NCEP_NCAR and NCEP_DOE Reanalysis Derived data provided by the NOAA/OAR/ESRL PSD, Boulder, Colorado, USA; the ASR reanalysis project carried out by the National Center for Atmospheric Research and Byrd Polar and Climate Research Center of The Ohio State University; the ERAinterim and ERA5 Reanalysis project carried out by the European Centre for Medium-Range Weather Forecasts (ECMWF) generated using Copernicus Climate Change Service Information 2019, as well as the modeling groups that contributed to the CMIP5 data archive. This work was supported by European Commission Joint Research Centre. TV was supported by the Academy of Finland (contract 304345).</t>
  </si>
  <si>
    <t>10.1088/1748-9326/abc379</t>
  </si>
  <si>
    <t>PA8BE</t>
  </si>
  <si>
    <t>WOS:000595853000001</t>
  </si>
  <si>
    <t>Edwards, B; Kochtitzky, W; Battersby, S</t>
  </si>
  <si>
    <t>Edwards, Benjamin; Kochtitzky, William; Battersby, Sarah</t>
  </si>
  <si>
    <t>Global mapping of future glaciovolcanism</t>
  </si>
  <si>
    <t>Glaciovolcanism; Glaciers; Glacierized volcanoes; Volcano-ice interactions; Volcanic hazards</t>
  </si>
  <si>
    <t>ICE CAP; ERUPTION; DEGLACIATION; GLACIERS; ICELAND; VOLCANO; SURFACE; BENEATH; RATES</t>
  </si>
  <si>
    <t>We created a global database of glacierized volcanoes, using a projection optimized for each volcano, to identify locations where land ice (glaciers and ice sheets) and volcanoes co-exist on Earth. Our spatial database melds the Smithsonian Global Volcanism Database (SGVD) and the Randolph Glacier Inventory 6.0 (RGI). We identified all Holocene volcanoes within the SGVD that have glacier ice within radii of 1 km, 2.5 km, and 5 km, and thus have the potential to impact or be impacted by surrounding ice. Our analysis shows that 245 Holocene volcanoes have glacier ice within the specified radii, which are covered partly or fully by 2584 unique glaciers or the Antarctic Ice Sheet. The volcanoes are located in all major volcano-tectonic settings, although the majority (72%) are in subduction zones built on continental crust (greater than 25 km thick). They also cover the majority of the typical compositional ranges for igneous rocks (basalt to rhyolite). Twenty-nine volcanoes, or 12%, have at least 90% ice cover within 5 km, which together comprise 36% of global glacier area on volcanoes. About 20,000 people live within 5 km of a glacierized volcano, while 160 million people live within 100 km of a glacierized volcano and could be impacted by lahars and/or disruption of their water sources during future eruptions. By merging our database with existing ice thickness model estimates we find 850 +/- 290 km(3) of ice within 5 km of volcanic vents globally. We compare the eruption history, ice volume, and nearby population estimates to identify the most dangerous volcanoes on Earth. The combination of volcano locations and ice thickness estimates allows us to identify 20 (out of 245) glacierized volcanoes that are most likely to experience 'thick' ice eruptions, while the vast majority are more likely to experience 'thin' ice eruptions.</t>
  </si>
  <si>
    <t>[Edwards, Benjamin; Kochtitzky, William] Dickinson Coll, Dept Earth Sci, Carlisle, PA 17013 USA; [Kochtitzky, William] Univ Maine, Sch Earth &amp; Climate Sci, Orono, ME 04469 USA; [Kochtitzky, William] Univ Maine, Climate Change Inst, Orono, ME 04469 USA; [Kochtitzky, William] Univ Ottawa, Dept Geog Environm &amp; Geomat, Ottawa, ON, Canada; [Battersby, Sarah] Tableau Res, Seattle, WA USA</t>
  </si>
  <si>
    <t>Dickinson College; University of Maine System; University of Maine Orono; University of Maine System; University of Maine Orono; University of Ottawa</t>
  </si>
  <si>
    <t>Edwards, B (corresponding author), Dickinson Coll, Dept Earth Sci, Carlisle, PA 17013 USA.</t>
  </si>
  <si>
    <t>edwardsb@dickinson.edu</t>
  </si>
  <si>
    <t>Will, Kochtitzky/AAW-8532-2021</t>
  </si>
  <si>
    <t>Edwards, Benjamin/0000-0001-9716-1369</t>
  </si>
  <si>
    <t>National Geographic Committee for Exploration [9356-13]; National Science Foundation [RAPID EAR 1039461]; Dickinson College Research and Development Committee; National Science Foundation Graduate Research Fellowship [DGE-1144205]; Vanier Graduate Scholarship; Polar Geospatial Center under NSFOPP awards [1043681, 1559691]</t>
  </si>
  <si>
    <t>National Geographic Committee for Exploration; National Science Foundation(National Science Foundation (NSF)); Dickinson College Research and Development Committee; National Science Foundation Graduate Research Fellowship(National Science Foundation (NSF)); Vanier Graduate Scholarship; Polar Geospatial Center under NSFOPP awards</t>
  </si>
  <si>
    <t>This project is the culmination of work started in 2013, and has been supported indirectly by National Geographic Committee for Exploration and Research Grant9356-13 (BE), National Science Foundation RAPID EAR 1039461 (to BE) and the Dickinson College Research and Development Committee. Kochtitzky was supported by the National Science Foundation Graduate Research Fellowship under Grant No. DGE-1144205 and the Vanier Graduate Scholarship. DigitalGlobe Inc. imagery for this work provided by the Polar Geospatial Center under NSFOPP awards 1043681 and 1559691. We are very grateful to two anonymous reviewers who improved this manuscript and pushed us to include volume estimates of glaciers.</t>
  </si>
  <si>
    <t>10.1016/j.gloplacha.2020.103356</t>
  </si>
  <si>
    <t>OV7BM</t>
  </si>
  <si>
    <t>WOS:000592360500004</t>
  </si>
  <si>
    <t>Zhang, MZ; Haward, M; McGee, J</t>
  </si>
  <si>
    <t>Zhang, Mengzhu; Haward, Marcus; McGee, Jeffrey</t>
  </si>
  <si>
    <t>Marine plastic pollution in the polar south: Responses from Antarctic Treaty System</t>
  </si>
  <si>
    <t>Antarctic Treaty System; Plastic pollution; Antarctic governance; Environmental protection; Antarctic Treaty Consultative Meeting</t>
  </si>
  <si>
    <t>WASTE-WATER; MICROPLASTICS; ACCUMULATION; DISPERSAL; DEBRIS; INGESTION; STATION</t>
  </si>
  <si>
    <t>Marine plastic pollution is increasing prominence in current discussions on the governance of the world's oceans. The Southern Ocean is geographically remote but is still significantly impacted by plastic pollution. Plastic pollution in the Southern Ocean can derive from a variety of sources, including waste from research stations and fishing operations within the Treaty Area and, through transport by ocean currents and wind-generated water movements, from outside the Treaty Area. While there is a growing academic literature on marine plastic pollution in Antarctic, there is less attention to date on the response of the Antarctic Treaty System (ATS) to this issue. This paper analyses how the ATS has engaged with the issue of plastic waste in general, and marine plastic pollution more particularly, from the entry into force of the Protocol on Environmental Protection to the Antarctic Treaty in 1998-2019. Our results indicate that from 2017 the ATS has shown increased attention towards addressing locally sourced marine plastic pollution. A significant problem, however, remains with the respect to marine plastic pollution originating from outside Antarctic Treaty Area that requires a governance response from outside the ATS.</t>
  </si>
  <si>
    <t>[Zhang, Mengzhu; Haward, Marcus; McGee, Jeffrey] Univ Tasmania, Inst Marine &amp; Antarctic Studies, Hobart, Tas, Australia; [Zhang, Mengzhu; Haward, Marcus; McGee, Jeffrey] Univ Tasmania, Ctr Marine Socioecoi, Hobart, Tas, Australia; [McGee, Jeffrey] Univ Tasmania, Fac Law, Coll Arts Law &amp; Educ, Hobart, Tas, Australia</t>
  </si>
  <si>
    <t>University of Tasmania; University of Tasmania; University of Tasmania</t>
  </si>
  <si>
    <t>Zhang, MZ (corresponding author), Univ Tasmania, Inst Marine &amp; Antarctic Studies, Hobart, Tas, Australia.;Zhang, MZ (corresponding author), Univ Tasmania, Ctr Marine Socioecoi, Hobart, Tas, Australia.</t>
  </si>
  <si>
    <t>mengzhu.zhang@utas.edu.au</t>
  </si>
  <si>
    <t>Haward, Marcus/G-3369-2014; McGee, Jeffrey/K-7322-2015</t>
  </si>
  <si>
    <t>Zhang, Mengzhu/0000-0003-2710-8532; McGee, Jeffrey/0000-0002-2093-5896</t>
  </si>
  <si>
    <t>e36</t>
  </si>
  <si>
    <t>10.1017/S0032247420000388</t>
  </si>
  <si>
    <t>OZ3WG</t>
  </si>
  <si>
    <t>WOS:000594860000001</t>
  </si>
  <si>
    <t>Dubow, S</t>
  </si>
  <si>
    <t>Dubow, Saul</t>
  </si>
  <si>
    <t>GLOBAL SCIENCE, NATIONAL HORIZONS: SOUTH AFRICA IN DEEP TIME AND SPACE</t>
  </si>
  <si>
    <t>HISTORICAL JOURNAL</t>
  </si>
  <si>
    <t>ASTRONOMY; KNOWLEDGE</t>
  </si>
  <si>
    <t>In his inaugural lecture, Saul Dubow, Smuts Professor of Commonwealth History at Cambridge University, discusses the modern history of science in South Africa in terms of 'deep time' and space, drawing links between developments in astronomy, palaeontology, and Antarctic research. He argues that Jan Smuts's synthetic discussion of South African science in 1925, followed by J. H. Hofmeyr's discussion of the 'South Africanization' of science in 1929, has parallels in post-apartheid conceptions of scientific-led nation-building, for example in Thabo Mbeki's elaboration of the 'African Renaissance'. Yet, whereas the vision of science elaborated by Smuts was geared exclusively to white unity, Mbeki's Africanist vision of South African science was ostensibly more inclusive. The lecture concludes by considering South Africa as one of several middle order countries which have used national science and scientific patriotism to address experiences of colonialism and relations of inequality and to assert their influence in regional contexts.</t>
  </si>
  <si>
    <t>[Dubow, Saul] Univ Cambridge, Cambridge, England; [Dubow, Saul] Magdalene Coll, Cambridge CB3 0AG, England</t>
  </si>
  <si>
    <t>University of Cambridge; University of Cambridge</t>
  </si>
  <si>
    <t>Dubow, S (corresponding author), Univ Cambridge, Cambridge, England.;Dubow, S (corresponding author), Magdalene Coll, Cambridge CB3 0AG, England.</t>
  </si>
  <si>
    <t>shd28@cam.ac.uk</t>
  </si>
  <si>
    <t>0018-246X</t>
  </si>
  <si>
    <t>1469-5103</t>
  </si>
  <si>
    <t>HIST J</t>
  </si>
  <si>
    <t>Hist. J.</t>
  </si>
  <si>
    <t>PII S0018246X19000700</t>
  </si>
  <si>
    <t>10.1017/S0018246X19000700</t>
  </si>
  <si>
    <t>Social Science Citation Index (SSCI); Arts &amp; Humanities Citation Index (A&amp;HCI)</t>
  </si>
  <si>
    <t>OT4HU</t>
  </si>
  <si>
    <t>WOS:000590810200001</t>
  </si>
  <si>
    <t>Ruiz-Gil, T; Acuña, JJ; Fujiyoshi, S; Tanaka, D; Noda, J; Maruyama, F; Jorquera, MA</t>
  </si>
  <si>
    <t>Ruiz-Gil, Tay; Acuna, Jacquelinne J.; Fujiyoshi, So; Tanaka, Daisuke; Noda, Jun; Maruyama, Fumito; Jorquera, Milko A.</t>
  </si>
  <si>
    <t>Airborne bacterial communities of outdoor environments and their associated influencing factors</t>
  </si>
  <si>
    <t>Airborne bacteria; Atmosphere; Bacterial communities; Bioaerosols; Outdoor environments</t>
  </si>
  <si>
    <t>ANTIBIOTIC-RESISTANCE GENES; ICE NUCLEATION ACTIVITY; PARTICULATE MATTER; SIZE DISTRIBUTION; RIBOSOMAL-RNA; CULTURABLE MICROORGANISMS; PRECIPITATION CHEMISTRY; METEOROLOGICAL FACTORS; MICROBIAL COMMUNITIES; CHEMICAL-COMPOSITION</t>
  </si>
  <si>
    <t>Microbial entities (such bacteria, fungi, archaea and viruses) within outdoor aerosols have been scarcely studied compared with indoor aerosols and nonbiological components, and only during the last few decades have their studies increased. Bacteria represent an important part of the microbial abundance and diversity in a wide variety of rural and urban outdoor bioaerosols. Currently, airborne bacterial communities are mainly sampled in two aerosol size fractions (2.5 and 10 mu m) and characterized by culture-dependent (plate-counting) and culture-independent (DNA sequencing) approaches. Studies have revealed a large diversity of bacteria in bioaerosols, highlighting Proteobacteria, Firmicutes, Actinobacteria and Bacteroidetes as ubiquitous phyla. Seasonal variations in and dispersion of bacterial communities have also been observed between geographical locations as has their correlation with specific atmospheric factors. Several investigations have also suggested the relevance of airborne bacteria in the public health and agriculture sectors as well as remediation and atmospheric processes. However, although factors influencing airborne bacterial communities and standardized procedures for their assessment have recently been proposed, the use of bacterial taxa as microbial indicators of specific bioaerosol sources and seasonality have not been broadly explored. Thus, in this review, we summarize and discuss recent advances in the study of airborne bacterial communities in outdoor environments and the possible factors influencing their abundance, diversity, and seasonal variation. Furthermore, airborne bacterial activity and bioprospecting in different fields (e.g., the textile industry, the food industry, medicine, and bioremediation) are discussed. We expect that this review will reveal the relevance and influencing factors of airborne bacteria in outdoor environments as well as stimulate new investigations on the atmospheric microbiome, particularly in areas where air quality is a public concern.</t>
  </si>
  <si>
    <t>[Ruiz-Gil, Tay] Univ La Frontera, Fac Ingn &amp; Ciencias, Doctorado Ciencias Recursos Nat, Temuco, Chile; [Ruiz-Gil, Tay; Acuna, Jacquelinne J.; Fujiyoshi, So; Maruyama, Fumito; Jorquera, Milko A.] Univ La Frontera, Lab Ecol Microbiana Aplicada EMALAB, Dept Ciencias Quim &amp; Recursos Nat, Temuco, Chile; [Acuna, Jacquelinne J.; Fujiyoshi, So; Maruyama, Fumito; Jorquera, Milko A.] Univ La Frontera, Sci &amp; Technol Bioresource Nucleus BIOREN, Network Extreme Environm Res NEXER, Temuco, Chile; [Fujiyoshi, So; Maruyama, Fumito] Hiroshima Univ, Off Ind Acad Govt &amp; Community Collaborat, Microbial Genom &amp; Ecol, Hiroshima, Japan; [Acuna, Jacquelinne J.; Fujiyoshi, So; Noda, Jun; Maruyama, Fumito; Jorquera, Milko A.] Hiroshima Univ, Ctr Holobiome &amp; Built Environm CHOBE, Hiroshima, Japan; [Tanaka, Daisuke] Univ Toyama, Grad Sch Sci &amp; Engn, Toyama, Japan; [Noda, Jun] Rakuno Gakuen Univ, Grad Sch Vet Sci, Ebetsu, Hokkaido, Japan</t>
  </si>
  <si>
    <t>Universidad de La Frontera; Universidad de La Frontera; Universidad de La Frontera; Hiroshima University; Hiroshima University; University of Toyama; Rakuno Gakuen University</t>
  </si>
  <si>
    <t>Jorquera, MA (corresponding author), Univ La Frontera, Dept Ciencias Quim &amp; Recursos Nat, Ave Francisco Salazar, Temuco 01145, Chile.</t>
  </si>
  <si>
    <t>milko.jorquera@ufrontera.cl</t>
  </si>
  <si>
    <t>Fujiyoshi, So/ABD-3730-2020; Fujiyoshi, So/AGQ-2034-2022; Noda, Jun/AAG-3762-2019; Jorquera, Milko Alberto/B-7378-2011; Maruyama, Fumito/AAK-5928-2020</t>
  </si>
  <si>
    <t>Fujiyoshi, So/0000-0003-4306-332X; Noda, Jun/0000-0002-8873-7650; Maruyama, Fumito/0000-0003-2347-616X; Acuna, Jacquelinne/0000-0002-7752-166X; Tanaka, Daisuke/0000-0001-7542-0323; JORQUERA, MILKO/0000-0003-4760-6379</t>
  </si>
  <si>
    <t>National Fund for Scientific and Technological Development (FONDECYT) [1201386]; Chilean Antarctic Institute (INACH) project [RT_02_16]; Science and Technology Research Partnership for Sustainable Development (SATREPS JICA/JST) project [JPMJSA1705]; JSPS [19KK0263]; Japan Agency for Medical Research and Development AMED [20fk0108129h0501]; UFRO Scholarship from Universidad de La Frontera; Program Apoyo a Profesores Patrocinantes de Alumnos de Pre y Postgrado, Vicerrectoria de Investigacion y Postgrado, Universidad de La FronteraVicerrectoria de Investigacion y Postgrado, Universidad de La Frontera [DI19-2016]; Grants-in-Aid for Scientific Research [19KK0263, 20K18903] Funding Source: KAKEN</t>
  </si>
  <si>
    <t>National Fund for Scientific and Technological Development (FONDECYT)(Comision Nacional de Investigacion Cientifica y Tecnologica (CONICYT)CONICYT FONDECYT); Chilean Antarctic Institute (INACH) project; Science and Technology Research Partnership for Sustainable Development (SATREPS JICA/JST) project; JSPS(Ministry of Education, Culture, Sports, Science and Technology, Japan (MEXT)Japan Society for the Promotion of Science); Japan Agency for Medical Research and Development AMED(Japan Agency for Medical Research and Development (AMED)); UFRO Scholarship from Universidad de La Frontera; Program Apoyo a Profesores Patrocinantes de Alumnos de Pre y Postgrado, Vicerrectoria de Investigacion y Postgrado, Universidad de La FronteraVicerrectoria de Investigacion y Postgrado, Universidad de La Frontera; Grants-in-Aid for Scientific Research(Ministry of Education, Culture, Sports, Science and Technology, Japan (MEXT)Japan Society for the Promotion of ScienceGrants-in-Aid for Scientific Research (KAKENHI))</t>
  </si>
  <si>
    <t>The authors thank the financial support given by The National Fund for Scientific and Technological Development (FONDECYT) project no. 1201386 (to J.J.A. and M.A.J.), by Chilean Antarctic Institute (INACH) project code RT_02_16 (to J.J.A. and M.A.J.), by Science and Technology Research Partnership for Sustainable Development (SATREPS JICA/JST) project code JPMJSA1705 (to J.J.A, S.F., F.M. and M.A.J.), by JSPS joint international research KAKENHI-19KK0263 (to D.T., J.N. and F. M.) and Japan Agency for Medical Research and Development AMED 20fk0108129h0501 (to F.M.), by UFRO Scholarship from Universidad de La Frontera (to T.R.G.), and by Program Apoyo a Profesores Patrocinantes de Alumnos de Pre y Postgrado, Vicerrectoria de Investigacion y Postgrado, Universidad de La FronteraVicerrectoria de Investigacion y Postgrado, Universidad de La Frontera, code DI19-2016 (to T.R.G.).</t>
  </si>
  <si>
    <t>10.1016/j.envint.2020.106156</t>
  </si>
  <si>
    <t>OE6IJ</t>
  </si>
  <si>
    <t>WOS:000580632000068</t>
  </si>
  <si>
    <t>Keeler, DG; Rupper, SB; Forster, R; Miège, C</t>
  </si>
  <si>
    <t>Keeler, Durban G.; Rupper, Summer B.; Forster, Richard; Miege, Clement</t>
  </si>
  <si>
    <t>A Probabilistic Automated Isochrone Picking Routine to Derive Annual Surface Mass Balance From Radar Echograms</t>
  </si>
  <si>
    <t>Ice; Radar imaging; Antarctica; Sea surface; Radar remote sensing; Snow; Accumulation; Antarctica; NASA Operation IceBridge (OIB); radar echo sounding; surface mass balance (SMB)</t>
  </si>
  <si>
    <t>ACCUMULATION RATES; THWAITES GLACIER; SNOW ACCUMULATION; INTERNAL LAYERS; WEST ANTARCTICA; ICE; GREENLAND; DEPTH; VARIABILITY; THICKNESS</t>
  </si>
  <si>
    <t>The surface mass balance (SMB) of West Antarctica is an important glaciological input to understanding polar climate and sea-level rise but with historically poor in situ data coverage. Previous studies demonstrate the utility of frequency-modulated continuous-wave radar to image subsurface layering in ice sheets, providing an additional source of data with which to estimate SMB. Traditional methods, however, require time-intensive manual oversight. Here, we present a probabilistic, fully automated approach to estimate annual SMB and uncertainties from radar echograms using successive peak-finding and weighted neighborhood search algorithms with the Monte Carlo simulations based on annual-layer likelihood scores. We apply this method to ground-based and airborne radar in a 175-km transect of the West Antarctic interior and compare the results to traditional manual methods and independent estimates from firn cores. The method demonstrates an automated estimation of SMB across a range of accumulation rates (100-450-mm water equivalent per year) and layer gradients up to 2 m/km. Based on likelihood-weighted F-scores, automated layer picks have a success rate between 64% and 84.6% compared with manually picked layers for three validation sites dispersed across the region. Comparisons between the automated SMB estimates and independent firn cores show a bias of 24 +/- 70-mm water equivalent per year (12% +/- 35% water equivalent of the in situ mean accumulation rate) although individual core site biases differ. This new approach permits the fully automated extraction of annual SMB rates and should be broadly and readily applicable to previously collected and ongoing radar data sets across polar regions.</t>
  </si>
  <si>
    <t>[Keeler, Durban G.; Rupper, Summer B.; Forster, Richard] Univ Utah, Dept Geog, Salt Lake City, UT 84112 USA; [Miege, Clement] Rutgers State Univ, Dept Geog, Piscataway, NJ 08854 USA</t>
  </si>
  <si>
    <t>Utah System of Higher Education; University of Utah; Rutgers University System; Rutgers University New Brunswick</t>
  </si>
  <si>
    <t>Keeler, DG (corresponding author), Univ Utah, Dept Geog, Salt Lake City, UT 84112 USA.</t>
  </si>
  <si>
    <t>durban.keeler@utah.edu; summer.rupper@geog.utah.edu; rick.forster@geog.utah.edu; clement.miege@gmail.com</t>
  </si>
  <si>
    <t>Rupper, Summer/KHD-4492-2024</t>
  </si>
  <si>
    <t>Keeler, Durban/0000-0002-9722-3731; Rupper, Summer/0000-0001-8655-5282; Miege, Clement/0000-0002-1894-3723</t>
  </si>
  <si>
    <t>NASA Cryospheric Sciences [NNX16AJ72G]</t>
  </si>
  <si>
    <t>NASA Cryospheric Sciences(National Aeronautics &amp; Space Administration (NASA))</t>
  </si>
  <si>
    <t>This work was supported by the NASA Cryospheric Sciences under Grant NNX16AJ72G.</t>
  </si>
  <si>
    <t>10.1109/TGRS.2020.2989102</t>
  </si>
  <si>
    <t>OY6YF</t>
  </si>
  <si>
    <t>WOS:000594389800027</t>
  </si>
  <si>
    <t>Kim, D; Chae, N; Kim, M; Nam, S; Kim, E; Lee, H</t>
  </si>
  <si>
    <t>Kim, Dockyu; Chae, Namyi; Kim, Mincheol; Nam, Sungjin; Kim, Eungbin; Lee, Hyoungseok</t>
  </si>
  <si>
    <t>Soil water content as a critical factor for stable bacterial community structure and degradative activity in maritime Antarctic soil</t>
  </si>
  <si>
    <t>JOURNAL OF MICROBIOLOGY</t>
  </si>
  <si>
    <t>Antarctic tundra soil; bacterial composition; degradative activity; humic substances; microcosm</t>
  </si>
  <si>
    <t>TEMPERATURE SENSITIVITY; DECOMPOSITION; DIVERSITY; ARCHAEAL; HABITAT; CARBON</t>
  </si>
  <si>
    <t>Recent increases in air temperature across the Antarctic Peninsula may prolong the thawing period and directly affect the soil temperature (T-s) and volumetric soil water content (SWC) in maritime tundra. Under an 8 degrees C soil warming scenario, two customized microcosm systems with maritime Antarctic soils were incubated to investigate the differential influence of SWC on the bacterial community and degradation activity of humic substances (HS), the largest constituent of soil organic carbon and a key component of the terrestrial ecosystem. When the microcosm soil (KS1-4Feb) was incubated for 90 days (T = 90) at a constant SWC of ~32%, the initial HS content (167.0 mg/g of dried soil) decreased to 156.0 mg (approximately 6.6% loss, p &lt; 0.05). However, when another microcosm soil (KS1-4Apr) was incubated with SWCs that gradually decreased from 37% to 9% for T = 90, HS degradation was undetected. The low HS degradative activity persisted, even after the SWC was restored to 30% with water supply for an additional T = 30. Overall bacterial community structure remained relatively stable at a constant SWC setting (KS1-4Feb). In contrast, we saw marked shifts in the bacterial community structure with the changing SWC regimen (KS1-4Apr), suggesting that the soil bacterial communities are vulnerable to drying and re-wetting conditions. These microcosm experiments provide new information regarding the effects of constant SWC and higher T-s on bacterial communities for HS degradation in maritime Antarctic tundra soil.</t>
  </si>
  <si>
    <t>[Kim, Dockyu; Kim, Mincheol; Nam, Sungjin; Lee, Hyoungseok] Korea Polar Res Inst, Div Life Sci, Incheon 21990, South Korea; [Chae, Namyi] Korea Univ, Inst Life Sci &amp; Nat Resources, Seoul 02841, South Korea; [Kim, Eungbin] Yonsei Univ, Dept Syst Biol, Seoul 03722, South Korea</t>
  </si>
  <si>
    <t>Korea Polar Research Institute (KOPRI); Korea University; Yonsei University</t>
  </si>
  <si>
    <t>Lee, Hyoungseok/0000-0002-5831-6345; , Eungbin/0000-0002-4851-4743</t>
  </si>
  <si>
    <t>MICROBIOLOGICAL SOCIETY KOREA</t>
  </si>
  <si>
    <t>KOREA SCIENCE &amp; TECHNOLOGY CENTER 803, 635-4 YEOGSAM-DONG, KANGNAM-KU, SEOUL 135-703, SOUTH KOREA</t>
  </si>
  <si>
    <t>1225-8873</t>
  </si>
  <si>
    <t>1976-3794</t>
  </si>
  <si>
    <t>J MICROBIOL</t>
  </si>
  <si>
    <t>J. Microbiol.</t>
  </si>
  <si>
    <t>10.1007/s12275-020-0490-9</t>
  </si>
  <si>
    <t>PA1LZ</t>
  </si>
  <si>
    <t>WOS:000595382700004</t>
  </si>
  <si>
    <t>Kim, M; Cho, H; Lee, WY</t>
  </si>
  <si>
    <t>Kim, Mincheol; Cho, Hyunjun; Lee, Won Young</t>
  </si>
  <si>
    <t>Distinct gut microbiotas between southern elephant seals and Weddell seals of Antarctica</t>
  </si>
  <si>
    <t>gut microbiome; marine mammal; Phocidae; Antarctic seal; NMR</t>
  </si>
  <si>
    <t>BACTERIAL COMMUNITIES; MARINE MAMMALS; MCMURDO-SOUND; R PACKAGE; DIVERSITY; DIET; HOST; PHYLOGENY; ECOLOGY; CONVERGENCE</t>
  </si>
  <si>
    <t>The gut microbiome provides ecological information about host animals, but we still have limited knowledge of the gut microbiome, particularly for animals inhabiting remote locations, such as Antarctica. Here, we compared fecal microbiota between southern elephant seals (Mirounga leonina) and Weddell seals (Leptonychotes weddelli), that are top predatory marine mammals in the Antarctic ecosystem, using 16S rRNA amplicon sequencing and assessed the relationships of the gut microbial communities to functional profiles using gut metabolite analysis. The bacterial community did not differ significantly by host species or sex at the phylum level, but the distinction at the family level was obvious. The family Ruminococcaceae (Firmicutes) was more abundant in southern elephant seals than in Weddell seals, and the families Acidaminococcaceae (Firmicutes) and Pasteurellaceae (Gammaproteobacteria) were uniquely present in Weddell seals. The fecal bacterial community structure was distinctively clustered by host species, with only 6.7% of amplicon sequence variants (ASVs) shared between host species. This result implies that host phylogeny rather than other factors, such as diet or age, could be the major driver of fecal microbiotic diversification. Interestingly, there was no apparent sex effect on bacterial community structure in Weddell seals, but the effect of sex was pronounced in adult southern elephant seals mainly due to the prevalence of Edwardsiella sp., suggesting that extreme sexual dimorphism may modulate the gut microbiota of southern elephant seals. Unlike the clear distinction in the taxonomic composition of fecal bacterial communities, there were no discernible differences in the profiles of potential microbial functions and gut metabolites between host species or sexes, indicating that functional redundancy dominates the gut microbiota of seals surveyed in this study.</t>
  </si>
  <si>
    <t>[Kim, Mincheol; Cho, Hyunjun; Lee, Won Young] Korea Polar Res Inst, Div Polar Life Sci, Incheon 21990, South Korea</t>
  </si>
  <si>
    <t>Korea Polar Research Institute (KOPRI)</t>
  </si>
  <si>
    <t>Lee, WY (corresponding author), Korea Polar Res Inst, Div Polar Life Sci, Incheon 21990, South Korea.</t>
  </si>
  <si>
    <t>wonyounglee@kopri.re.kr</t>
  </si>
  <si>
    <t>10.1007/s12275-020-0524-3</t>
  </si>
  <si>
    <t>WOS:000595382700005</t>
  </si>
  <si>
    <t>Marchand, LJ; Tarayre, M; Dorey, T; Rantier, Y; Hennion, F</t>
  </si>
  <si>
    <t>Marchand, Lorene Julia; Tarayre, Michele; Dorey, Thomas; Rantier, Yann; Hennion, Francoise</t>
  </si>
  <si>
    <t>Morphological variability of cushion plant Lyallia kerguelensis (Caryophyllales) in relation to environmental conditions and geography in the Kerguelen Islands: implications for cushion necrosis and climate change</t>
  </si>
  <si>
    <t>Cushion plant; Kerguelen islands; Morphological variability; Necrosis; Photointerpretation; Sub-Antarctic</t>
  </si>
  <si>
    <t>PRINGLEA-ANTISCORBUTICA; STRATEGIES; GROWTH; PORTULACACEAE; BIOGEOGRAPHY; FLEXIBILITY; WORLDWIDE; EVOLUTION; ECOSYSTEM; DECLINE</t>
  </si>
  <si>
    <t>In recent decades, climate change has been faster in various parts of the world. Within species, to counter rapid climate changes shift of geographical area, individuals' plastic responses or populations' genetic adaptation might occur. The sub-Antarctic islands are subject to one of the most rapid climate changes on earth, with already visible impacts on native vegetation. Such might be the case of Lyallia kerguelensis a cushion plant strictly endemic to the Kerguelen Islands. In L. kerguelensis, necrotic parts were observed in cushions these last decades and possibly related to water stress. We analysed morphological variability of L. kerguelensis, including necrosis extent, across 19 populations spanning a wide range of environments across the Kerguelen Islands. Inter-population variations in the cushion surface area, shape and compactness were well explained by topography, degree of wind exposure, slope aspect, proportions of coarse sand and bare soil, and geographical distance between populations. All these variables are related to wind intensity and water availability. Moreover, in cushions with less than 10% necrosis in surface area, necrosis extent was positively correlated to soil sodium. Sodium availability might reduce the plant's capacity for osmotic adjustment in face of other abiotic stresses, such as water stress. We conclude that cushion morphology may have the capacity to adjust to environmental variation, including aspects of climate change, but that cushion necrosis may be accelerated in the driest and most saline environments.</t>
  </si>
  <si>
    <t>[Marchand, Lorene Julia; Tarayre, Michele; Dorey, Thomas; Hennion, Francoise] Univ Rennes 1, CNRS, OSUR, ESDD,UMR ECOBIO 6553, Av Gen Leclerc, F-35042 Rennes, France; [Dorey, Thomas] Inst Systemat &amp; Evolutionare Bot, Zollikerstr 107, CH-8008 Zurich, Switzerland; [Rantier, Yann] Univ Rennes 1, CNRS, OSUR, SISAE,UMR ECOBIO 6553, Av Gen Leclerc, F-35042 Rennes, France</t>
  </si>
  <si>
    <t>Centre National de la Recherche Scientifique (CNRS); CNRS - Institute of Ecology &amp; Environment (INEE); Universite Rennes 2; Universite de Rennes; Centre National de la Recherche Scientifique (CNRS); Universite Rennes 2; Universite de Rennes; CNRS - Institute of Ecology &amp; Environment (INEE)</t>
  </si>
  <si>
    <t>Marchand, LJ (corresponding author), Univ Rennes 1, CNRS, OSUR, ESDD,UMR ECOBIO 6553, Av Gen Leclerc, F-35042 Rennes, France.</t>
  </si>
  <si>
    <t>lorene.marchand@univ-rennes1.fr</t>
  </si>
  <si>
    <t>Marchand, Lorène/JHV-0566-2023; Hennion, Francoise/P-3356-2014</t>
  </si>
  <si>
    <t>Marchand, Lorène/0000-0002-9633-0228; Dorey, Thomas/0000-0002-1945-6193</t>
  </si>
  <si>
    <t>French Polar Institute (IPEV) [1116]; CNRS (IRP grant AntarctPlantAdapt); Ministry of Research and Education (France)</t>
  </si>
  <si>
    <t>French Polar Institute (IPEV); CNRS (IRP grant AntarctPlantAdapt); Ministry of Research and Education (France)</t>
  </si>
  <si>
    <t>This research was supported by the French Polar Institute (IPEV, program 1116 PlantEvol) and CNRS (IRP grant AntarctPlantAdapt, F. Hennion). L.J.M. was supported by a PhD grant from the Ministry of Research and Education (France).</t>
  </si>
  <si>
    <t>10.1007/s00300-020-02768-2</t>
  </si>
  <si>
    <t>WOS:000595035800001</t>
  </si>
  <si>
    <t>Dunkley, DJ; Hokada, T; Shiraishi, K; Hiroi, Y; Nogi, Y; Motoyoshi, Y</t>
  </si>
  <si>
    <t>Dunkley, Daniel J.; Hokada, Tomokazu; Shiraishi, Kazuyuki; Hiroi, Yoshikuni; Nogi, Yoshifumi; Motoyoshi, Yoichi</t>
  </si>
  <si>
    <t>Geological subdivision of the Lutzow-Holm Complex in East Antarctica: From the Neoarchean to the Neoproterozoic</t>
  </si>
  <si>
    <t>POLAR SCIENCE</t>
  </si>
  <si>
    <t>East Antarctica; Gondwana; Lutzow-Holm complex; U-Pb zircon Age; SIMS geochronology</t>
  </si>
  <si>
    <t>GARNET-SILLIMANITE GNEISS; U-PB GEOCHRONOLOGY; PLUS QUARTZ ASSOCIATION; DRONNING MAUD LAND; SRI-LANKA; ZIRCON GEOCHRONOLOGY; CRUSTAL EVOLUTION; DETRITAL ZIRCON; ARC MAGMATISM; AKARUI POINT</t>
  </si>
  <si>
    <t>We summarize U-Pb age data for the Lutzow-Holm Complex (LHC) in East Antarctica and propose the following geological subdivisions based on protolith ages, along the coast of Dronning Maud Land from southwest to northeast: the Innhovde Suite (INH, 1070-1040 Ma) composed mainly of felsic orthogneiss; the Rundvagshetta Suite (RVG, 2520-2470 Ma), mostly felsic orthogneiss with minor mafic and metasedimentary gneisses; the Skallevikshalsen Suite (SKV, 1830-1790 Ma), felsic to mafic orthogneiss with abundant dolomitic marbles, calcsilicates and other metasediments; the Langhovde Suite (LHV, 1100-1050 Ma), mostly felsic orthogneiss with minor mafic and calc-silicate gneisses; the East Ongul Suite (EOG, 630 Ma), with various orthogneisses and metasediments; and the Akarui Suite (AKR, 970-800 Ma) with diverse orthogneisses and paragneisses. The oldest crustal components of the LHC lie in the southern part of Lutzow-Holm Bay, and consist of late Neoarchean and Paleoproterozoic protoliths to charnockites and enderbites that dominate the Rundvagshetta and Skallevikshalsen Suites. This older domain is surrounded by gneisses and granulites with late Mesoproterozoic to early Neoproterozoic protolith ages, including the Innhovde Suite and the Langhovde Suite. The Akarui Suite contains diverse orthogneisses with Neoproterozoic protoloiths, and the youngest unit is the East Ongul Suite with protolith ages of similar to 630 Ma. Cape Hinode, located geographically within the Akarui Suite, underwent high-grade metamorphism at similar to 960 Ma that is much older than that which produced the gneisses and granulites of the surrounding LHC (similar to 600-520 Ma). Cape Hinode is therefore exotic, independent of the surrounding LHC, and defined as the Hinode Block. The boundaries proposed in this paper are largely consistent with those inferred from magnetic anomalies, gravity anomalies, and bedrock topographical data.</t>
  </si>
  <si>
    <t>[Dunkley, Daniel J.; Hokada, Tomokazu; Shiraishi, Kazuyuki; Hiroi, Yoshikuni; Nogi, Yoshifumi; Motoyoshi, Yoichi] Natl Inst Polar Res, Tokyo 1908518, Japan; [Dunkley, Daniel J.] Polish Acad Sci, Inst Geophys, Dept Polar &amp; Marine Res, PL-01452 Warsaw, Poland; [Hokada, Tomokazu; Shiraishi, Kazuyuki; Nogi, Yoshifumi; Motoyoshi, Yoichi] Grad Univ Adv Studies SOKENDAI, Dept Polar Sci, Tokyo 1908518, Japan; [Hiroi, Yoshikuni] Chiba Univ, Dept Earth Sci, Chiba 2638522, Japan</t>
  </si>
  <si>
    <t>Research Organization of Information &amp; Systems (ROIS); National Institute of Polar Research (NIPR) - Japan; Polish Academy of Sciences; Institute of Geophysics of the Polish Academy of Sciences; Graduate University for Advanced Studies - Japan; Chiba University</t>
  </si>
  <si>
    <t>Hokada, T (corresponding author), Natl Inst Polar Res, Tokyo 1908518, Japan.</t>
  </si>
  <si>
    <t>hokada@nipr.ac.jp</t>
  </si>
  <si>
    <t>National Institute of Polar Research (NIPR) under MEXT; Japan Society for the Promotion of Science (JSPS); JSPS KAKENHI [JP17H02976]; National Institute of Polar Research (NIPR) [KP306]</t>
  </si>
  <si>
    <t>National Institute of Polar Research (NIPR) under MEXT; Japan Society for the Promotion of Science (JSPS)(Ministry of Education, Culture, Sports, Science and Technology, Japan (MEXT)Japan Society for the Promotion of Science); JSPS KAKENHI(Ministry of Education, Culture, Sports, Science and Technology, Japan (MEXT)Japan Society for the Promotion of ScienceGrants-in-Aid for Scientific Research (KAKENHI)); National Institute of Polar Research (NIPR)(National Institute of Polar Research (NIPR) - Japan)</t>
  </si>
  <si>
    <t>We are grateful to two anonymous reviewers and Associate Editor Prof M. Satish-Kumar for constructive and thoughtful reviews that improved the manuscript. We acknowledge many collaborative researchers in Antarctica. We thank Y. Osanai, M. Owada, T. Kawakami, T. Tsunogae, T. Toyoshima, M. Ishikawa, S. Baba, A. Kamei, I. Kitano, T. Miyamoto and Chris Carson for many fruitful discussion in and out of the field. This study is part of the Science Program of the Japanese Antarctic Research Expedition (JARE). It was supported by the National Institute of Polar Research (NIPR) under MEXT. This work was supported by a Japan Society for the Promotion of Science (JSPS) Postdoctoral Fellowship to DJD, JSPS KAKENHI Grant Numbers JP17H02976 to TH, and by the National Institute of Polar Research (NIPR) through Project Research KP306.</t>
  </si>
  <si>
    <t>1873-9652</t>
  </si>
  <si>
    <t>1876-4428</t>
  </si>
  <si>
    <t>POLAR SCI</t>
  </si>
  <si>
    <t>Polar Sci.</t>
  </si>
  <si>
    <t>10.1016/j.polar.2020.100606</t>
  </si>
  <si>
    <t>OY0DV</t>
  </si>
  <si>
    <t>WOS:000593925700003</t>
  </si>
  <si>
    <t>Jaksic, C; Steel, GD; Moore, K; Stewart, E</t>
  </si>
  <si>
    <t>Jaksic, Cyril; Steel, Gary Daniel; Moore, Kevin; Stewart, Emma</t>
  </si>
  <si>
    <t>Person-environment fit: A cross-national and cross-temporal study of human adaptation to isolated and confined environments</t>
  </si>
  <si>
    <t>Person-environment fit; Antarctic; Polar psychology; Extreme environments</t>
  </si>
  <si>
    <t>VALUE CONGRUENCE; LIFE; WORK; JOB; CULTURE; TRAITS; METAANALYSIS; EXPLORATION; PERFORMANCE; DIMENSIONS</t>
  </si>
  <si>
    <t>While most studies using a Person-Environment (P-E) fit approach focus on commonplace work settings, the present study adopts this approach to explore an extreme and unusual setting; specifically, Antarctic research stations. People who had been deployed for a year in Antarctica (n = 59) were asked to reflect on their experience and to report their perceived fit with the environment. Other measures reported included job satisfaction, cognitive impairment, sleep disturbance, and an indicator of subjective well-being (positive/negative mood ratio). It was hypothesized that measures of personality traits and social needs could predict one's fit with the environment. It was found that loneliness (misfit with isolation) was significantly negatively related to job satisfaction and mood, and positively related to cognitive impairment. Fit with confinement was not reliably associated with any outcome variables. The explanations regarding the lack of predictability from personality traits and social needs, and other limitations are discussed.</t>
  </si>
  <si>
    <t>[Jaksic, Cyril; Steel, Gary Daniel; Moore, Kevin; Stewart, Emma] Lincoln Univ, Christchurch, New Zealand</t>
  </si>
  <si>
    <t>Steel, GD (corresponding author), Lincoln Univ, Fac Environm Soc &amp; Design, Dept Tourism Sport &amp; Soc, POB 85084, Christchurch 7647, New Zealand.</t>
  </si>
  <si>
    <t>gary.steel@lincoln.ac.nz</t>
  </si>
  <si>
    <t>Jaksic, Cyril/GXI-0084-2022; Moore, Kevin/H-4931-2013; Steel, Gary D/P-6729-2018; Stewart, Emma/P-7189-2018</t>
  </si>
  <si>
    <t>Jaksic, Cyril/0000-0001-5835-3480; Moore, Kevin/0000-0001-5913-9953; Stewart, Emma/0000-0002-1573-9444</t>
  </si>
  <si>
    <t>10.1016/j.polar.2020.100590</t>
  </si>
  <si>
    <t>WOS:000593925700006</t>
  </si>
  <si>
    <t>The thermal structure, subglacial topography and surface structures of the NE outlet of Eyjabakkajokull, east Iceland</t>
  </si>
  <si>
    <t>Ground penetrating radar; Unmanned aerial vehicle; Crevasses; Temperate ice; Piezometric surface</t>
  </si>
  <si>
    <t>TEMPERATE GLACIER; WATER-CONTENT; ICE CAP; SOUTHERN SPITSBERGEN; ANTARCTIC PENINSULA; BEDROCK TOPOGRAPHY; RADAR VELOCITY; WAVE VELOCITY; BENCH GLACIER; THICKNESS</t>
  </si>
  <si>
    <t>This study presents the detailed surveys of the NE outlet of Eyjabakkajokull glacier, East Iceland, from the combination of low-frequency ground penetrating radar (GPR), unmanned aerial vehicle (UAV) and GNSS measurements. Data analyses reveal the complex subglacial topography with a prominent, up to 45-m-deep longitudinal trough in the central part of the outlet that serves as the main trunk for the fast ice flow during the glacier surges. During the last decade (2010-2018), the studied part of the glacier has thinned by 4.37 m/yr on average and the ice margin has retreated similar to 750 m. We detect a boundary between scatter-free zone and zone of intense scattering near the ice margin and relate it to the level of piezometric surface. A very well-developed englacial drainage network in the marginal area of Eyjabakkajokull is determined from the mapped moulins and englacial hyperbolae mainly representing englacial channels. The compressional regime near the almost stagnant ice margin is confirmed from the analysis of the surface structures.</t>
  </si>
  <si>
    <t>kristaps.lamsters@lu.lv</t>
  </si>
  <si>
    <t>Krievans, Maris/HPD-9633-2023; Lamsters, Kristaps/AAW-2254-2020; Lamsters, Kristaps/AAB-3601-2022; Karušs, Jānis/ITT-0500-2023; Karušs, Jānis/AHI-7900-2022; Lamsters, Kristaps/CAI-8643-2022; Ješkins, Jurijs/JNS-9777-2023</t>
  </si>
  <si>
    <t>Krievans, Maris/0000-0001-7199-1030; Lamsters, Kristaps/0000-0002-4523-1537; Karušs, Jānis/0000-0003-0590-4888; Karušs, Jānis/0000-0003-0590-4888; Lamsters, Kristaps/0000-0002-4523-1537;</t>
  </si>
  <si>
    <t>University of Latvia within the project Climate change and sustainable use of natural resources; Post-doctoral Research Aid of the Republic of Latvia - European Regional Development Fund [1.1.1.2/16/I/001, 1.1.1.2/VIAA/1/16/118]</t>
  </si>
  <si>
    <t>University of Latvia within the project Climate change and sustainable use of natural resources; Post-doctoral Research Aid of the Republic of Latvia - European Regional Development Fund</t>
  </si>
  <si>
    <t>This work was financially supported by performance-based funding of the University of Latvia within the project Climate change and sustainable use of natural resources and by the Post-doctoral Research Aid (Project No. 1.1.1.2/16/I/001) of the Republic of Latvia, funded by the European Regional Development Fund, PostDoc Kristaps Lamsters research application No. 1.1.1.2/VIAA/1/16/118. We thank two anonymous reviewers for the constructive reviews that improved this manuscript.</t>
  </si>
  <si>
    <t>10.1016/j.polar.2020.100566</t>
  </si>
  <si>
    <t>OY0DQ</t>
  </si>
  <si>
    <t>WOS:000593925200002</t>
  </si>
  <si>
    <t>Velloso, JRP; Putzke, J; Schmitz, D; Pereira, AB; Schaefer, CEGR; Cavalcanti, LD</t>
  </si>
  <si>
    <t>Pinheiro Velloso, Jorge Renato; Putzke, Jair; Schmitz, Daniela; Pereira, Antonio Batista; Gonsalves Reynaud Schaefer, Carlos Ernesto; Cavalcanti, Laise de Holanda</t>
  </si>
  <si>
    <t>Dianema nivale - A Myxomycete (Amoebozoa) new to the Antarctic</t>
  </si>
  <si>
    <t>Plasmodial fungi; Taxonomy; Amoebae; South pole</t>
  </si>
  <si>
    <t>Myxomycetes (Protista - Amoebozoa) are worldwide distributed organisms, but still poorly known from the Antarctic. While working on fungi and similar organisms found in Stinker Point, Elephant Island - Antarctica in January/February 2018 we found 24 sporangia of Dianema nivale, which is cited for the first time to the Antarctica.</t>
  </si>
  <si>
    <t>[Pinheiro Velloso, Jorge Renato; Putzke, Jair; Pereira, Antonio Batista] Univ Fed Pampa, Ave Antonio Trilha, BR-97300000 Sao Gabriel, RS, Brazil; [Schmitz, Daniela; Gonsalves Reynaud Schaefer, Carlos Ernesto] Univ Fed Vicosa, Dept Biol Vegetal, Vicosa, MG, Brazil; [Cavalcanti, Laise de Holanda] Univ Fed Pernambuco, Recife, PE, Brazil</t>
  </si>
  <si>
    <t>Universidade Federal do Pampa; Universidade Federal de Vicosa; Universidade Federal de Pernambuco</t>
  </si>
  <si>
    <t>Putzke, J (corresponding author), Univ Fed Pampa, Ave Antonio Trilha, BR-97300000 Sao Gabriel, RS, Brazil.</t>
  </si>
  <si>
    <t>jorgerenatovelloso@gmail.com; jrputzkebr@yahoo.com; lhcandrade@gmail.com</t>
  </si>
  <si>
    <t>Putzke, Jair/P-9380-2019; Schmitz, Daniela/AAY-8008-2020; Pereira, Antonio B/I-8201-2014; Schaefer, Carlos Ernesto/AAY-4977-2020</t>
  </si>
  <si>
    <t>Schmitz, Daniela/0000-0002-3162-2430; Pereira, Antonio B/0000-0003-0368-4594; Velloso, Jorge/0000-0001-7787-0336; , jair/0000-0002-9018-9024; de Holanda Cavalcanti Andrade, Laise/0000-0002-6011-7142</t>
  </si>
  <si>
    <t>Coordenacao de Aperfeicoamento de Pessoal de Nivel Superior (CAPES), Brazil; CNPq (Conselho Nacional de Desenvolvimento Cientifico e Tecnologico), Brazil [556794/2009-5]</t>
  </si>
  <si>
    <t>Coordenacao de Aperfeicoamento de Pessoal de Nivel Superior (CAPES), Brazil(Coordenacao de Aperfeicoamento de Pessoal de Nivel Superior (CAPES)); CNPq (Conselho Nacional de Desenvolvimento Cientifico e Tecnologico), Brazil(Conselho Nacional de Desenvolvimento Cientifico e Tecnologico (CNPQ))</t>
  </si>
  <si>
    <t>We acknowledge the Coordenacao de Aperfeicoamento de Pessoal de Nivel Superior (CAPES), Brazil, and for the CNPq (Conselho Nacional de Desenvolvimento Cientifico e Tecnologico), Brazil, for financial support of this project (project #556794/2009-5). This work is a contribution of INCT-Criosfera TERRANTAR group.</t>
  </si>
  <si>
    <t>10.1016/j.polar.2020.100598</t>
  </si>
  <si>
    <t>WOS:000593925200005</t>
  </si>
  <si>
    <t>Venturini, N; Zhu, ZY; Bessonart, M; García-Rodríguez, F; Bergamino, L; Brugnoli, E; Muniz, P; Zhang, J</t>
  </si>
  <si>
    <t>Venturini, Natalia; Zhu, Zhuoyi; Bessonart, Martin; Garcia-Rodriguez, Felipe; Bergamino, Leandro; Brugnoli, Ernesto; Muniz, Pablo; Zhang, Jing</t>
  </si>
  <si>
    <t>Between-summer comparison of particulate organic matter in surface waters of a coastal area influenced by glacier meltwater runoff and retreat</t>
  </si>
  <si>
    <t>Stable isotopes; Fatty acids; Amino acids; Collins Bay; King George Island</t>
  </si>
  <si>
    <t>KING-GEORGE ISLAND; FATTY-ACID-COMPOSITION; BAY ROSS-SEA; AMINO-ACIDS; ANTARCTIC PENINSULA; AMUNDSEN SEA; DIAGENETIC SIGNATURES; STABLE-ISOTOPES; SOUTHERN-OCEAN; MARIAN COVE</t>
  </si>
  <si>
    <t>We evaluated, in two consecutive austral summers, the biochemical composition, sources, distribution and degradation state of particulate organic matter (POM) in surface coastal waters of Collins Bay, King George Island, Antarctica. Bulk elemental and stable isotope analyses were combined with molecular-level proxies (fatty acids and amino acids) to obtain more comprehensive evidence about POM characteristics. Two different settings were recognized. In February 2016, there was a reduced glacier melting condition and meltwater runoff due to cold weather. Marine fresh phytoplankton and ice-associated POM with the dominance of diatoms, bacteria, zooplankton and ice-associated fauna were the major components of POM. In contrast, in January 2017 under increased glacier melting and meltwater runoff due to warm weather conditions, suspended POM was constituted by marine phytoplankton, Rhodophyta macroalgae detritus and an increased terrestrial contribution. The lower degradation state of suspended POM in February 2016 than in January 2017 and the early bacterial response to the input of fresh protein-rich organic matter derived from marine phytoplankton, mainly diatoms, was supported. Our results provide evidence of the negative impact of glacier retreat and increased meltwater runoff on POM features in Collins Bay, which can be relevant to other Antarctic coastal marine ecosystems.</t>
  </si>
  <si>
    <t>[Venturini, Natalia; Brugnoli, Ernesto; Muniz, Pablo] Univ Republica, Fac Ciencias, Inst Ecol &amp; Ciencias Ambientales IECA, Oceanog &amp; Ecol Marina, Igua 4225, Montevideo 11200, Uruguay; [Zhu, Zhuoyi; Zhang, Jing] East China Normal Univ, State Key Lab Estuarine &amp; Coastal Res, 500 Dongchuan Rd, Shanghai 200241, Peoples R China; [Bessonart, Martin] Univ Republica, Fac Ciencias, Inst Ecol &amp; Ciencias Ambientales IECA, Lab Recursos Nat, Igua 4225, Montevideo 11200, Uruguay; [Garcia-Rodriguez, Felipe; Bergamino, Leandro] Univ Republ, Ctr Univ Reg Este CURE, Rutas 9 &amp; 15 S-N, Rocha, Uruguay; [Garcia-Rodriguez, Felipe] Univ Fed Rio Grande, Inst Oceanog, Programa Posgrad Oceanol, Rio Grande, Brazil</t>
  </si>
  <si>
    <t>Universidad de la Republica, Uruguay; East China Normal University; Universidad de la Republica, Uruguay; Universidad de la Republica, Uruguay; Universidade Federal do Rio Grande</t>
  </si>
  <si>
    <t>Venturini, N (corresponding author), Univ Republica, Fac Ciencias, Inst Ecol &amp; Ciencias Ambientales IECA, Lab Biogeoquim Marina LABIM Oceanog &amp; Ecol Marina, Igua 4225, Montevideo 11200, Uruguay.</t>
  </si>
  <si>
    <t>rulo@fcien.edu.uy</t>
  </si>
  <si>
    <t>Bessonart, Martin/O-8958-2018; Bergamino, Leandro/N-8210-2017; Venturini, Natalia/B-8087-2012; Zhu, Zhuoyi/HNS-4424-2023</t>
  </si>
  <si>
    <t>Brugnoli, Ernesto/0000-0001-7304-1856; Venturini, Natalia/0000-0003-3510-3053; Muniz, Pablo/0000-0001-5310-3781; Zhu, Zhuo-Yi/0000-0002-0276-2418</t>
  </si>
  <si>
    <t>IAU Project [LS_Venturini 2015]; CNPq [304007/2019]; Antarctic Science International Bursary (ASIB); China Arctic and Antarctic Administration/NMR; SKLEC/ECNU [2011KYYW02]; Natural Science Foundation Committee of China [41676188]</t>
  </si>
  <si>
    <t>IAU Project; CNPq(Conselho Nacional de Desenvolvimento Cientifico e Tecnologico (CNPQ)); Antarctic Science International Bursary (ASIB); China Arctic and Antarctic Administration/NMR; SKLEC/ECNU; Natural Science Foundation Committee of China(National Natural Science Foundation of China (NSFC))</t>
  </si>
  <si>
    <t>We thank our colleagues from Oceanografia y Ecologia Marina and Laboratorio de Recursos Naturales, Facultad de Ciencias, Universidad de la Republica for assistance in sampling and laboratory analysis. Special thanks to Juan Gadea for his help in fatty acids analysis. The Instituto Antartico Uruguayo (IAU) is very acknowledged for providing logistic support and coordination of activities during sampling and research execution (IAU Project code: LS_Venturini 2015). We are very grateful to both the Artigas Station and the Great Wall Station crews for their hospitality and help during sampling surveys. N. Venturini, M. Bessonart, L. Bergamino, E. Brugnoli and P. Muniz would like to thank SNIANII for its support through research grants. F. Garcia-Rodriguez thanks CNPq for research grant 304007/2019. The Antarctic Science International Bursary (ASIB) is very acknowledged for awarded a bursary to N. Venturini to perform a research stay in the State Key Laboratory of Estuarine and Coastal Research, East China Normal University, Shanghai, China. This work was funded by China Arctic and Antarctic Administration/NMR (33rd scientific expedition to Antarctica), SKLEC/ECNU (2011KYYW02) and Natural Science Foundation Committee of China (41676188). Two anonymous reviewers are acknowledged for their kind and helpful suggestions to improve an early version of this MS. This article is devoted to our daughters Luciana, Matilde and Ana Clara for being the best sweet partners during this COVID-19 quarantine.</t>
  </si>
  <si>
    <t>10.1016/j.polar.2020.100603</t>
  </si>
  <si>
    <t>WOS:000593925700008</t>
  </si>
  <si>
    <t>Cheng, C; Jenkins, A; Wang, ZM; Liu, CY</t>
  </si>
  <si>
    <t>Cheng, Chen; Jenkins, Adrian; Wang, Zhaomin; Liu, Chengyan</t>
  </si>
  <si>
    <t>Modeling the vertical structure of the ice shelf-ocean boundary current under supercooled condition with suspended frazil ice processes: A case study underneath the Amery Ice Shelf, East Antarctica</t>
  </si>
  <si>
    <t>OCEAN MODELLING</t>
  </si>
  <si>
    <t>Ice shelf; Boundary current; Supercooling; Frazil ice; Stratification; Turbulence</t>
  </si>
  <si>
    <t>WATER PLUME; SEA-ICE; SEDIMENT STRATIFICATION; SOUTHERN-OCEAN; LAYER BENEATH; MCMURDO SOUND; WEDDELL SEA; PRYDZ BAY; MELT RATE; TURBULENT</t>
  </si>
  <si>
    <t>In contrast with the severe thinning of ice shelves along the coast of West Antarctica, large ice shelves (specifically, the Filchner-Ronne and Amery Ice Shelves) with deep grounding lines gained mass during the period 1994-2012. This positive mass budget is potentially associated with the marine ice production, which originates from the supercooled Ice Shelf Water plume carrying suspended frazil ice along the ice shelf base. In addition, the outflow of this supercooled plume from beneath the ice shelf arguably exerts a significant impact on the properties of Antarctic Bottom Water, as well as its production. However, knowledge of this buoyant and supercooled shear flow is still limited, let alone its structure that is generally assumed to be vertically uniform. In this study we extended the vertical one-dimensional model of ice shelf-ocean boundary current from Jenkins (2016) by incorporating a frazil ice module and a fairly sophisticated turbulence closure (i.e., k- model) with the effects of density stratification. On the basis of this extended model, the study reproduced the measured thermohaline properties of a perennially-prominent supercooled ice shelf-ocean boundary current underneath the Amery Ice Shelf in East Antarctica, and conducted extensive sensitivity runs to a wide range of factors, including advection of scalar quantities, far-field geostrophic currents, basal slope, and the distribution of frazil ice crystal size. Based on the simulation results, the following conclusions can be drawn: Firstly, it can be difficult to reasonably reproduce the vertical structure of the ice shelf-ocean boundary current using a constant eddy viscosity/diffusivity near the ice shelf base. Secondly, although there are no direct observations of the size of frazil ice crystals beneath the ice shelves, the size of the finest ice crystals that play an important role in controlling the ice shelf-ocean boundary current is strongly suggested. Lastly, but most importantly, the ice shelf-ocean boundary layer response to the vertical gradient of frazil ice concentration will significantly reduce the level of turbulence. Therefore, this study highlights the importance of the strong interaction between frazil ice formation and the hydrodynamics and thermodynamics of ice shelf-ocean boundary layer. This interaction must not only be included, but also be resolved at high resolutions in three-dimensional coupled ice shelf-ocean models applied to cold ice cavities, which will have a potential impact on the overall ice shelf mass balance and the Antarctic Bottom Water production.</t>
  </si>
  <si>
    <t>[Cheng, Chen; Wang, Zhaomin; Liu, Chengyan] Southern Marine Sci &amp; Engn Guangdong Lab Zhuhai, Zhuhai 519000, Peoples R China; [Jenkins, Adrian] Northumbria Univ, Dept Geog &amp; Environm Sci, Newcastle Upon Tyne NE1 8ST, Tyne &amp; Wear, England; [Wang, Zhaomin] Hohai Univ, Coll Oceanog, Nanjing 210098, Peoples R China</t>
  </si>
  <si>
    <t>Southern Marine Science &amp; Engineering Guangdong Laboratory; Southern Marine Science &amp; Engineering Guangdong Laboratory (Zhuhai); Northumbria University; Hohai University</t>
  </si>
  <si>
    <t>Cheng, C (corresponding author), Southern Marine Sci &amp; Engn Guangdong Lab Zhuhai, Zhuhai 519000, Peoples R China.</t>
  </si>
  <si>
    <t>chengchen@sml-zhuhai.cn</t>
  </si>
  <si>
    <t>Jenkins, Adrian/IUN-2406-2023; zhang, luyu/JJC-4227-2023; cheng, cheng/JBR-8359-2023; LI, Xiang-Yang/JZE-0275-2024</t>
  </si>
  <si>
    <t>Jenkins, Adrian/0000-0002-9117-0616</t>
  </si>
  <si>
    <t>National Natural Science Foundation of China [41876220, 41406214]; Natural Science Foundation of Jiangsu Province [BK20191405]; NERC [NE/L013770/1] Funding Source: UKRI</t>
  </si>
  <si>
    <t>National Natural Science Foundation of China(National Natural Science Foundation of China (NSFC)); Natural Science Foundation of Jiangsu Province(Natural Science Foundation of Jiangsu Province); NERC(UK Research &amp; Innovation (UKRI)Natural Environment Research Council (NERC))</t>
  </si>
  <si>
    <t>We would like to thank Xylar S. Asay-Davis and Tore Hattermann for their thorough review and helpful commentaries and improvements. This work was funded by the National Natural Science Foundation of China (41941007), the Natural Science Foundation of Jiangsu Province (BK20191405), and the National Natural Science Foundation of China (41876220, 41406214).</t>
  </si>
  <si>
    <t>1463-5003</t>
  </si>
  <si>
    <t>1463-5011</t>
  </si>
  <si>
    <t>OCEAN MODEL</t>
  </si>
  <si>
    <t>Ocean Model.</t>
  </si>
  <si>
    <t>10.1016/j.ocemod.2020.101712</t>
  </si>
  <si>
    <t>OX7RV</t>
  </si>
  <si>
    <t>WOS:000593758200006</t>
  </si>
  <si>
    <t>Thibodeau, PS; Steinberg, DK; McBride, CE; Conroy, JA; Keul, N; Ducklow, HW</t>
  </si>
  <si>
    <t>Thibodeau, Patricia S.; Steinberg, Deborah K.; McBride, Colleen E.; Conroy, John A.; Keul, Nina; Ducklow, Hugh W.</t>
  </si>
  <si>
    <t>Long-term observations of pteropod phenology along the Western Antarctic Peninsula</t>
  </si>
  <si>
    <t>Southern Ocean; Limacina; Zooplankton; Sediment trap; Time series; Climate</t>
  </si>
  <si>
    <t>LIMACINA-HELICINA; CLIMATE-CHANGE; SEDIMENT TRAP; SEA-ICE; OCEAN ACIDIFICATION; CONTINENTAL-SHELF; BIOLOGICAL PUMP; PARTICLE EXPORT; VERTICAL FLUX; MONTEREY BAY</t>
  </si>
  <si>
    <t>Shifts in phenology - annually occurring life history events - have been observed among many marine organisms due to global warming. We examined if phenological changes in the pteropod (pelagic snail) Limacina helicina antarctica have occurred along the Western Antarctic Peninsula, one of the most intensely warming regions on Earth, which would have important implications for regional food web dynamics. Pteropod shell diameters were analyzed from samples collected in the Palmer Antarctica Long-Term Ecological Research (PAL LTER) program year-round sediment trap from 2004 to 2018. There was considerable interannual variability in the time of appearance of a new pteropod cohort, which ranged from day of year 22-255, but no long-term, directional change. Mean L. h. antarctica growth rate for the time series was 0.009 mm day(-1) and there was no significant long-term change in growth rate. This study represents the first in the Southern Ocean to illustrate that pteropods actively grow throughout the winter season. Sea ice was the dominant driver of pteropod phenology, with earlier sea ice retreat the year prior, lower winter sea surface temperature (SST) the year prior, and higher primary productivity in the same year leading to earlier pteropod time of appearance. Similarly, more open water with higher autumn SST, both the year prior, and elevated chlorophyll a the same year, promoted faster pteropod growth. These results indicate that while pteropods are responsive to considerable environmental variability, their phenology has remained relatively stable. The identified responses of pteropod phenology to environmental shifts are key for determining future effects of climate change on biogeochemical cycling and plankton trophic interactions in the region.</t>
  </si>
  <si>
    <t>[Thibodeau, Patricia S.; Steinberg, Deborah K.; McBride, Colleen E.; Conroy, John A.] William &amp; Mary, Virginia Inst Marine Sci, 1370 Greate Rd, Gloucester Point, VA 23062 USA; [McBride, Colleen E.] Mem Univ Newfoundland, Dept Ocean Sci, O Marine Lab Rd, St John, NF A1C 5S7, Canada; [Keul, Nina] Christian Albrechts Univ Kiel, Inst Geosci, Ludewig Meyn Str 10, D-24118 Kiel, Germany; [Ducklow, Hugh W.] Columbia Univ, Lamont Doherty Earth Observ, 61 Route 9W, Palisades, NY 10964 USA; [Thibodeau, Patricia S.] Univ Rhode Isl, Grad Sch Oceanog, 215 S Ferry Rd, Narragansett, RI 02882 USA</t>
  </si>
  <si>
    <t>William &amp; Mary; Virginia Institute of Marine Science; Memorial University Newfoundland; University of Kiel; Columbia University; University of Rhode Island</t>
  </si>
  <si>
    <t>Thibodeau, PS (corresponding author), William &amp; Mary, Virginia Inst Marine Sci, 1370 Greate Rd, Gloucester Point, VA 23062 USA.</t>
  </si>
  <si>
    <t>thibodeau@uri.edu; debbies@vims.edu; cemcbride@mun.ca; jaconroy@vims.edu; nina.keul@gmail.com; hducklow@ldeo.columbia.edu</t>
  </si>
  <si>
    <t>Steinberg, Deborah K./0000-0001-9884-4655; Thibodeau, Patricia/0000-0002-6005-8816; Conroy, Jack/0000-0001-6559-8240; Keul, Nina/0000-0002-5193-882X</t>
  </si>
  <si>
    <t>National Science Foundation Antarctic Organisms and Ecosystems Program [OPP0823101, PLR-1440435]; 1st Advantage Credit Union of Newport News, VA, USA; Deutsche Forschungsgemeinschaft (DFG) [CP1407, ExC180]; Daimler Benz Stiftung</t>
  </si>
  <si>
    <t>National Science Foundation Antarctic Organisms and Ecosystems Program(National Science Foundation (NSF)NSF - Directorate for Geosciences (GEO)); 1st Advantage Credit Union of Newport News, VA, USA; Deutsche Forschungsgemeinschaft (DFG)(German Research Foundation (DFG)); Daimler Benz Stiftung</t>
  </si>
  <si>
    <t>We thank the Captain, officers, and crew of the ARSV Laurence M. Gould, and Raytheon Polar Services and Lockheed Martin personnel for their scientific and logistical support. We are grateful to the many student volunteers that assisted during the PAL LTER cruises and in the laboratory. We thank Leigh West for pteropod shell measurements collected during the 2017-2018 summer field season at Palmer Station, and Jessica Schenkman for assistance with pteropod shell measurements from the 2012-2013 PAL LTER sediment trap. We also thank Doug Martinson and Rich Iannuzzi for information on sea surface temperature data, Sharon Stammerjohn for insight on sea ice data, Grace Saba for advice with climate index analyses, and Naomi Manahan and Matt Erickson for TA and DIC data. We appreciate PP and chl a data provided by O. Schofield, N. Waite, B. Prezelin, M. Vernet, and R. Smith. Finally, we thank Joe Cope, Liese Carleton, and Stephane Thanassekos for data analysis advice and Amy Maas and Deborah Bronk for reviewing the manuscript. This research was supported by the National Science Foundation Antarctic Organisms and Ecosystems Program (OPP0823101, PLR-1440435). A.G. Casey Duplantier Jr. and the 1st Advantage Credit Union of Newport News, VA, USA provided additional funding to support P.T. and J.C.`s participation on PAL LTER cruises. NK was funded by grant CP1407 of the Cluster of Excellence 'Future Ocean' (ExC180), which is funded within the framework of the Excellence Initiative by the Deutsche Forschungsgemeinschaft (DFG) on behalf of the German federal and state governments. NK also received a scholarship from Daimler Benz Stiftung. This is contribution No. 3939 from the Virginia Institute of Marine Science, William &amp; Mary.</t>
  </si>
  <si>
    <t>10.1016/j.dsr.2020.103363</t>
  </si>
  <si>
    <t>OU7IO</t>
  </si>
  <si>
    <t>WOS:000591699100003</t>
  </si>
  <si>
    <t>Weir, I; Fawcett, S; Smith, S; Walker, D; Bornman, T; Fietz, S</t>
  </si>
  <si>
    <t>Weir, Ian; Fawcett, Sarah; Smith, Shantelle; Walker, David; Bornman, Thomas; Fietz, Susanne</t>
  </si>
  <si>
    <t>Winter biogenic silica and diatom distributions in the Indian sector of the Southern Ocean</t>
  </si>
  <si>
    <t>Antarctic; Diatom carbon; Fragilariopsis spp.; Nutrient ratios; Polar frontal divide; Winter phytoplankton communities</t>
  </si>
  <si>
    <t>PARTICULATE ORGANIC-CARBON; SUB-ANTARCTIC ZONE; COMMUNITY STRUCTURE; DISSOLVED IRON; SPECIES COMPOSITION; SEDIMENT TRAP; HIGH-NUTRIENT; WATER MASSES; FRONTAL ZONE; WORLD OCEAN</t>
  </si>
  <si>
    <t>Spring and summer Southern Ocean phytoplankton communities have been well characterized, but winter communities are often overlooked. Diatoms are a major contributor to Southern Ocean particulate organic carbon (POC) production and export, and exert a strong control on Antarctic surface and Subantarctic ther-mocline nutrient concentrations, thus influencing the low-latitude nutrient supply. Understanding diatom distribution, seasonal community progression, and diatom-nutrient interactions is vital for improving biogeochemical models, particularly as climate change alters polar phytoplankton communities. We investigated the distribution of nanophytoplankton (&gt;= 3 mu m) and their associated biogeochemical environments along 30 degrees E across the Indian Southern Ocean (Subtropical Zone; STZ to Antarctic Zone; AZ) in July 2017. Phytoplankton productivity inferred from chlorophyll-a was low compared to previously-published summertime values. Mixed layer nitrate (NO3-) and phosphate (PO43-) concentrations were similar to existing summer measurements, likely due to a combination of deep mixing and biological uptake, while silicic acid (Si(OH)(4)) was high relative to summer, particularly south of the Polar Front (PF). The PF emerged as an important biogeochemical boundary separating relatively high chlorophyll-a, flagellate-dominated northern waters from southern waters characterized by low chlorophyll-a and diatom-dominated communities. Mixed layer-integrated biogenic silica (bSi) decreased 12-fold from the southern AZ to the STZ, resulting in a strong south-north gradient in bSi-per-chl-a (from 3.6 to 0.1 mol/g) and bSi-per-POC (from 0.22 to 0.016 mol mol(-1)). We attribute this to a high abundance of heavily-silicified diatom species (e.g., Fragilariopsis spp., which dominated the AZ diatom community) and a limited contribution of other phytoplankton to chlorophyll-a and POC to the south - indeed, diatoms constituted 5-67% of the total POC south of the PF and only 3-7% to the north. While mixed-layer Si(OH)(4) concentrations decreased more than NO3- across the PF, likely due to preferential Si(OH)(4) consumption by iron limited diatoms, our data imply a lower ratio of Si(OH)(4) to NO3- uptake compared to summer. This suggests that iron limitation may be less severe in the AZ in winter, at least in the west Indian sector. We conclude that AZ diatoms impact the low-latitude nutrient supply and are potentially important for carbon export in winter, despite the lower productivity of the Southern Ocean during this season.</t>
  </si>
  <si>
    <t>[Weir, Ian; Fietz, Susanne] Stellenbosch Univ, Dept Earth Sci, ZA-7600 Stellenbosch, South Africa; [Fawcett, Sarah; Smith, Shantelle] Univ Cape Town, Dept Oceanog, ZA-7701 Cape Town, South Africa; [Walker, David] Cape Peninsula Univ Technol, Dept Conservat &amp; Marine Sci, ZA-8000 Cape Town, South Africa; [Bornman, Thomas] Elwandle Coastal Node, South African Environm Observat Network, Port Elizabeth, South Africa; [Bornman, Thomas] Nelson Mandela Univ, Inst Coastal &amp; Marine Res, Port Elizabeth, South Africa</t>
  </si>
  <si>
    <t>Stellenbosch University; University of Cape Town; Cape Peninsula University of Technology; National Research Foundation - South Africa; South African Environmental Observation Network (SAEON); Nelson Mandela University</t>
  </si>
  <si>
    <t>Fietz, S (corresponding author), Stellenbosch Univ, Dept Earth Sci, ZA-7600 Stellenbosch, South Africa.</t>
  </si>
  <si>
    <t>sfietz@sun.ac.za</t>
  </si>
  <si>
    <t>Bornman, Thomas George/V-7794-2019; Fietz, Susanne/A-8695-2012</t>
  </si>
  <si>
    <t>Bornman, Thomas George/0000-0003-1868-479X; Smith, Shantelle/0000-0003-3917-4545; Fietz, Susanne/0000-0003-0896-8385; Walker, David/0000-0002-4235-1699</t>
  </si>
  <si>
    <t>National Research Foundation (NRF) of South Africa under the SA/Norway Collaboration Program [91313]; National Research Foundation (NRF) of South Africa under the CPRR Program [98905]; National Research Foundation (NRF) of South Africa under the South African National Antarctic Program [SANAP: 110731, 105539, 110735]; University of Cape Town ViceChancellor's Future Leaders 2030 award; NRF [120105, 114590]</t>
  </si>
  <si>
    <t>National Research Foundation (NRF) of South Africa under the SA/Norway Collaboration Program; National Research Foundation (NRF) of South Africa under the CPRR Program; National Research Foundation (NRF) of South Africa under the South African National Antarctic Program; University of Cape Town ViceChancellor's Future Leaders 2030 award; NRF</t>
  </si>
  <si>
    <t>The authors appreciate the very constructive comments and valuable insights received from two anonymous reviewers. We acknowledge Captain Knowledge Bengu and the crew of the R/V SA Agulhas II, as well as Chief Scientist Marcello Vichi (University of Cape Town) and all the scientific participants of the Winter Cruise 2017. We are also grateful for the assistance of Isabelle Ansorge (University of Cape Town) in refining the water mass identification and that of Raquel Flynn, Raymond Roman, and Kurt Spence (University of Cape Town) in the macronutrient and ammonium concentration analyses. The work leading to these results received funding from the National Research Foundation (NRF) of South Africa under the SA/Norway Collaboration Program (91313 to S. Fietz), the CPRR Program (98905 to S. Fietz) and the South African National Antarctic Program (SANAP: 110731 to S. Fietz and 105539 and 110735 to S. Fawcett), as well as a University of Cape Town ViceChancellor's Future Leaders 2030 award (to S. Fawcett). I.J Weir acknowledges funding from the NRF through a Masters Project-linked Scholarship and S. Smith acknowledges funding from the NRF through Masters and PhD Innovation Scholarships (120105 and 114590).</t>
  </si>
  <si>
    <t>10.1016/j.dsr.2020.103421</t>
  </si>
  <si>
    <t>OU7IM</t>
  </si>
  <si>
    <t>WOS:000591698900001</t>
  </si>
  <si>
    <t>Meier, WJH; Aravena, JC; Jaña, R; Braun, MH; Hochreuther, P; Soto-Rogel, P; Griessinger, J</t>
  </si>
  <si>
    <t>Meier, Wolfgang Jens-Henrik; Aravena, Juan-Carlos; Jana, Ricardo; Braun, Matthias Holger; Hochreuther, Philipp; Soto-Rogel, Pamela; Griessinger, Jussi</t>
  </si>
  <si>
    <t>A tree-ring δ18O series from southernmost Fuego-Patagonia is recording flavors of the Antarctic Oscillation</t>
  </si>
  <si>
    <t>Tree-ring delta O-18; Southern Patagonia; Antarctic Oscillation (AAO); Climate Reconstruction; Nothofagus betuloides; Schiaparelli Glacier; *Corresponding author</t>
  </si>
  <si>
    <t>ANNULAR MODE SAM; STABLE-ISOTOPES; SOUTH-AMERICA; VARIABILITY; PRECIPITATION; CIRCULATION; CELLULOSE; SIGNALS; DARWIN; ENSO</t>
  </si>
  <si>
    <t>A 154 year-long, tree-ring based stable oxygen isotope time series (delta O-18(TRC)) of the evergreen southern beech (Nothofagus betuloides) was established for the southernmost part of Patagonia. The trees grew on the terminal moraine system of the Schiaparelli Glacier (54.4 degrees S) within the windward and hyper-humid zone of the Austral Andes. The annually resolved delta O-18(TRC) record spans the common period 1861-2015 and is based on the analysis of five individually analyzed tree individuals showing a significant mean interseries correlation (r = 0.69). To date, this time series represents the worldwide southernmost chronology of tree-ring delta O-18(TRC). Variations of the delta O-18(TRC) values are significantly correlated with hydroclimatic conditions, as derived from ERA-Interim re-analysis gridded data. Negative relationships between the delta O-18(TRC)-series and relative humidity (r(OctFeb) = -0.62, p &lt; 0.0001) or the amount of precipitation (rJan-Feb = -0.52, p &lt; 0.0001) can be observed for the austral spring and summer seasons. In contrast, a drier environment will increase the delta O-18(TRC) as revealed by a positive influence of evaporation (r(Sep-Feb) = 0.44, p &lt; 0.01), sea level pressure (r(Oct-Feb) = 0.56, p &lt; 0.0001) or maximum temperature (r(Oct-Feb) = 0.43, p &lt; 0.01). Spatial correlation maps indicate a strong supra-regional influence of climate variables on the chronology. The annular pressure seesaw, termed as Antarctic Oscillation (AAO), mostly influences climate variability within the Southern Hemisphere and is positively correlated with the delta O-18(TRC)-chronology (r(JF) = 0.61, p &lt; 0.0001). Since our chronology, as well as a neighboring delta O-18(TRC) chronology from the Perito Moreno Glacier (50 degrees S), are showing a high correspondence in their sensitivities to climate variabilities and towards the AAO, we merged both time series into a mean chronology. This new regional mean delta O-18(TRC)-chronology is highly sensitive to variations of the AAO (r = 0.79, p &lt; 0.0001)) and is tested for the suitability to reconstruct the AAO for the last 150 years. The reconstructed time series of the AAO reveals an increasing trend towards more positive index values, which is associated with an amplification in the amount of precipitation and wind speed in southernmost South America.</t>
  </si>
  <si>
    <t>[Meier, Wolfgang Jens-Henrik; Braun, Matthias Holger; Hochreuther, Philipp; Soto-Rogel, Pamela; Griessinger, Jussi] Univ Erlangen Nurnberg, Inst Geog, Wetterkreuz 15, D-91058 Erlangen, Germany; [Aravena, Juan-Carlos] Univ Magallanes UMAG, Ctr Invest GAIA Antartica, Punta Arenas 6200000, Chile; [Jana, Ricardo] Inst Antartico Chileno INACH, Sci Dept, Plaza Munoz Gamero 1055, Punta Arenas, Chile</t>
  </si>
  <si>
    <t>Meier, WJH (corresponding author), Univ Erlangen Nurnberg, Inst Geog, Wetterkreuz 15, D-91058 Erlangen, Germany.</t>
  </si>
  <si>
    <t>wolfgang.jh.meier@fau.de</t>
  </si>
  <si>
    <t>Jaña, Ricardo/AAR-1225-2020; Grießinger, Jussi/D-6318-2013; Grießinger, Jussi/JAO-0179-2023; Braun, Matthias H/S-4693-2016; Braun, Matthias/A-4968-2009</t>
  </si>
  <si>
    <t>Jaña, Ricardo/0000-0003-3319-1168; Grießinger, Jussi/0000-0001-6103-2071; Braun, Matthias/0000-0001-5169-1567; Soto-Rogel, Pamela/0000-0002-6488-9115; Meier, Wolfgang/0000-0002-3167-7570</t>
  </si>
  <si>
    <t>Federal Ministry of Education and Research-BMBF [01DN 15020, 01DN 19036]</t>
  </si>
  <si>
    <t>Federal Ministry of Education and Research-BMBF(Federal Ministry of Education &amp; Research (BMBF))</t>
  </si>
  <si>
    <t>The authors are indebted to the Federal Ministry of Education and Research-BMBF (grant no. 01DN 15020 and 01DN 19036) for funding. We thank R. Hofner-Stich and I. Burchardt (University of ErlangenNuremberg) for their support during sample preparation and oxygen isotope analyses. Special thanks to M.L. Fanti and W.K.Wauzi for their inspiration and stimulating discourses. We are grateful to all members of the field campaign to Schiaparelli Glacier in April 2016.</t>
  </si>
  <si>
    <t>10.1016/j.gloplacha.2020.103302</t>
  </si>
  <si>
    <t>OV7BE</t>
  </si>
  <si>
    <t>WOS:000592359700003</t>
  </si>
  <si>
    <t>Winter-Billington, A; Moore, RD; Dadic, R</t>
  </si>
  <si>
    <t>Winter-Billington, A.; Moore, R. D.; Dadic, R.</t>
  </si>
  <si>
    <t>Evaluating the transferability of empirical models of debris-covered glacier melt</t>
  </si>
  <si>
    <t>Debris-covered glaciers; glacier modeling; melt-surface; supraglacial debris</t>
  </si>
  <si>
    <t>TEMPERATURE INDEX MODEL; SURFACE MASS-BALANCE; FRANZ JOSEF GLACIER; SUPRAGLACIAL DEBRIS; ENERGY-BALANCE; CENTRAL HIMALAYA; BALTORO GLACIER; HIGH-RESOLUTION; LIRUNG GLACIER; KHUMBU GLACIER</t>
  </si>
  <si>
    <t>Supraglacial debris is significant in many regions and complicates modeling of glacier melt, which is required for predicting glacier change and its influences on hydrology and sea-level rise. Temperature-index models are a popular alternative to energy-balance models when forcing data are limited, but their transferability among glaciers and inherent uncertainty have not been documented in application to debris-covered glaciers. Here, melt factors were compiled directly from published studies or computed from reported melt and MERRA-2 air temperature for 27 debris-covered glaciers around the world. Linear mixed-effects models were fit to predict melt factors from debris thickness and variables including debris lithology and MERRA-2 radiative exchange. The models were tested by leave-one-site-out cross-validation based on predicted melt rates. The best model included debris thickness (fixed effect) and glacier and year (random effects). Predictions were more accurate using MERRA-2 than on-site air temperature data, and pooling MERRA-2-derived and reported melt factors improved cross-validation accuracy more than including additional predictors such as shortwave or longwave radiation. At one glacier where monthly ablation was measured over 4 years, seasonal variation of melt factors suggested that heat storage significantly affected the relation between melt and energy exchange at the debris surface.</t>
  </si>
  <si>
    <t>[Winter-Billington, A.; Moore, R. D.] Univ British Columbia, Dept Geog, Vancouver, BC, Canada; [Dadic, R.] Victoria Univ Wellington, Antarctic Res Ctr, Wellington, New Zealand</t>
  </si>
  <si>
    <t>University of British Columbia; Victoria University Wellington</t>
  </si>
  <si>
    <t>Winter-Billington, A (corresponding author), Univ British Columbia, Dept Geog, Vancouver, BC, Canada.</t>
  </si>
  <si>
    <t>winter-billington@alumni.ubc.ca</t>
  </si>
  <si>
    <t>Winter-Billington, Alex/0000-0002-7030-0987; Dadic, Ruzica/0000-0003-1303-1896</t>
  </si>
  <si>
    <t>UBC Doctoral Fellowship; Research NSERC Grant</t>
  </si>
  <si>
    <t>This work was partly funded by a UBC Doctoral Fellowship to AWB. Production of the manuscript was supported by a Research NSERC Grant to RDM. We thank V. Radic (University of British Columbia), A. Banerjee (Indian Institute of Science and Education and Research) and R. Shankar (The Institute of Mathematical Sciences, India) for valuable discussions and comments on draft manuscripts that improved the final product beyond measure. We thank the authors of Pratap and others (2015) for contributing their original data from Dokriani Glacier as a data file. We also thanks M. Bosilovich at NASA for prompt responses to questions and useful suggestions for working with MERRA-2, and thanks to the Scientific Editor, Joe Shea and an anonymous reviewer for comments leading to improvement of the final manuscript.</t>
  </si>
  <si>
    <t>PII S002214302000057X</t>
  </si>
  <si>
    <t>10.1017/jog.2020.57</t>
  </si>
  <si>
    <t>WOS:000592212900008</t>
  </si>
  <si>
    <t>Goel, V; Matsuoka, K; Berger, CD; Lee, IA; Dall, J; Forsberg, R</t>
  </si>
  <si>
    <t>Goel, Vikram; Matsuoka, Kenichi; Berger, Cesar Deschamps; Lee, Ian; Dall, Jorgen; Forsberg, Rene</t>
  </si>
  <si>
    <t>Characteristics of ice rises and ice rumples in Dronning Maud Land and Enderby Land, Antarctica</t>
  </si>
  <si>
    <t>Antarctic glaciology; ice rise; ice shelves</t>
  </si>
  <si>
    <t>SURFACE MASS-BALANCE; EAST ANTARCTICA; SPATIAL VARIABILITY; SNOW ACCUMULATION; GROUNDING ZONE; SHELF CHANNELS; FLOW; RETREAT; CORE; EVOLUTION</t>
  </si>
  <si>
    <t>Ice rises and rumples, locally grounded features adjacent to ice shelves, are relatively small yet play significant roles in Antarctic ice dynamics. Their roles generally depend upon their location within the ice shelf and the stage of the ice-sheet retreat or advance. Large, long-stable ice rises can be excellent sites for deep ice coring and paleoclimate study of the Antarctic coast and the Southern Ocean, while small ice rises tend to respond more promptly and can be used to reveal recent changes in regional mass balance. The coasts of Dronning Maud Land (DML) and Enderby Land in East Antarctica are abundant with these features. Here we review existing knowledge, presenting an up-to-date status of research in these regions with focus on ice rises and rumples. We use regional datasets (satellite imagery, surface mass balance and ice thickness) to analyze the extent and surface morphology of ice shelves and characteristic timescales of ice rises. We find that large parts of DML have been changing over the past several millennia. Based on our findings, we highlight ice rises suitable for drilling ice cores for paleoclimate studies as well as ice rises suitable for deciphering ice dynamics and evolution in the region.</t>
  </si>
  <si>
    <t>[Goel, Vikram] Minist Earth Sci, Natl Ctr Polar &amp; Ocean Res, Vasco Da Gama, Goa, India; [Goel, Vikram; Matsuoka, Kenichi; Berger, Cesar Deschamps; Lee, Ian] Norwegian Polar Res Inst, Tromso, Norway; [Goel, Vikram] Univ Oslo, Dept Geosci, Oslo, Norway; [Berger, Cesar Deschamps] Ecole Normale Super, Geosci Dept, 24 Rue Lhomond, F-75005 Paris, France; [Lee, Ian] Univ Washington, Dept Earth Sci, Seattle, WA 98195 USA; [Dall, Jorgen; Forsberg, Rene] Tech Univ Denmark, Lyngby, Denmark; [Berger, Cesar Deschamps] CNRS, CESBIO, UPS, IRD,CNES,INRA, F-31400 Toulouse, France; [Lee, Ian] Univ Penn, Dept Geosci, State Coll, PA USA</t>
  </si>
  <si>
    <t>Ministry of Earth Sciences (MoES) - India; National Centre for Polar and Ocean Research (NCPOR); Norwegian Polar Institute; University of Oslo; Universite PSL; Ecole Normale Superieure (ENS); University of Washington; University of Washington Seattle; Technical University of Denmark; INRAE; Universite de Toulouse; Universite Toulouse III - Paul Sabatier; Centre National de la Recherche Scientifique (CNRS); Institut de Recherche pour le Developpement (IRD); University of Pennsylvania</t>
  </si>
  <si>
    <t>Goel, V (corresponding author), Minist Earth Sci, Natl Ctr Polar &amp; Ocean Res, Vasco Da Gama, Goa, India.;Goel, V (corresponding author), Norwegian Polar Res Inst, Tromso, Norway.;Goel, V (corresponding author), Univ Oslo, Dept Geosci, Oslo, Norway.</t>
  </si>
  <si>
    <t>vikram.goel@outlook.com</t>
  </si>
  <si>
    <t>Lee, Ian R.J./AAE-6107-2022; Goel, Vikram/ABV-7985-2022; Dall, Jorgen/E-8947-2018; Matsuoka, Kenichi/B-7298-2017</t>
  </si>
  <si>
    <t>Lee, Ian R.J./0000-0001-6871-266X; Goel, Vikram/0000-0002-8393-0195; Dall, Jorgen/0000-0002-3873-1074; Matsuoka, Kenichi/0000-0002-3587-3405; Forsberg, Rene/0000-0002-7288-9545</t>
  </si>
  <si>
    <t>National Centre for Polar and Ocean Research (NCPOR) from the Ministry of Earth Sciences (MoES), Government of India [MoES/16/22/12-RDEAS]; US National Geospatial-Intelligence Agency; ESA; DTU; Research Council of Norway's ROMFORSK program [230945]; Research Council of Norway's POLARPROG program [24780]; Norwegian Antarctic Research Expeditions; Center for Ice, Climate and Ecosystems (ICE) of the Norwegian Polar Institute; India's Ministry of Earth Sciences; Research Council of Norway</t>
  </si>
  <si>
    <t>National Centre for Polar and Ocean Research (NCPOR) from the Ministry of Earth Sciences (MoES), Government of India; US National Geospatial-Intelligence Agency; ESA(European Space Agency); DTU; Research Council of Norway's ROMFORSK program(Research Council of Norway); Research Council of Norway's POLARPROG program(Research Council of Norway); Norwegian Antarctic Research Expeditions; Center for Ice, Climate and Ecosystems (ICE) of the Norwegian Polar Institute; India's Ministry of Earth Sciences; Research Council of Norway(Research Council of Norway)</t>
  </si>
  <si>
    <t>We thank Peter Neff, three anonymous reviewers and science Editor Jonathan Kingslake for their helpful comments. VG received a Ph.D. studentship from the National Centre for Polar and Ocean Research (NCPOR), through financial support (MoES/16/22/12-RDEAS) from the Ministry of Earth Sciences (MoES), Government of India. We thank Jan Lenaerts for providing the SMB output from the regional atmospheric climate model RACMO2. The Fimbul Ice Shelf airborne radar data were acquired in 2011 as a part of the IceGRAV project, an airborne geophysics project led by Technical University of Denmark (DTU) in cooperation with the University of Texas, the Norwegian Polar Institute, the University of Bergen and the Istituto Antarctico in Argentina. Funding for IceGRAV 2011 was provided by the US National Geospatial-Intelligence Agency, ESA and DTU. Satellite data analyses carried out by CDB and IL were supported by the Research Council of Norway's ROMFORSK program (project number: 230945). The Radarsat2 satellite imagery used for this work was provided by Norwegian Space Center and Kongsberg Satellite Services (KSAT) under the Norwegian-Canadian agreement. Airborne radar data analysis was supported by the Research Council of Norway's POLARPROG program (project number: 24780). Ground-based radar data in Fig. 6 (a, b) were collected and analyzed by the Research Council of Norway's POLARPROG program (project number: 24780) and partly supported by the Norwegian Antarctic Research Expeditions and the Center for Ice, Climate and Ecosystems (ICE) of the Norwegian Polar Institute. Radar data in Fig. 6 (c, d) were collected by India-Norway MADICE project jointly supported by India's Ministry of Earth Sciences and by the Research Council of Norway, and analyzed by Katrin Lindback. We acknowledge the logistical support provided by the Maitri station during the MADICE expedition. Figures 1-3 and 5 were developed using a free GIS data package Quantarctica (quantarctica.npolar.no). This is NCPOR contribution no. J-44/2020-21.</t>
  </si>
  <si>
    <t>PII S0022143020000775</t>
  </si>
  <si>
    <t>10.1017/jog.2020.77</t>
  </si>
  <si>
    <t>WOS:000592212900014</t>
  </si>
  <si>
    <t>Sugden, D; Hall, A</t>
  </si>
  <si>
    <t>Sugden, David; Hall, Adrian</t>
  </si>
  <si>
    <t>Antarctic blue-ice moraines: Analogue for Northern Hemisphere ice sheets?</t>
  </si>
  <si>
    <t>Pleistocene; Glaciology; Geomorphology; Blue-ice moraines; Antarctica; Greenland; Northern Hemisphere ice sheets; Topographic sediment traps</t>
  </si>
  <si>
    <t>CAIRNGORM MOUNTAINS; ELLSWORTH MOUNTAINS; PATRIOT HILLS; TRANSANTARCTIC MOUNTAINS; METEORITE COLLECTION; HORSESHOE VALLEY; LATE PLEISTOCENE; STABLE-ISOTOPES; CLIMATE RECORD; ALLAN HILLS</t>
  </si>
  <si>
    <t>This paper reviews the distribution, character and age of blue-ice moraines in Antarctica and asks whether there are implications for the study of former Pleistocene ice sheets in the Northern Hemisphere. Blue-ice forms where acceleration of downslope katabatic winds removes snow and causes ice to ablate. Upward ice flow compensates for the surface ablation and in some places brings rock debris to the surface to form a blue-ice moraine. Blue-ice moraines occur where topography focuses katabatic winds, notably outlet glaciers cutting through mountains and in the lee of nunataks and escarpments nearer the coast. Many Antarctic blue-ice moraines have been accumulating for millions of years. The cyclic growth and decay of Pleistocene ice sheets and the dominance of surface ablation near the ice-sheet margins are clearly different, yet there are aspects that apply to Pleistocene ice sheets. Based on Antarctic blue-ice deposits, equivalent deposits associated with former Pleistocene ice sheets are likely to: (1) lie in topographic sediment traps such as in side valleys or embayments next to outlet glaciers, (2) occur in the lee of mountains, (3) display a morphology indicating ice flow into the embayment or towards the mountain front, (4) include a wide range of lithologies derived from the inland ice sheet, yet consist wholly of local debris in places, (5) accumulate a thick deposit perhaps over successive glaciations. Further, (6) the location and intensity of moraine formation will change spatially and vertically in response to changes in the relative elevation of the surrounding mountains and its effect on ice flow. The extent to which these criteria will help in interpreting the behaviour of Pleistocene ice sheets is uncertain. But we use examples from the Greenland, Laurentide and Eurasian ice sheets to suggest that the concept of enhanced ablation by katabatic winds encouraging surface moraine formation helps resolve several puzzles. (C) 2020 Elsevier Ltd. All rights reserved.</t>
  </si>
  <si>
    <t>[Sugden, David] Univ Edinburgh, Sch GeoSci, Edinburgh EH8 9XP, Midlothian, Scotland; [Hall, Adrian] Stockholm Univ, Dept Phys Geog, S-10691 Stockholm, Sweden</t>
  </si>
  <si>
    <t>University of Edinburgh; Stockholm University</t>
  </si>
  <si>
    <t>Sugden, D (corresponding author), Univ Edinburgh, Sch GeoSci, Edinburgh EH8 9XP, Midlothian, Scotland.</t>
  </si>
  <si>
    <t>david.sugden@ed.ac.uk; adrian.hall@natgeo.su.se</t>
  </si>
  <si>
    <t>NERC [NE/1025840/1]</t>
  </si>
  <si>
    <t>This paper arises from work funded by NERC NE/1025840/1. We thank two referees for very helpful comments.</t>
  </si>
  <si>
    <t>10.1016/j.quascirev.2020.106620</t>
  </si>
  <si>
    <t>OS1FG</t>
  </si>
  <si>
    <t>WOS:000589909100008</t>
  </si>
  <si>
    <t>Hughes, KA; Convey, P</t>
  </si>
  <si>
    <t>Hughes, Kevin A.; Convey, Peter</t>
  </si>
  <si>
    <t>Implications of the COVID-19 pandemic for Antarctica</t>
  </si>
  <si>
    <t>Antarctic governance; biosecurity; CAMLR Convention; environmental protection; IAATO; SARS-CoV-2</t>
  </si>
  <si>
    <t>IMPACTS</t>
  </si>
  <si>
    <t>To date, Antarctica is the only continent to have escaped the COVID-19 pandemic. This was facilitated by the continent's isolation and low human presence, combined with the global emergence of the pandemic at the end of the Antarctic summer season and the rapid action of those national governmental operators and other actors still active on and around the continent during the early phases of the outbreak. Here, we consider the implications of the pandemic for Antarctic governance, national operator logistics, science, tourism and the fishing industry, as well as for Antarctic environmental protection. Global disruption will result in a temporary decrease in human activity in Antarctica, in turn leading to a reduction in environmental impacts for a period, but also a reduced capacity to respond to environmental incidents. Given the diversity of transmission routes and vectors, preventing the introduction of the virus will be difficult, even with stringent quarantine procedures in place, and the risks and implications of virus transmission to Antarctic wildlife are largely unknown. With control of the pandemic a major global challenge, international cooperation will be essential if Antarctica is to remain free of coronavirus.</t>
  </si>
  <si>
    <t>[Hughes, Kevin A.; Convey, Peter] British Antarctic Survey, Madingley Rd, Cambridge CB3 0ET, England</t>
  </si>
  <si>
    <t>Hughes, KA (corresponding author), British Antarctic Survey, Madingley Rd, Cambridge CB3 0ET, England.</t>
  </si>
  <si>
    <t>kehu@bas.ac.uk</t>
  </si>
  <si>
    <t>Convey, Peter/AAV-5728-2020; Hughes, Kevin/JVZ-0793-2024</t>
  </si>
  <si>
    <t>Convey, Peter/0000-0001-8497-9903;</t>
  </si>
  <si>
    <t>Natural Environment Research Council; NERC [bas010011, bas0100036] Funding Source: UKRI</t>
  </si>
  <si>
    <t>The authors are supported by Natural Environment Research Council core funding to the British Antarctic Survey.</t>
  </si>
  <si>
    <t>PII S095410202000053X</t>
  </si>
  <si>
    <t>10.1017/S095410202000053X</t>
  </si>
  <si>
    <t>WOS:000590479300002</t>
  </si>
  <si>
    <t>Fitzgerald, NB; Kirkpatrick, JB</t>
  </si>
  <si>
    <t>Fitzgerald, Nicholas B.; Kirkpatrick, Jamie B.</t>
  </si>
  <si>
    <t>Air temperature lapse rates and cloud cover in a hyper-oceanic climate</t>
  </si>
  <si>
    <t>environmental lapse rate; fog; Macquarie Island; orographic cloud; sub-Antarctic; temperature profile</t>
  </si>
  <si>
    <t>NORTHERN</t>
  </si>
  <si>
    <t>Air temperature lapse rates vary geographically and temporally. Sub-Antarctic Macquarie Island provides an opportunity to compare lapse rates between windward and leeward slopes in a hyper-oceanic climate. Lapse rates were steep by global standards, typically close to the dry adiabatic lapse rate despite the near-constant high humidity. Limited diurnal and seasonal variation occurs in lapse rates on Macquarie Island. High variability of lapse rates on the eastern (lee) slope in summer months and in the midday hours appears to be driven by solar radiation. No diurnal or seasonal pattern was evident on the western slope. Development of orographic cloud is expected to modify lapse rates, given the theoretical shift between dry and saturated adiabatic lapse rates that occurs with condensation of water vapour. Cloud cover was frequent, with higher elevations being under cloud 50% of the time, with no seasonal variation. However, cloud base level did not explain variation in lapse rates. Low cloud is likely to be of ecological importance because it influences fog precipitation, solar radiation and evapotranspiration. Year-round dominance of westerly airflows and limited seasonal variation in air temperature and humidity explain the limited seasonal variation in cloud cover and lapse rates on Macquarie Island.</t>
  </si>
  <si>
    <t>[Fitzgerald, Nicholas B.; Kirkpatrick, Jamie B.] Univ Tasmania, Churchill Ave, Hobart, Tas 7005, Australia</t>
  </si>
  <si>
    <t>Fitzgerald, NB (corresponding author), Univ Tasmania, Churchill Ave, Hobart, Tas 7005, Australia.</t>
  </si>
  <si>
    <t>nbf@utas.edu.au</t>
  </si>
  <si>
    <t>Fitzgerald, Nicholas/0000-0002-1281-6897</t>
  </si>
  <si>
    <t>Chris Howard and Paul Helleman (Tasmanian Parks and Wildlife Service) installed and retrieved data loggers. Warwick Barnes and Simon Alexander (Australian Antarctic Division) kindly provided the archive of webcam images. We acknowledge the logistical support provided by the Australian Antarctic Division and Tasmanian Parks and Wildlife Service. Manuel Nunez (University of Tasmania) provided invaluable advice and improvements. We thank the two anonymous reviewers.</t>
  </si>
  <si>
    <t>PII S0954102020000309</t>
  </si>
  <si>
    <t>10.1017/S0954102020000309</t>
  </si>
  <si>
    <t>WOS:000590479300003</t>
  </si>
  <si>
    <t>Ainley, DG; Joyce, TW; Saenz, B; Pitman, RL; Durban, JW; Ballard, G; Daly, K; Kim, S</t>
  </si>
  <si>
    <t>Ainley, David G.; Joyce, Trevor W.; Saenz, Ben; Pitman, Robert L.; Durban, John W.; Ballard, Grant; Daly, Kendra; Kim, Stacy</t>
  </si>
  <si>
    <t>Foraging patterns of Antarctic minke whales in McMurdo Sound, Ross Sea</t>
  </si>
  <si>
    <t>Adé lie penguin; Antarctic silverfish; crystal krill; interspecific interactions; prey depletion; trophic competition</t>
  </si>
  <si>
    <t>SHELF WATERS; FOOD-WEB; ICE; MARINE; FISH; STRATEGIES; CETACEANS; ABUNDANCE; PENGUINS; KRILL</t>
  </si>
  <si>
    <t>Evidence indicates that Antarctic minke whales (AMWs) in the Ross Sea affect the foraging behaviour, especially diet, of sympatric Adelie penguins (ADPEs) by, we hypothesize, influencing the availability of prey they have in common, mainly crystal krill. To further investigate this interaction, we undertook a study in McMurdo Sound during 2012-2013 and 2014-2015 using telemetry and biologging of whales and penguins, shore-based observations and quantification of the preyscape. The 3D distribution and density of prey were assessed using a remotely operated vehicle deployed along and to the interior of the fast-ice edge where AMWs and ADPEs focused their foraging. Acoustic surveys of prey and foraging behaviour of predators indicate that prey remained abundant under the fast ice, becoming successively available to air-breathing predators only as the fast ice retreated. Over both seasons, the ADPE diet included less krill and more Antarctic silverfish once AMWs became abundant, but the penguins' foraging behaviour (i.e. time spent foraging, dive depth, distance from colony) did not change. In addition, over time, krill abundance decreased in the upper water column near the ice edge, consistent with the hypothesis (and previously gathered information) that AMW and ADPE foraging contributed to an alteration of prey availability.</t>
  </si>
  <si>
    <t>[Ainley, David G.] HT Harvey &amp; Associates, 983 Univ Ave, Los Gatos, CA 95032 USA; [Joyce, Trevor W.] Natl Marine Fisheries Serv, Marine Mammal &amp; Turtle Div, Southwest Fisheries Sci Ctr, 8901 La Jolla Shores Dr, La Jolla, CA 92037 USA; [Joyce, Trevor W.] Natl Acad Sci Engn &amp; Med, 500 Fifth St, Washington, DC USA; [Saenz, Ben] Resource Management Associates, 756 Picasso Ave G, Davis, CA 95618 USA; [Pitman, Robert L.] Natl Marine Fisheries Serv, Antarctic Ecosyst Res Div, Southwest Fisheries Sci Ctr, 8901 La Jolla Shores Dr, La Jolla, CA 92037 USA; [Pitman, Robert L.] Oregon State Univ, Marine Mammal Inst, 2030 SE Marine Sci Dr, Newport, OR 97365 USA; [Durban, John W.] Southhall Environm Associates, 9099 Soquel Dr, Aptos, CA 95003 USA; [Ballard, Grant] Point Blue Conservat Sci, 3820 Cypress Dr,Suite 11, Petaluma, CA 94954 USA; [Daly, Kendra] Univ S Florida, 140 7th Ave S, St Petersburg, FL 33701 USA; [Kim, Stacy] Moss Landing Marine Labs, 8272 Moss Landing Rd, Moss Landing, CA 95039 USA</t>
  </si>
  <si>
    <t>National Oceanic Atmospheric Admin (NOAA) - USA; National Academies of Sciences, Engineering &amp; Medicine; National Oceanic Atmospheric Admin (NOAA) - USA; Oregon State University; State University System of Florida; University of South Florida; Moss Landing Marine Laboratories</t>
  </si>
  <si>
    <t>Ainley, DG (corresponding author), HT Harvey &amp; Associates, 983 Univ Ave, Los Gatos, CA 95032 USA.</t>
  </si>
  <si>
    <t>dainley@penguinscience.com</t>
  </si>
  <si>
    <t>Ballard, Grant/0000-0002-8604-7066; Daly, Kendra/0000-0001-8669-3458; Pitman, Robert/0000-0002-8713-1219</t>
  </si>
  <si>
    <t>National Science Foundation [ANT-0944511, ANT-0944694, ANT-0944747, OPP-0338428]; National Geographic Society; US Marine Mammal Commission; NOAA's Southwest Fisheries Science Center; H.T. Harvey Associates</t>
  </si>
  <si>
    <t>National Science Foundation(National Science Foundation (NSF)); National Geographic Society(National Geographic Society); US Marine Mammal Commission; NOAA's Southwest Fisheries Science Center; H.T. Harvey Associates</t>
  </si>
  <si>
    <t>Funding was provided by National Science Foundation grants ANT-0944511, -0944694 and -0944747 and OPP-0338428. In-kind support, in the form of logistics, was provided by the US Antarctic Program through Antarctic Support Associates. Additional funding was received from the National Geographic Society, US Marine Mammal Commission, NOAA's Southwest Fisheries Science Center and from H.T. Harvey &amp; Associates.</t>
  </si>
  <si>
    <t>PII S0954102020000310</t>
  </si>
  <si>
    <t>10.1017/S0954102020000310</t>
  </si>
  <si>
    <t>WOS:000590479300004</t>
  </si>
  <si>
    <t>Cronin, KE; Walker, SE; Mann, R; Chute, AS; Long, MC; Bowser, SS</t>
  </si>
  <si>
    <t>Cronin, Kelly E.; Walker, Sally E.; Mann, Roger; Chute, Antonie S.; Long, M. Chase; Bowser, Samuel S.</t>
  </si>
  <si>
    <t>Growth and longevity of the Antarctic scallop Adamussium colbecki under annual and multiannual sea ice</t>
  </si>
  <si>
    <t>annuli; ecosystem engineer; lifespan; von Bertalanffy</t>
  </si>
  <si>
    <t>BAY ROSS SEA; MCMURDO SOUND; GEOGRAPHIC-VARIATION; TEMPERATURE; SHELLS; VARIABILITY; MOLLUSKS; COVER; RATES; SMITH</t>
  </si>
  <si>
    <t>Ecosystem engineers such as the Antarctic scallop (Adamussium colbecki) shape marine communities. Thus, changes to their lifespan and growth could have far-reaching effects on other organisms. Sea ice is critical to polar marine ecosystem function, attenuating light and thereby affecting nutrient availability. Sea ice could therefore impact longevity and growth in polar bivalves unless temperature is the overriding factor. Here, we compare the longevity and growth of A. colbecki from two Antarctic sites: Explorers Cove and Bay of Sails, which differ by sea-ice cover, but share similar seawater temperatures, the coldest on Earth (-1.97 degrees C). We hypothesize that scallops from the multiannual sea-ice site will have slower growth and greater longevity. We found maximum ages to be similar at both sites (18-19 years). Growth was slower, with higher inter-individual variability, under multiannual sea ice than under annual sea ice, which we attribute to patchier nutrient availability under multiannual sea ice. Contrary to expectations, A. colbecki growth, but not longevity, is affected by sea-ice duration when temperatures are comparable. Recent dramatic reductions in Antarctic sea ice and predicted temperature increases may irrevocably alter the life histories of this ecosystem engineer and other polar organisms.</t>
  </si>
  <si>
    <t>[Cronin, Kelly E.; Walker, Sally E.] Univ Georgia, Dept Geol, Athens, GA 30602 USA; [Mann, Roger; Long, M. Chase] Virginia Inst Marine Sci, Coll William &amp; Mary, Gloucester Point, VA 23062 USA; [Chute, Antonie S.] NOAA Fisheries, Woods Hole, MA 02453 USA; [Bowser, Samuel S.] New York State Dept Hlth, Wadsworth Ctr, Albany, NY 12201 USA</t>
  </si>
  <si>
    <t>University System of Georgia; University of Georgia; William &amp; Mary; Virginia Institute of Marine Science; National Oceanic Atmospheric Admin (NOAA) - USA; Wadsworth Center; State University of New York (SUNY) System</t>
  </si>
  <si>
    <t>Cronin, KE (corresponding author), Univ Georgia, Dept Geol, Athens, GA 30602 USA.</t>
  </si>
  <si>
    <t>kec75599@uga.edu</t>
  </si>
  <si>
    <t>Cronin, Kelly/0000-0002-7112-9907</t>
  </si>
  <si>
    <t>NSF Polar Programs [ANT 0739512, OPP 1745057, PLR 1341612]; Paleontological Society; Geological Society of America</t>
  </si>
  <si>
    <t>NSF Polar Programs(National Science Foundation (NSF)); Paleontological Society; Geological Society of America</t>
  </si>
  <si>
    <t>Fieldwork and analysis was funded by NSF Polar Programs grants ANT 0739512, OPP 1745057 and PLR 1341612, as well as grants from the Paleontological Society and the Geological Society of America.</t>
  </si>
  <si>
    <t>PII S0954102020000322</t>
  </si>
  <si>
    <t>10.1017/S0954102020000322</t>
  </si>
  <si>
    <t>WOS:000590479300005</t>
  </si>
  <si>
    <t>Caetano, LS; Pollery, RCG; Kerr, R; Magrani, F; Neto, AA; Vieira, R; Marotta, H</t>
  </si>
  <si>
    <t>Caetano, Ludmila S.; Pollery, Ricardo C. G.; Kerr, Rodrigo; Magrani, Fabio; Ayres Neto, Arthur; Vieira, Rosemary; Marotta, Humberto</t>
  </si>
  <si>
    <t>High-resolution spatial distribution of pCO2 in the coastal Southern Ocean in late spring</t>
  </si>
  <si>
    <t>Antarctic Peninsula; carbon cycle; CO2 fluxes; subpolar bay</t>
  </si>
  <si>
    <t>NORTHERN ANTARCTIC PENINSULA; NET COMMUNITY PRODUCTION; INORGANIC CARBON; CO2; SEA; ACIDIFICATION; BALANCE; STRAIT; ISLAND; BASIN</t>
  </si>
  <si>
    <t>We present a high-resolution spatial study of ocean surface carbon dioxide partial pressure (pCO(2)), temperature and salinity coupled with a seismic survey performed in subpolar waters with a variable presence of glaciers along the coastal margins of Admiralty Bay and the Bransfield Strait, northern Antarctic Peninsula, during the late spring season. Three zones were identified in this bay. The shallow and relatively fresh SHALLOW GLACIER THAW zone in the inner portion of the bay had high freshwater inputs from active glacial meltwater channels, representing higher pCO(2) levels (median similar to 438 mu atm) than the shallow and relatively salty SHALLOW zone without glaciers along the margins and dominated by macroalgae communities at the bottom, which showed relatively low pCO(2) levels (median similar to 371 mu atm). The deep and relatively salty CENTRE zone was highly influenced by seawater intrusions from the Bransfield Strait, representing intermediate pCO(2) levels (median similar to 397 mu atm). The net sea-air CO2 fluxes in late spring obtained from the high-resolution surface survey in Admiralty Bay indicate a condition of near neutral air-sea CO2 flux, with a median (25-75% interquartile range) value of -0.07 mmol m(-2) day(-1) (ranging from -12.21 to +4.33 mmol m(-2) day(-1)), contrasting with the slight source to the atmosphere estimated from measurements only in the CENTRE zone. This finding suggests that temperature-sensitive metabolic and physical-chemical processes may cause significant variability in the ocean surface distribution of CO2 over short shoreline distances in the northern Antarctic Peninsula.</t>
  </si>
  <si>
    <t>[Caetano, Ludmila S.; Vieira, Rosemary; Marotta, Humberto] Fed Fluminense Univ UFF, Grad Program Geog, Dept Geog, Sedimentary &amp; Environm Proc Lab LAPSA UFF, Av Gal Milton Tavares de Souza S-N, BR-24210346 Niteroi, RJ, Brazil; [Caetano, Ludmila S.; Marotta, Humberto] Fed Fluminense Univ UFF, Grad Program Geosci Environm Geochem, Biomass &amp; Water Management Res Ctr NAB UFF, Ecosyst &amp; Global Change Lab LEMG UFF,Int Lab Glo, Av Edmundo March S-N, BR-24210310 Niteroi, RJ, Brazil; [Pollery, Ricardo C. G.] Fed Univ Rio De Janeiro UFRJ, Hlth Sci Ctr, Multiuser Unit Environm Anal, Predio Inter Bloco A-F,Av Carlos Chagas Filho, BR-21941971 Rio De Janeiro, RJ, Brazil; [Kerr, Rodrigo] Fed Univ Rio Grande FURG, Inst Oceanog, Ocean &amp; Climate Studies Lab, Av Italia Km 8 S-N, BR-96203900 Rio Grande, RS, Brazil; [Magrani, Fabio; Ayres Neto, Arthur] Fed Fluminense Univ UFF, Grad Program Geosci Dynam Oceans &amp; Earth, Lab Marine Geophys LAGEMAR UFF, Av Gal Milton Tavares de Souza S-N, BR-24210346 Niteroi, RJ, Brazil; [Magrani, Fabio] Univ Bern, Inst Geol Sci, Baltzerstr 3, CH-3012 Bern, Switzerland</t>
  </si>
  <si>
    <t>Universidade Federal Fluminense; Universidade Federal Fluminense; Universidade Federal do Rio Grande; Universidade Federal Fluminense; University of Bern</t>
  </si>
  <si>
    <t>Marotta, H (corresponding author), Fed Fluminense Univ UFF, Grad Program Geog, Dept Geog, Sedimentary &amp; Environm Proc Lab LAPSA UFF, Av Gal Milton Tavares de Souza S-N, BR-24210346 Niteroi, RJ, Brazil.;Marotta, H (corresponding author), Fed Fluminense Univ UFF, Grad Program Geosci Environm Geochem, Biomass &amp; Water Management Res Ctr NAB UFF, Ecosyst &amp; Global Change Lab LEMG UFF,Int Lab Glo, Av Edmundo March S-N, BR-24210310 Niteroi, RJ, Brazil.</t>
  </si>
  <si>
    <t>humbertomarotta@id.uff.br</t>
  </si>
  <si>
    <t>Neto, Arthur Ayres/AAL-2963-2021; Marotta, Humberto/F-9554-2012; Kerr, Rodrigo/I-2494-2012</t>
  </si>
  <si>
    <t>Neto, Arthur Ayres/0000-0002-2982-245X; Marotta, Humberto/0000-0002-2828-6595; Kerr, Rodrigo/0000-0002-2632-3137; Magrani, Fabio/0000-0002-9487-5849; Vieira, Rosemary/0000-0003-0312-2890</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</si>
  <si>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 CNPq) [573720/2008-8, 465680/2014-3]; Coordenacao de Aperfeicoamento de Pessoal de Nivel Superior -Brasil (CAPES) [001]; project CLIMATE-PRINT-CAPES/UFF [88887.310301/2018-00]; project FEEDBACKS-PRINT-CAPES/UFF [99997.310301/2018-00]; CNPq [573720/2008-8, 311380/2019-0, 304937/2018-5]; Research Support Foundation of the State of Rio de Janeiro (FAPERJ) [E-26/201.503/2014, E-26/010.001639/2016]</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</si>
  <si>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 CNPq)(Conselho Nacional de Desenvolvimento Cientifico e Tecnologico (CNPQ)); Coordenacao de Aperfeicoamento de Pessoal de Nivel Superior -Brasil (CAPES)(Coordenacao de Aperfeicoamento de Pessoal de Nivel Superior (CAPES)); project CLIMATE-PRINT-CAPES/UFF; project FEEDBACKS-PRINT-CAPES/UFF; CNPq(Conselho Nacional de Desenvolvimento Cientifico e Tecnologico (CNPQ)); Research Support Foundation of the State of Rio de Janeiro (FAPERJ)(Fundacao Carlos Chagas Filho de Amparo a Pesquisa do Estado do Rio De Janeiro (FAPERJ))</t>
  </si>
  <si>
    <t>\PROANTAR projects have been funded by and have received logistical support from the Brazilian Ministry of the Environment (MMA), the Brazilian Ministry of Science, Technology, Innovation and Communication (MCTIC) and the Council for Research and Scientific Development of Brazil (CNPq) through grants from the Brazilian National Institute of Science and Technology of Cryosphere (INCT-CRIOSFERA; CNPq grant nos. 573720/2008-8 and 465680/2014-3). In addition, this study was financed in part by the Coordenacao de Aperfeicoamento de Pessoal de Nivel Superior -Brasil (CAPES) -Finance Code 001 and the projects CLIMATE-PRINT-CAPES/UFF (88887.310301/2018-00) and FEEDBACKS-PRINT-CAPES/UFF (99997.310301/2018-00). LSC, RV and RK received support from CNPq fellowship 573720/2008-8 and research grant nos. 311380/2019-0 and 304937/2018-5, respectively. HM received support from the Research Support Foundation of the State of Rio de Janeiro (FAPERJ grant nos. E-26/201.503/2014 and E-26/010.001639/2016).</t>
  </si>
  <si>
    <t>10.1017/S0954102020000334</t>
  </si>
  <si>
    <t>WOS:000590479300006</t>
  </si>
  <si>
    <t>Tengku-Mazuki, TA; Subramaniam, K; Zakaria, NN; Convey, P; Khalil, KA; Lee, GLY; Zulkharnain, A; Shaharuddin, NA; Ahmad, SA</t>
  </si>
  <si>
    <t>Tengku-Mazuki, Tengku Athirrah; Subramaniam, Kavilasni; Zakaria, Nur Nadhirah; Convey, Peter; Abdul Khalil, Khalilah; Lee, Gillian Li Yin; Zulkharnain, Azham; Shaharuddin, Noor Azmi; Ahmad, Siti Aqlima</t>
  </si>
  <si>
    <t>Optimization of phenol degradation by Antarctic bacterium Rhodococcus sp.</t>
  </si>
  <si>
    <t>bioremediation; one-factor-at-a-time; response surface methodology</t>
  </si>
  <si>
    <t>CONTAMINATED SOIL; BIOREMEDIATION; BIODEGRADATION; IMPACTS</t>
  </si>
  <si>
    <t>This study focused on the ability of the Antarctic bacterium Rhodococcus sp. strain AQ5-14 to survive exposure to and to degrade high concentrations of phenol at 0.5 g l(-1). After initial evaluation of phenol-degrading performance, the effects of salinity, pH and temperature on the rate of phenol degradation were examined. The optimum conditions for phenol degradation were pH 7 and 0.4 g l(-1) NaCl at a temperature of 25 degrees C (83.90%). An analysis using response surface methodology (RSM) and the Plackett-Burman design identified salinity, pH and temperature as three statistically significant factors influencing phenol degradation. The maximum bacterial growth was observed (optical density at 600 nm = 0.455), with medium conditions of pH 6.5, 22.5 degrees C and 0.47 g l(-1) NaCl in the central composite design of the RSM experiments enhancing phenol degradation to 99.10%. A central composite design was then used to examine the interactions among these three variables and to determine their optimal levels. There was excellent agreement (R-2 = 0.9785) between experimental and predicted values, with less strong but still good agreement (R-2 = 0.8376) between the predicted model values and those obtained experimentally under optimized conditions. Rhodococcus sp. strain AQ5-14 has excellent potential for the bioremediation of phenol.</t>
  </si>
  <si>
    <t>[Tengku-Mazuki, Tengku Athirrah; Subramaniam, Kavilasni; Zakaria, Nur Nadhirah; Lee, Gillian Li Yin; Shaharuddin, Noor Azmi; Ahmad, Siti Aqlima] Univ Putra Malaysia, Fac Biotechnol &amp; Biomol Sci, Dept Biochem, Upm Serdang 43400, Selangor, Malaysia; [Convey, Peter] British Antarctic Survey, NERC, Madingley Rd, Cambridge CB3 0ET, England; [Abdul Khalil, Khalilah] Univ Teknol MARA, Fac Sci Appl, Dept Biomol Sci, Shah Alam 40450, Selangor, Malaysia; [Zulkharnain, Azham] Shibaura Inst Technol, Coll Syst Engn &amp; Sci, Dept Biosci &amp; Engn, Minuma Ku, 11 307 Fukasaku, Saitama 3378570, Japan; [Ahmad, Siti Aqlima] Univ Malaya, Natl Antarctic Res Ctr, B303 Level 3,Block B,IPS Bldg, Kuala Lumpur 50603, Malaysia</t>
  </si>
  <si>
    <t>Universiti Putra Malaysia; UK Research &amp; Innovation (UKRI); Natural Environment Research Council (NERC); NERC British Antarctic Survey; Universiti Teknologi MARA; Shibaura Institute of Technology; Universiti Malaya</t>
  </si>
  <si>
    <t>Ahmad, SA (corresponding author), Univ Putra Malaysia, Fac Biotechnol &amp; Biomol Sci, Dept Biochem, Upm Serdang 43400, Selangor, Malaysia.;Ahmad, SA (corresponding author), Univ Malaya, Natl Antarctic Res Ctr, B303 Level 3,Block B,IPS Bldg, Kuala Lumpur 50603, Malaysia.</t>
  </si>
  <si>
    <t>aqlima@upm.edu.my</t>
  </si>
  <si>
    <t>Zulkharnain, Azham/AAV-1241-2020; Convey, Peter/AAV-5728-2020</t>
  </si>
  <si>
    <t>Zulkharnain, Azham/0000-0001-9173-8171; Convey, Peter/0000-0001-8497-9903; Subramaniam, Kavilasni/0009-0002-0712-3065; Shaharuddin, Noor Azmi/0000-0003-0057-9932; Ahmad, Siti Aqlima/0000-0002-7625-3704</t>
  </si>
  <si>
    <t>Matching Grant PUTRA [UPM-YPASM 9300430]; YPASM Berth Support; PUTRA-IPS [9631800]; PUTRA-Berimpak [9660000]; IIOES-2014G 'Latitudinal Differences in Response and Adaptation of Microbes to Atmospheric Changes', research grant Higher Institute of Centre of Excellence, Ministry of Higher Education; NERC; Universiti Putra Malaysia; NERC [bas0100036] Funding Source: UKRI</t>
  </si>
  <si>
    <t>Matching Grant PUTRA; YPASM Berth Support; PUTRA-IPS; PUTRA-Berimpak; IIOES-2014G 'Latitudinal Differences in Response and Adaptation of Microbes to Atmospheric Changes', research grant Higher Institute of Centre of Excellence, Ministry of Higher Education; NERC(UK Research &amp; Innovation (UKRI)Natural Environment Research Council (NERC)); Universiti Putra Malaysia; NERC(UK Research &amp; Innovation (UKRI)Natural Environment Research Council (NERC))</t>
  </si>
  <si>
    <t>This work was supported by Matching Grant PUTRA (UPM-YPASM 9300430), YPASM Berth Support, PUTRA-IPS (9631800), PUTRA-Berimpak (9660000), IIOES-2014G 'Latitudinal Differences in Response and Adaptation of Microbes to Atmospheric Changes', research grant Higher Institute of Centre of Excellence, Ministry of Higher Education. P. Convey is supported by NERC core funding to the British Antarctic Survey's 'Biodiversity, Evolution and Adaptation' Team. We also thank Universiti Putra Malaysia for providing a GRF scholarship to Miss Kavilasni Subramaniam.</t>
  </si>
  <si>
    <t>PII S0954102020000358</t>
  </si>
  <si>
    <t>10.1017/S0954102020000358</t>
  </si>
  <si>
    <t>WOS:000590479300007</t>
  </si>
  <si>
    <t>Michel, LN; Nyssen, FL; Dauby, P; Verheye, M</t>
  </si>
  <si>
    <t>Michel, Loic N.; Nyssen, Fabienne L.; Dauby, Patrick; Verheye, Marie</t>
  </si>
  <si>
    <t>Can mandible morphology help predict feeding habits in Antarctic amphipods?</t>
  </si>
  <si>
    <t>diet analysis; food webs; Peracarida; scanning electron microscopy; Southern Ocean; trophic ecology</t>
  </si>
  <si>
    <t>FUNCTIONAL-MORPHOLOGY; CRUSTACEA-AMPHIPODA; LACINIA MOBILIS; ADAPTATIONS; BEHAVIOR</t>
  </si>
  <si>
    <t>In Antarctica, amphipods form a highly diverse group, occupy many different ecological niches and hold an important place in food webs. Here, we aimed to test whether differences in Antarctic amphipod feeding habits were reflected in their mandible morphology, and if mouthpart specialization could be used to describe amphipod trophic ecology. To do so, we compared mandible morphology in nine species spanning seven families and five functional groups (grazers, suspension feeders, generalist predators, specialist predators and scavengers). Mandible morphology adequately depicted some aspects of amphipod trophic ecology, such as the trophic level at which animals feed or their degree of dietary specialization. On the other hand, links between mandible morphology and amphipod diet were seldom unambiguous or straightforward. Similar adaptations were found in distinct functional groups. Conversely, mandible morphology could vary within a single functional group, and phylogenetic effects sometimes complicated the interpretation of form-function relationships. Overall, mandible morphology on its own was generally not sufficient to precisely predict amphipod feeding strategies. However, when combined with other methods (e.g. gut contents, trophic markers), it constitutes a valuable source of information for integrative studies of amphipod ecological diversity in the Southern Ocean.</t>
  </si>
  <si>
    <t>[Michel, Loic N.; Nyssen, Fabienne L.; Dauby, Patrick] Univ Liege, Freshwater &amp; Ocean Sci Unit reSearch FOCUS, Lab Systemat &amp; Anim Divers, B-4000 Liege, Belgium; [Michel, Loic N.; Verheye, Marie] Univ Liege, Freshwater &amp; Ocean Sci Unit reSearch FOCUS, Lab Oceanol, B-4000 Liege, Belgium; [Michel, Loic N.] Ctr Bretagne, Lab Environm Profond, IFREMER, REM EEP, F-29280 Plouzane, France</t>
  </si>
  <si>
    <t>University of Liege; University of Liege; Ifremer; Universite de Bretagne Occidentale</t>
  </si>
  <si>
    <t>Michel, LN (corresponding author), Univ Liege, Freshwater &amp; Ocean Sci Unit reSearch FOCUS, Lab Systemat &amp; Anim Divers, B-4000 Liege, Belgium.;Michel, LN (corresponding author), Univ Liege, Freshwater &amp; Ocean Sci Unit reSearch FOCUS, Lab Oceanol, B-4000 Liege, Belgium.;Michel, LN (corresponding author), Ctr Bretagne, Lab Environm Profond, IFREMER, REM EEP, F-29280 Plouzane, France.</t>
  </si>
  <si>
    <t>loicnmichel@gmail.com</t>
  </si>
  <si>
    <t>Dauby, Patrick/0000-0003-1901-6080; Michel, Loic/0000-0003-0988-7050; Verheye, Marie/0000-0001-8702-9292</t>
  </si>
  <si>
    <t>Scientific Research Programme on Antarctic (Phase IV) from the Belgian Federal Office for Scientific, Technical and Cultural Affairs (OSTC contract) [A4/36/BO2]; BELSPO through the vERSO project [BR/132/A1/vERSO, BR/154/A1/RECTO]; BELSPO through RECTO project [BR/132/A1/vERSO, BR/154/A1/RECTO]</t>
  </si>
  <si>
    <t>Scientific Research Programme on Antarctic (Phase IV) from the Belgian Federal Office for Scientific, Technical and Cultural Affairs (OSTC contract); BELSPO through the vERSO project; BELSPO through RECTO project</t>
  </si>
  <si>
    <t>FLN was a Belgian Fund for Research Training in Industry and Agriculture (FRIA) grantee and a Belgian Funds for Scientific Research (F.R.S.-FNRS) postdoctoral researcher. LNM was an F.R.S.-FNRS research fellow and a Belgian Science Policy Office (BELSPO) postdoctoral researcher. MV is an F.R.S.-FNRS postdoctoral researcher. This research was performed under the auspices of the Scientific Research Programme on Antarctic (Phase IV) from the Belgian Federal Office for Scientific, Technical and Cultural Affairs (OSTC contract no. A4/36/BO2). It was also supported by BELSPO through the vERSO and RECTO projects (contract no. BR/132/A1/vERSO and BR/154/A1/RECTO).</t>
  </si>
  <si>
    <t>PII S0954102020000395</t>
  </si>
  <si>
    <t>10.1017/S0954102020000395</t>
  </si>
  <si>
    <t>WOS:000590479300008</t>
  </si>
  <si>
    <t>Johnson, A; Fahnestock, M; Hock, R</t>
  </si>
  <si>
    <t>Johnson, Andrew; Fahnestock, Mark; Hock, Regine</t>
  </si>
  <si>
    <t>Evaluation of passive microwave melt detection methods on Antarctic Peninsula ice shelves using time series of Sentinel-1 SAR</t>
  </si>
  <si>
    <t>REMOTE SENSING OF ENVIRONMENT</t>
  </si>
  <si>
    <t>Passive microwave; Sentinel-1; SAR; Melt detection; Ice shelf; Google Earth Engine</t>
  </si>
  <si>
    <t>SURFACE MELT; SUMMER MELT; BREAK-UP; GREENLAND; SHEET; SNOW; EXTENT; TEMPERATURE; RETRIEVAL; DURATION</t>
  </si>
  <si>
    <t>Passive microwave datasets have been used to quantify the extent and duration of surface melt in Greenland and Antarctica from 1978 on with daily and near-daily intervals. These results have important implications for climate analysis and may help evaluate ice shelf stability. However, the accuracy of passive microwave methods used to detect melt is difficult to quantify, especially on the Antarctic Peninsula. Here four different melt de-tection methods are employed, including a new formulation of a statistical analysis of brightness temperature time series using a K-means clustering algorithm. Strikingly, two of the most widely used passive microwave melt detection methods are found to vary by 48% mean days of melt per year across six different locations on the Larsen C, Wilkins, and George VI Ice Shelves. In the absence of ground truth observations, time series of Sentinel 1 SAR observations from 2016 on provide a comparison dataset. In topographically flat regions where surface melt is spatially uniform, the passive microwave melt detection method based on a K-means analysis and the cross-polarization gradient ratio method demonstrate the highest agreement and correlation with active radar melt detection methods. One issue which has plagued passive microwave analysis is its coarse spatial resolution. High resolution SAR images are able to demonstrate and quantify the spatial variability of melt within individual passive microwave pixels. Melt is shown to be suitably uniform in space for passive microwave applications at the study sites on Antarctic Peninsula ice shelves, but not so in other regions of the Antarctic Peninsula. Spatial heterogeneity of surface melt on the sub-pixel scale is often related to varying surface topography.</t>
  </si>
  <si>
    <t>[Johnson, Andrew; Fahnestock, Mark; Hock, Regine] Univ Alaska Fairbanks, Geophys Inst, 2156 N Koyukuk Dr, Fairbanks, AK 99709 USA</t>
  </si>
  <si>
    <t>University of Alaska System; University of Alaska Fairbanks</t>
  </si>
  <si>
    <t>Johnson, A (corresponding author), Univ Alaska Fairbanks, Geophys Inst, 2156 N Koyukuk Dr, Fairbanks, AK 99709 USA.</t>
  </si>
  <si>
    <t>acjohnson16@alaska.edu</t>
  </si>
  <si>
    <t>Hock, Regine/C-6179-2013; Hock, Regine/JTT-4089-2023</t>
  </si>
  <si>
    <t>Hock, Regine/0000-0001-8336-9441; Johnson, Andrew/0000-0002-8009-200X</t>
  </si>
  <si>
    <t>NSF [1543432]; Directorate For Geosciences; Office of Polar Programs (OPP) [1543432] Funding Source: National Science Foundation</t>
  </si>
  <si>
    <t>NSF(National Science Foundation (NSF)); Directorate For Geosciences; Office of Polar Programs (OPP)(National Science Foundation (NSF)NSF - Directorate for Geosciences (GEO))</t>
  </si>
  <si>
    <t>This work was supported by the NSF Award #1543432.</t>
  </si>
  <si>
    <t>0034-4257</t>
  </si>
  <si>
    <t>1879-0704</t>
  </si>
  <si>
    <t>REMOTE SENS ENVIRON</t>
  </si>
  <si>
    <t>Remote Sens. Environ.</t>
  </si>
  <si>
    <t>10.1016/j.rse.2020.112044</t>
  </si>
  <si>
    <t>Environmental Sciences; Remote Sensing; Imaging Science &amp; Photographic Technology</t>
  </si>
  <si>
    <t>Environmental Sciences &amp; Ecology; Remote Sensing; Imaging Science &amp; Photographic Technology</t>
  </si>
  <si>
    <t>OL4IO</t>
  </si>
  <si>
    <t>WOS:000585306100002</t>
  </si>
  <si>
    <t>Zhao, JC; Cheng, B; Vihma, T; Heil, P; Hui, FM; Shu, Q; Zhang, L; Yang, QH</t>
  </si>
  <si>
    <t>Zhao, Jiechen; Cheng, Bin; Vihma, Timo; Heil, Petra; Hui, Fengming; Shu, Qi; Zhang, Lin; Yang, Qinghua</t>
  </si>
  <si>
    <t>Fast Ice Prediction System (FIPS) for land-fast sea ice at Prydz Bay, East Antarctica: an operational service for CHINARE</t>
  </si>
  <si>
    <t>Antarctica; land-fast sea ice; operational service; Prydz Bay; snow and ice thickness; thermodynamic modeling</t>
  </si>
  <si>
    <t>OCEANIC HEAT-FLUX; ZHONGSHAN STATION; SNOW</t>
  </si>
  <si>
    <t>A Fast Ice Prediction System (FIPS) was constructed and is the first regional land-fast sea-ice forecasting system for the Antarctic. FIPS had two components: (1) near-real-time information on the ice-covered area from MODIS and SAR imagery that revealed, tidal cracks, ridged and rafted ice regions; (2) a high-resolution 1-D thermodynamic snow and ice model (HIGHTSI) that was extended to perform a 2-D simulation on snow and ice evolution using atmospheric forcing from ECMWF: either using ERA-Interim reanalysis (in hindcast mode) or HERS operational 10-day predictions (in forecast mode). A hindcast experiment for the 2015 season was in good agreement with field observations, with a mean bias of 0.14 +/- 0.07 m and a correlation coefficient of 0.98 for modeled ice thickness. The errors are largely caused by a cold bias in the atmospheric forcing. The thick snow cover during the 2015 season led to modeled formation of extensive snow ice and superimposed ice. The first FIPS operational service was performed during the 2017/18 season. The system predicted a realistic ice thickness and onset of snow surface melt as well as the area of internal ice melt. The model results on the snow and ice properties were considered by the captain of R/V Xuelong when optimizing a low-risk route for on-ice transportation through fast ice to the coastal Zhongshan Station.</t>
  </si>
  <si>
    <t>[Zhao, Jiechen; Zhang, Lin] Minist Nat Resources, Natl Marine Environm Forecasting Ctr NMEFC, Key Lab Marine Hazards Forecasting, Beijing 100081, Peoples R China; [Zhao, Jiechen; Shu, Qi] Qingdao Natl Lab Marine Sci &amp; Technol, Lab Reg Oceanog &amp; Numer Modelling, Qingdao 266237, Peoples R China; [Cheng, Bin; Vihma, Timo] Finnish Meteorol Inst FMI, Helsinki 00101, Finland; [Heil, Petra] Australia Antarctic Div, Private Bag 80, Hobart, Tas 7001, Australia; [Heil, Petra] Australian Antarctic Programmer Partnership, Private Bag 80, Hobart, Tas 7001, Australia; [Hui, Fengming] Sun Yat Sen Univ, Sch Geospatial Engn &amp; Sci, Zhuhai 519082, Peoples R China; [Hui, Fengming; Yang, Qinghua] Southern Marine Sci &amp; Engn Guangdong Lab Zhuhai, Zhuhai 519082, Peoples R China; [Shu, Qi] Minist Nat Resources, Inst Oceanog 1, Qingdao 266061, Peoples R China; [Yang, Qinghua] Sun Yat Sen Univ, Sch Atmospher Sci, Zhuhai 519082, Peoples R China; [Yang, Qinghua] Sun Yat Sen Univ, Guangdong Prov Key Lab Climate Change &amp; Nat Disas, Zhuhai 519082, Peoples R China</t>
  </si>
  <si>
    <t>National Marine Environmental Forecasting Center; Ministry of Natural Resources of the People's Republic of China; Laoshan Laboratory; Finnish Meteorological Institute; Australian Antarctic Division; Sun Yat Sen University; Southern Marine Science &amp; Engineering Guangdong Laboratory; Southern Marine Science &amp; Engineering Guangdong Laboratory (Zhuhai); First Institute of Oceanography, Ministry of Natural Resources; Ministry of Natural Resources of the People's Republic of China; Sun Yat Sen University; Sun Yat Sen University</t>
  </si>
  <si>
    <t>Cheng, B (corresponding author), Finnish Meteorol Inst FMI, Helsinki 00101, Finland.;Yang, QH (corresponding author), Southern Marine Sci &amp; Engn Guangdong Lab Zhuhai, Zhuhai 519082, Peoples R China.;Yang, QH (corresponding author), Sun Yat Sen Univ, Sch Atmospher Sci, Zhuhai 519082, Peoples R China.;Yang, QH (corresponding author), Sun Yat Sen Univ, Guangdong Prov Key Lab Climate Change &amp; Nat Disas, Zhuhai 519082, Peoples R China.</t>
  </si>
  <si>
    <t>Bin.cheng@fmi.fi; yangqh25@mail.sysu.edu.cn</t>
  </si>
  <si>
    <t>Zhao, Jiechen/KHV-9905-2024; Cheng, Bin/D-4354-2013</t>
  </si>
  <si>
    <t>Cheng, Bin/0000-0001-8156-8412; SHU, Qi/0000-0003-4781-571X</t>
  </si>
  <si>
    <t>Natural Science Foundation of China [41876212, 41911530769, 41676176, 41941009]; Academy of Finland [304345]; Australian Government through Australian Antarctic Science projects [4301, 4390, 4506]; International Space Science Institute [406]</t>
  </si>
  <si>
    <t>Natural Science Foundation of China(National Natural Science Foundation of China (NSFC)); Academy of Finland(Research Council of Finland); Australian Government through Australian Antarctic Science projects; International Space Science Institute</t>
  </si>
  <si>
    <t>This study was supported by the Natural Science Foundation of China (41876212, 41911530769, 41676176 and 41941009) and the Academy of Finland under Contract 304345. PH was supported by the Australian Government through Australian Antarctic Science projects 4301, 4390 and 4506, and the International Space Science Institute grant no. 406. This is a contribution to the Year of Polar Prediction (YOPP), a flagship activity of the Polar Prediction Project (PPP), initiated by the World Weather Research Programme (WWRP) of the World Meteorological Organisation (WMO). We acknowledge WMO WWRP for its role in coordinating this international research activity. AMSR2-derived sea-ice concentration is courtesy of the University of Bremen (https://seaice.uni-bremen.de/sea-iceconcentration/). MODIS and SAR images were accessed via websites https:// worldview.earthdata.nasa.gov/?p=antarctic and https://www.polarview.aq/ antarctic, respectively. We are grateful for comments by two anonymous reviewers and editors David Babb and Hester Jiskoot, who helped to significantly improve the manuscript.</t>
  </si>
  <si>
    <t>PII S0260305520000464</t>
  </si>
  <si>
    <t>10.1017/aog.2020.46</t>
  </si>
  <si>
    <t>WOS:000652595200003</t>
  </si>
  <si>
    <t>Montie, S; Thomsen, MS; Rack, W; Broady, PA</t>
  </si>
  <si>
    <t>Montie, Shinae; Thomsen, Mads S.; Rack, Wolfgang; Broady, Paul A.</t>
  </si>
  <si>
    <t>Extreme summer marine heatwaves increase chlorophyll a in the Southern Ocean</t>
  </si>
  <si>
    <t>[Montie, Shinae; Rack, Wolfgang] Univ Canterbury, Gateway Antarctica, Private Bag 4800, Christchurch 8140, New Zealand; [Thomsen, Mads S.; Broady, Paul A.] Univ Canterbury, Sch Biol Sci, Private Bag 4800, Christchurch 8140, New Zealand</t>
  </si>
  <si>
    <t>University of Canterbury; University of Canterbury</t>
  </si>
  <si>
    <t>Montie, S (corresponding author), Univ Canterbury, Gateway Antarctica, Private Bag 4800, Christchurch 8140, New Zealand.</t>
  </si>
  <si>
    <t>shinae.montie@pg.canterbury.ac.nz</t>
  </si>
  <si>
    <t>Thomsen, Mads/B-1204-2011; Rack, Wolfgang/U-8898-2017</t>
  </si>
  <si>
    <t>Rack, Wolfgang/0000-0003-2447-377X; Montie, Shinae/0000-0002-1634-3652; Thomsen, Mads/0000-0003-4597-3343</t>
  </si>
  <si>
    <t>Brian Mason Trust; Ministry of Foreign Affairs and Trade scholarship for Antarctic research</t>
  </si>
  <si>
    <t>MST was supported by the Brian Mason Trust and received the Ministry of Foreign Affairs and Trade scholarship for Antarctic research.</t>
  </si>
  <si>
    <t>10.1017/S0954102020000401</t>
  </si>
  <si>
    <t>WOS:000590479300009</t>
  </si>
  <si>
    <t>Asgeirsson, B; Markússon, S; Hlynsdóttir, SS; Helland, R; Hjörleifsson, JG</t>
  </si>
  <si>
    <t>Asgeirsson, Bjarni; Markusson, Sigurbjorn; Hlynsdottir, Sigridur S.; Helland, Ronny; Hjorleifsson, Jens G.</t>
  </si>
  <si>
    <t>X-ray crystal structure of Vibrio alkaline phosphatase with the non-competitive inhibitor cyclohexylamine</t>
  </si>
  <si>
    <t>BIOCHEMISTRY AND BIOPHYSICS REPORTS</t>
  </si>
  <si>
    <t>Enzymology; Alkaline phosphatase; Enzyme inhibitor; P-nitrophenyl phosphate; Cyclohexylamine; Non-competitive</t>
  </si>
  <si>
    <t>ALZHEIMERS-DISEASE; MECHANISM; RESIDUES; KINETICS; LIVER</t>
  </si>
  <si>
    <t>Background: Para-nitrophenyl phosphate, the common substrate for alkaline phosphatase (AP), is available as a cyclohexylamine salt. Here, we report that cyclohexylamine is a non-competitive inhibitor of APs. Methods: Cyclohexylamine inhibited four different APs. Co-crystallization with the cold-active Vibrio AP (VAP) was performed and the structure solved. Results: Inhibition of VAP fitted a non-competitive kinetic model (Km unchanged, Vmax reduced) with IC50 45.3 mM at the pH optimum 9.8, not sensitive to 0.5 M NaCl, and IC50 27.9 mM at pH 8.0, where the addition of 0.5 M NaCl altered the inhibition to the level observed at pH 9.8. APs from E. coli and calf intestines were less sensitive to cyclohexylamine, whereas an Antarctic bacterial AP was similar to VAP in this respect. X-ray crystallography at 2.3 A showed two binding sites, one in the active site channel and another at the surface close to dimer interface. Antarctic bacterial AP and VAP have Trp274 in common in their active-sites, that takes part in binding cyclohexylamine. VAP variants W274A, W274K, and W274H gave IC50 values of 179 mM, 188 mM and 187 mM, respectively, at pH 9.8. Conclusions: The binding of cyclohexylamine in locations at the dimeric interface and/or in the active site of APs may delay product release or reduce the rate of catalytic step(s) involving conformational changes and intersubunit communications. General significance: Cyclohexylamine is a common chemical in industries and used as a counterion in substrates for alkaline phosphatase, a clinically important and common enzyme in the biosphere.</t>
  </si>
  <si>
    <t>[Asgeirsson, Bjarni; Markusson, Sigurbjorn; Hlynsdottir, Sigridur S.; Hjorleifsson, Jens G.] Univ Iceland, Sci Inst, Dept Biochem, Dunhagi 3, IS-107 Reykjavik, Iceland; [Helland, Ronny] UiT Arctic Univ Norway, Fac Sci &amp; Technol, Dept Chem, NorStruct, NO-9037 Tromso, Norway</t>
  </si>
  <si>
    <t>University of Iceland; UiT The Arctic University of Tromso</t>
  </si>
  <si>
    <t>Asgeirsson, B (corresponding author), Univ Iceland, Sci Inst, Dept Biochem, Dunhagi 3, IS-107 Reykjavik, Iceland.</t>
  </si>
  <si>
    <t>bjarni@hi.is</t>
  </si>
  <si>
    <t>; Asgeirsson, Bjarni/E-3747-2015</t>
  </si>
  <si>
    <t>Markusson, Sigurbjorn/0000-0003-4364-2997; Hlynsdottir, Sigridur Stefania/0000-0002-9292-8900; Hjorleifsson, Jens G/0000-0002-0471-855X; Asgeirsson, Bjarni/0000-0002-4275-2732</t>
  </si>
  <si>
    <t>Icelandic Centre for Research Fund [141619-053]; Science Institute of the University of Iceland</t>
  </si>
  <si>
    <t>Icelandic Centre for Research Fund; Science Institute of the University of Iceland</t>
  </si>
  <si>
    <t>Financial support from the Icelandic Centre for Research Fund (project 141619-053) and the Science Institute of the University of Iceland is gratefully acknowledged. The authors also thank Dr. Bjarte Aarmo Lund, Department of Chemistry, Faculty of Science and Technology at UiT -The Arctic University of Norway, NO-9037 Tromso, Norway, for expert assistance with protein crystallographic data collection, refinement and analyses. Furthermore, the authors would like to thank Prof. Petri Kursula and Dr. Arne Raasakka, Department of Biomedicine, University of Bergen, for their help with crystallographic refinement and data processing. The authors further acknowledge the use of beamtime at the BioMAX beamline at MAX IV Laboratory in Lund, SE with gratitude.</t>
  </si>
  <si>
    <t>2405-5808</t>
  </si>
  <si>
    <t>BIOCHEM BIOPHYS REP</t>
  </si>
  <si>
    <t>Biochem. Biophys. Rep.</t>
  </si>
  <si>
    <t>10.1016/j.bbrep.2020.100830</t>
  </si>
  <si>
    <t>RW7HG</t>
  </si>
  <si>
    <t>WOS:000646691800035</t>
  </si>
  <si>
    <t>Macroplastic in Seabirds at Mirny, Antarctica</t>
  </si>
  <si>
    <t>BIRDS</t>
  </si>
  <si>
    <t>entanglement; ingestion; fishing line; macroplastic; Mirny station; pollution; seabirds; Antarctica</t>
  </si>
  <si>
    <t>MARINE-ENVIRONMENT; PLASTIC DEBRIS; POLLUTION</t>
  </si>
  <si>
    <t>Observations of Antarctic birds eating plastic began to appear in the early 1980s. Plastic debris makes up the majority of marine debris around the world, and pollution is a serious threat to marine wildlife. Threats represent two types of biological interactions with plastic: entanglement and ingestion. This paper describes interactions of seabirds with plastic in Russian Mirny Antarctic station and draw the attention of society to the existing problem. In 2012 /2013 and 2015/2016, year-round observations of the author were carried out at Mirny and Haswell Islands, East Antarctica. One case of entanglement of Adelie penguin in a fishing line has been identified; one case of an adult emperor penguin mistakenly ingesting plastic braided rope and subsequently feeding it as part of a food lump to the chick; and two cases of plastic found in south polar skuas. Entanglement and ingestion of plastic by seabirds are rare events. They signal us about problem that needs to be included in the observation program for the health of seabirds and mammals of the Haswell islands. Reducing plastic pressure on natural ecosystems is an important challenge for humanity in the near future. Plastic debris makes up the majority of marine debris around the world, and pollution is a serious threat to marine wildlife. Threats represent two types of biological interactions with plastic: entanglement and ingestion. This paper describes interactions of seabirds with plastic in Mirny and draw the attention of researchers to the existing problem. In 2012/2013 and 2015/2016, year-round observations of the author were carried out at Mirny station and Haswell Islands (area of about 12 km(2)), east Antarctica. One case of entanglement of a molting adult Adelie penguin (Pygoscelis adeliae) in a fishing line was been identified; in addition to one case of an adult emperor penguin (Aptenodytes forsteri) mistakenly ingesting plastic braided rope and subsequently feeding it as part of a food lump to the chick, and two cases of macroplastics found in pellets of south polar skuas (Catharacta maccormicki). Registrations of entanglement and ingestion of macroplastic by seabirds in Mirny are rare. They signal to us about problem that needs to be included in the monitoring for the health of terrestrial biota of the Haswell archipelago.</t>
  </si>
  <si>
    <t>[Golubev, Sergey] Russian Acad Sci, Papanin Inst Biol Inland Waters, Borok, Russia; [Golubev, Sergey] Russian Acad Sci, Papanin Inst Biol Inland Waters, Borok 152742, Russia</t>
  </si>
  <si>
    <t>Papanin Institute for Biology of Inland Waters; Russian Academy of Sciences; Russian Academy of Sciences; Papanin Institute for Biology of Inland Waters</t>
  </si>
  <si>
    <t>Golubev, S (corresponding author), Russian Acad Sci, Papanin Inst Biol Inland Waters, Borok 152742, Russia.</t>
  </si>
  <si>
    <t>2673-6004</t>
  </si>
  <si>
    <t>BIRDS-BASEL</t>
  </si>
  <si>
    <t>Birds</t>
  </si>
  <si>
    <t>10.3390/birds1010003</t>
  </si>
  <si>
    <t>LA8C4</t>
  </si>
  <si>
    <t>WOS:001184137700001</t>
  </si>
  <si>
    <t>Buchheim, JI; Billaud, JN; Feuerecker, M; Strewe, C; Dangoisse, C; Osterman, A; Mehta, S; Crucian, B; Schelling, G; Choukér, A</t>
  </si>
  <si>
    <t>Buchheim, Judith-Irina; Billaud, Jean-Noel; Feuerecker, Matthias; Strewe, Claudia; Dangoisse, Carole; Osterman, Andreas; Mehta, Satish; Crucian, Brian; Schelling, Gustav; Chouker, Alexander</t>
  </si>
  <si>
    <t>Exploratory RNA-seq analysis in healthy subjects reveals vulnerability to viral infections during a 12- month period of isolation and confinement</t>
  </si>
  <si>
    <t>BRAIN, BEHAVIOR, &amp; IMMUNITY - HEALTH</t>
  </si>
  <si>
    <t>Stress; Isolation; Con finement; RNA-seq; Antiviral immunity</t>
  </si>
  <si>
    <t>EPSTEIN-BARR-VIRUS; STRESS; ASTRONAUTS</t>
  </si>
  <si>
    <t>Exposure to stressful environments weakens immunity evidenced by a detectable reactivation of dormant viruses. The mechanism behind this observation remains unclear. We performed next generation sequencing from RNA extracted from blood samples of 8 male subjects collected before, during and after a 12-month stay at the Antarctic station Concordia. RNA-seq data analysis was done using QIAGEN Ingenuity Pathway Analysis (IPA) software. Data revealed the inactivation of key immune functions such as chemotaxis and leukocyte recruitment which persisted after return. Next to the activation of the stress response eIF2 pathway, interferon signaling was predicted inactivated due to a downregulation of 14 downstream genes involved in antiviral immunity. Among them, the interferon stimulated genes (ISGs) IFITM2 and 3 as well as IFIT3 exhibited the strongest fold changes and IFIT3 remained downregulated even after return. Impairment of antiviral immunity in winter-over crew can be explained by the downregulation of a battery of ISGs.</t>
  </si>
  <si>
    <t>[Buchheim, Judith-Irina; Feuerecker, Matthias; Strewe, Claudia; Chouker, Alexander] Ludwig Maximilians Univ LMU, Hosp Univ Munich, Dept Anesthesiol, Lab Translat Res Stress &amp; Immun, Marchioninistr 15, D-81377 Munich, Germany; [Billaud, Jean-Noel] QIAGEN Digital Insight, Redwood City, CA USA; [Dangoisse, Carole] Ysbyty Gwynedd Hosp, Dept Anesthesia &amp; Crit Care, Bangor, Wales; [Osterman, Andreas] LMU Munchen, Fac Med, Natl Reference Ctr Retroviruses, Virol,Max Pettenkofer Inst, Munich, Germany; [Osterman, Andreas] German Ctr Infect Res DZIF, Partner Site, Munich, Germany; [Mehta, Satish; Crucian, Brian] NASA, Johnson Space Ctr, Houston, TX USA; [Schelling, Gustav] Ludwig Maximilians Univ LMU, Hosp Univ Munich, Dept Anesthesiol, Marchioninistr 15, D-81377 Munich, Germany</t>
  </si>
  <si>
    <t>University of Munich; University of Munich; German Center for Infection Research; National Aeronautics &amp; Space Administration (NASA); University of Munich</t>
  </si>
  <si>
    <t>Choukér, A (corresponding author), Ludwig Maximilians Univ LMU, Hosp Univ Munich, Dept Anesthesiol, Lab Translat Res Stress &amp; Immun, Marchioninistr 15, D-81377 Munich, Germany.</t>
  </si>
  <si>
    <t>Osterman, Andreas/AAT-9768-2021</t>
  </si>
  <si>
    <t>European Space Agency (ESA ELIPS 3 and 4 programs); German National Space Program (DLR) onbehalf of the German Ministry of Economics and Energy (BWMi) [WB1319, WB1622]; QIAGEN</t>
  </si>
  <si>
    <t>European Space Agency (ESA ELIPS 3 and 4 programs); German National Space Program (DLR) onbehalf of the German Ministry of Economics and Energy (BWMi); QIAGEN</t>
  </si>
  <si>
    <t>This work was supported by the European Space Agency (ESA ELIPS 3 and 4 programs) and the German National Space Program (DLR) onbehalf of the German Ministry of Economics and Energy (BWMi) (grants WB1319 and WB1622). IPA Analyses were supported under aCollaborative Research Agreementbetween QIAGEN REDWOOD CITY, INC.,USA and the LMU Hospital Munich, though no funding or other financial support was granted by QIAGEN.</t>
  </si>
  <si>
    <t>2666-3546</t>
  </si>
  <si>
    <t>BRAIN BEHAV IMMUN-HL</t>
  </si>
  <si>
    <t>Brain Behav. Immun.-Health</t>
  </si>
  <si>
    <t>10.1016/j.bbih.2020.100145</t>
  </si>
  <si>
    <t>Immunology; Neurosciences; Psychiatry</t>
  </si>
  <si>
    <t>Immunology; Neurosciences &amp; Neurology; Psychiatry</t>
  </si>
  <si>
    <t>Q7SS2</t>
  </si>
  <si>
    <t>WOS:001059491000007</t>
  </si>
  <si>
    <t>Minozzo, MM; Metz, GF; de Vargas, MV; Victoria, FD</t>
  </si>
  <si>
    <t>Minozzo, Monica Munareto; Metz, Geferson Fernando; Magalhaes de Vargas, Maria Victoria; Victoria, Filipe de Carvalho</t>
  </si>
  <si>
    <t>Phylogenetic and selection pressure analyses of cold stress-associated PAL-Like and Lec-RLK genes in antarctic mosses</t>
  </si>
  <si>
    <t>CURRENT PLANT BIOLOGY</t>
  </si>
  <si>
    <t>Bryophyta; Episodic diversifying selection; Molecular evolution; Abiotic stress; Multicopy gene families</t>
  </si>
  <si>
    <t>PHENYLALANINE AMMONIA-LYASE; GENOME-WIDE ANALYSIS; PHYSCOMITRELLA-PATENS; TRANSCRIPTION FACTORS; ARABIDOPSIS-THALIANA; GENERATION; TOLERANCE; RESPONSES; HEDW.; EXPRESSION</t>
  </si>
  <si>
    <t>Over time plants undergone abiotic changes often leading to genotypic and phenotypic level adjustments to ensure survival. Temperature is one of these factors that cause changes. Several organisms have been sequenced in recent years, creating ways to different direction biological and evolutionary issues. It has been allowed the use of these non-model biological systems for re-sequencing of close relatives, or the same species, as well as allowing the mapping and identification of gene families and genes of interest. For this work were focused on obtaining data from mosses available in the Sequence Reads Archive (SRA): Physcomitrium acutifolium (SRP093878); Funaria hygrometrica (ERP002608); Ceratodon purpureus (SRP004754); Pohlia nutans (SRP012293); Bryum argenteum (SRX845477). The data obtained were compared in bioinformatical environment in order to evaluate the GO terms in each plant transcriptome.The number of transcripts was expressed in a very divergent way among the organisms, with F. hygrometrica counting in value (over 100,000), while P. acutifolium in the same family had the lowest number of transcripts (similar to 27,000). Comparing the occurrences transcripts related to abiotic stress from the species used, were found GO terms for phosphorolization proteins coding genes expressed, such protein kinase-like activity, and transcriptions factor activities, as Lectin domain of the RLK group, as the most frequent ontology in all moss transcriptomes. Our findings allow us to direct the researches in order to understand how these regions act effectively in the molecular response to cold stress in plants, contributing to the understanding of this process during the evolution of green plants. Consequently, the findings may contribute to strategies for the assisted improvement of plants of agronomic and industrial importance.</t>
  </si>
  <si>
    <t>[Minozzo, Monica Munareto; Metz, Geferson Fernando; Magalhaes de Vargas, Maria Victoria; Victoria, Filipe de Carvalho] Univ Fed Pampa Campus Sao Gabriel, Nucleo Estudos Vegetacao Antartica NEVA, Ave Antonio Trilha 1847, BR-97300162 Sao Gabriel, RS, Brazil; [Victoria, Filipe de Carvalho] Rua Aluizio Barros Macedo,BR 290,Km 423, Sao Gabriel, RS, Brazil</t>
  </si>
  <si>
    <t>Victoria, FD (corresponding author), Univ Fed Pampa Campus Sao Gabriel, Nucleo Estudos Vegetacao Antartica NEVA, Ave Antonio Trilha 1847, BR-97300162 Sao Gabriel, RS, Brazil.;Victoria, FD (corresponding author), Rua Aluizio Barros Macedo,BR 290,Km 423, Sao Gabriel, RS, Brazil.</t>
  </si>
  <si>
    <t>filipevictoria@unipampa.edu.br</t>
  </si>
  <si>
    <t>Victoria, Filipe/F-6066-2013</t>
  </si>
  <si>
    <t>Victoria, Filipe/0000-0002-8580-1813; Victoria Magalhaes de Vargas, Maria/0000-0003-0651-4953; Metz, Geferson Fernando/0000-0002-1109-8600</t>
  </si>
  <si>
    <t>Conselho Nacional de Desenvolvimento Cientifico (CNPq) [442675/2018-6, 407591/2018-4]; Universidade Federal do Pampa; Coordenacao de Aperfeicoamento de Pessoal de Nivel Superior (CAPES) [001, 88887.314460/2019-00]</t>
  </si>
  <si>
    <t>Conselho Nacional de Desenvolvimento Cientifico (CNPq)(Conselho Nacional de Desenvolvimento Cientifico e Tecnologico (CNPQ)); Universidade Federal do Pampa; Coordenacao de Aperfeicoamento de Pessoal de Nivel Superior (CAPES)(Coordenacao de Aperfeicoamento de Pessoal de Nivel Superior (CAPES))</t>
  </si>
  <si>
    <t>The authors disclosed receipt of the following financial support for the research, authorship, and publication of this paper: this study had the support of the Coordenacao de Aperfeicoamento de Pessoal de Nivel Superior (CAPES -Finance Code 001, grant number 88887.314460/2019-00), the Conselho Nacional de Desenvolvimento Cientifico (CNPq, grant numbers 442675/2018-6 and 407591/2018-4). All authors thank these development agencies, as well the Universidade Federal do Pampa for the support provided in the development of this work.</t>
  </si>
  <si>
    <t>2214-6628</t>
  </si>
  <si>
    <t>CURR PLANT BIOL</t>
  </si>
  <si>
    <t>Curr. Plant Biol.</t>
  </si>
  <si>
    <t>10.1016/j.cpb.2020.100178</t>
  </si>
  <si>
    <t>PO1AA</t>
  </si>
  <si>
    <t>WOS:000604902000002</t>
  </si>
  <si>
    <t>Kirkham, JD; Hogan, KA; Larter, RD; Arnold, NS; Nitsche, FO; Kuhn, G; Gohl, K; Anderson, JB; Dowdeswell, JA</t>
  </si>
  <si>
    <t>Kirkham, James D.; Hogan, Kelly A.; Larter, Robert D.; Arnold, Neil S.; Nitsche, Frank O.; Kuhn, Gerhard; Gohl, Karsten; Anderson, John B.; Dowdeswell, Julian A.</t>
  </si>
  <si>
    <t>Morphometry of bedrock meltwater channels on Antarctic inner continental shelves: Implications for channel development and subglacial hydrology</t>
  </si>
  <si>
    <t>Subglacial meltwater channels; Antarctica; Continental shelf; Morphometry; Subglacial lakes; Paleoglaciology</t>
  </si>
  <si>
    <t>PINE ISLAND BAY; AMUNDSEN SEA EMBAYMENT; GREENLAND ICE-SHEET; SUBMARINE GLACIAL LANDFORMS; FRESH-WATER DISCHARGE; EASTERN NORTH-SEA; TUNNEL-VALLEYS; WEST ANTARCTICA; SEISMIC STRATIGRAPHY; HIGH-RESOLUTION</t>
  </si>
  <si>
    <t>Expanding multibeam bathymetric data coverage over the last two decades has revealed extensive networks of submarine channels incised into bedrock on the Antarctic inner continental shelf. The large dimensions and prevalence of the channels implies the presence of an active subglacial hydrological system beneath the past Antarctic Ice Sheet which we can use to learn more about inaccessible subglacial processes. Here, we map and analyse over 2700 bedrock channels situated across &gt;100,000 km(2) of continental shelf in the western Antarctic Peninsula and Amundsen Sea to produce the first inventory of submarine channels on the Antarctic inner continental shelf. Morphometric analysis reveals highly similar distributions of channel widths, depths, cross-sectional areas and geometric properties, with subtle differences between channels in the western Antarctic Peninsula compared to those in the Amundsen Sea. At 75-3400 m wide, 3-280 m deep, 160-290,000 m(2) in cross-sectional area, and typically 8 times as wide as they are deep, the channels have similar morphologies to tunnel valleys and meltwater channel systems observed from other formerly glaciated landscapes despite differences in substrate geology and glaciological regime. We propose that the Antarctic bedrock channels formed over multiple glacial cycles through the episodic drainage of at least 59 former subglacial lakes identified on the inner continental shelf. (C) 2020 The Authors. Published by Elsevier B.V.</t>
  </si>
  <si>
    <t>[Kirkham, James D.; Arnold, Neil S.; Dowdeswell, Julian A.] Univ Cambridge, Scott Polar Res Inst, Cambridge CB2 1ER, England; [Kirkham, James D.; Hogan, Kelly A.; Larter, Robert D.] British Antarctic Survey, Nat Environm Res Council, Cambridge CB3 0ET, England; [Nitsche, Frank O.] Columbia Univ, Lamont Doherty Earth Observ, New York, NY 10964 USA; [Kuhn, Gerhard; Gohl, Karsten] Alfred Wegener Inst, Helmholtz Ctr Polar &amp; Marine Res, D-27568 Bremerhaven, Germany; [Anderson, John B.] Rice Univ, Dept Earth Sci, Houston, TX 77005 USA</t>
  </si>
  <si>
    <t>University of Cambridge; UK Research &amp; Innovation (UKRI); Natural Environment Research Council (NERC); NERC British Antarctic Survey; Columbia University; Helmholtz Association; Alfred Wegener Institute, Helmholtz Centre for Polar &amp; Marine Research; Rice University</t>
  </si>
  <si>
    <t>Kirkham, JD (corresponding author), British Antarctic Survey, Nat Environm Res Council, Cambridge CB3 0ET, England.</t>
  </si>
  <si>
    <t>jk675@cam.ac.uk</t>
  </si>
  <si>
    <t>Nitsche, Frank O/A-9343-2009; Arnold, Neil/AAI-2272-2021</t>
  </si>
  <si>
    <t>Nitsche, Frank O/0000-0002-4137-547X; Kirkham, James/0000-0002-0506-1625</t>
  </si>
  <si>
    <t>UK Natural Environment Research Council (NERC) [NE/L002507/1]; Scott Polar Research Institute, University of Cambridge; NERC -British Antarctic Survey Polar Science for Planet Earth programme; Alfred Wegener Institute, Helmholtz Centre for Polar and Marine Research programme: Polar Regions and Coasts in the changing Earth System (PACES II); NERC [NE/J005703/1, NE/J005746/1, NE/J005770/1]; National Science Foundation [0838735]; NERC [bas0100030, NE/S006664/1] Funding Source: UKRI</t>
  </si>
  <si>
    <t>UK Natural Environment Research Council (NERC)(UK Research &amp; Innovation (UKRI)Natural Environment Research Council (NERC)); Scott Polar Research Institute, University of Cambridge; NERC -British Antarctic Survey Polar Science for Planet Earth programme; Alfred Wegener Institute, Helmholtz Centre for Polar and Marine Research programme: Polar Regions and Coasts in the changing Earth System (PACES II); NERC(UK Research &amp; Innovation (UKRI)Natural Environment Research Council (NERC)); National Science Foundation(National Science Foundation (NSF)); NERC(UK Research &amp; Innovation (UKRI)Natural Environment Research Council (NERC))</t>
  </si>
  <si>
    <t>This work was supported by the UK Natural Environment Research Council (NERC) [grant number NE/L002507/1]; a Debenham Scholarship from the Scott Polar Research Institute, University of Cambridge; the NERC -British Antarctic Survey Polar Science for Planet Earth programme; and the Alfred Wegener Institute, Helmholtz Centre for Polar and Marine Research programme: Polar Regions and Coasts in the changing Earth System (PACES II). Some of the data used were collected through other projects [NERC grant numbers NE/J005703/1, NE/J005746/1, NE/J005770/1 and National Science Foundation grant 0838735].</t>
  </si>
  <si>
    <t>10.1016/j.geomorph.2020.107369</t>
  </si>
  <si>
    <t>OS1HX</t>
  </si>
  <si>
    <t>WOS:000589916500005</t>
  </si>
  <si>
    <t>Shi, JR; Talley, LD; Xie, SP; Liu, W; Gille, ST</t>
  </si>
  <si>
    <t>Shi, Jia-Rui; Talley, Lynne D.; Xie, Shang-Ping; Liu, Wei; Gille, Sarah T.</t>
  </si>
  <si>
    <t>Effects of Buoyancy and Wind Forcing on Southern Ocean Climate Change</t>
  </si>
  <si>
    <t>EARTH SYSTEM MODEL; ANTARCTIC SEA-ICE; TRANSIENT-RESPONSE; TRENDS; VARIABILITY; CONVECTION; EDDIES; OZONE; CIRCULATION; SENSITIVITY</t>
  </si>
  <si>
    <t>Observations show that since the 1950s, the Southern Ocean has stored a large amount of anthropogenic heat and has freshened at the surface. These patterns can be attributed to two components of surface forcing: poleward-intensified westerly winds and increased buoyancy flux from freshwater and heat. Here we separate the effects of these two forcing components by using a novel partial-coupling technique. We show that buoyancy forcing dominates the overall response in the temperature and salinity structure of the Southern Ocean. Wind stress change results in changes in subsurface temperature and salinity that are closely related to intensified residual meridional overturning circulation. As an important result, we show that buoyancy and wind forcing result in opposing changes in salinity: the wind-induced surface salinity increase due to upwelling of saltier subsurface water offsets surface freshening due to amplification of the global hydrological cycle. Buoyancy and wind forcing further lead to different vertical structures of Antarctic Circumpolar Current (ACC) transport change; buoyancy forcing causes an ACC transport increase (3.1 +/- 1.6 Sv; 1 Sv = 10(6) m(3) s(-1)) by increasing the meridional density gradient across the ACC in the upper 2000 m, while the wind-induced response is more barotropic, with the whole column transport increased by 8.7 +/- 2.3 Sv. While previous research focused on the wind effect on ACC intensity, we show that surface horizontal current acceleration within the ACC is dominated by buoyancy forcing. These results shed light on how the Southern Ocean might change under global warming, contributing to more reliable future projections.</t>
  </si>
  <si>
    <t>[Shi, Jia-Rui; Talley, Lynne D.; Xie, Shang-Ping; Gille, Sarah T.] Univ Calif San Diego, Scripps Inst Oceanog, La Jolla, CA 92093 USA; [Liu, Wei] Univ Calif Riverside, Dept Earth &amp; Planetary Sci, Riverside, CA 92521 USA</t>
  </si>
  <si>
    <t>University of California System; University of California San Diego; Scripps Institution of Oceanography; University of California System; University of California Riverside</t>
  </si>
  <si>
    <t>Shi, JR (corresponding author), Univ Calif San Diego, Scripps Inst Oceanog, La Jolla, CA 92093 USA.</t>
  </si>
  <si>
    <t>jis190@ucsd.edu</t>
  </si>
  <si>
    <t>Xie, Shang-Ping/C-1254-2009; Shi, Jia-Rui/HNJ-0985-2023</t>
  </si>
  <si>
    <t>Xie, Shang-Ping/0000-0002-3676-1325; Shi, Jia-Rui/0000-0001-7505-1281; Talley, Lynne/0000-0003-1574-729X; Gille, Sarah/0000-0001-9144-4368</t>
  </si>
  <si>
    <t>U.S. National Science Foundation [AGS-1637450]; Southern Ocean Carbon and Climate Observations and Modeling project (SOCCOM) under National Science Foundation Award [PLR-1425989]; SOCCOM; NSF [OCE-1658001]; Regents' Faculty Fellowship; Alfred P. Sloan Foundation</t>
  </si>
  <si>
    <t>U.S. National Science Foundation(National Science Foundation (NSF)); Southern Ocean Carbon and Climate Observations and Modeling project (SOCCOM) under National Science Foundation Award; SOCCOM; NSF(National Science Foundation (NSF)); Regents' Faculty Fellowship; Alfred P. Sloan Foundation(Alfred P. Sloan Foundation)</t>
  </si>
  <si>
    <t>J.-R. Shi is supported by U.S. National Science Foundation (AGS-1637450) and the Southern Ocean Carbon and Climate Observations and Modeling project (SOCCOM) under National Science Foundation Award (PLR-1425989). L.D.T. and S.T.G. are also supported by SOCCOM, and S.T.G. received additional support from NSF Award OCE-1658001. W.L. is supported by the Regents' Faculty Fellowship, and also by the Alfred P. Sloan Foundation as a Research Fellow. We thank the CMIP6 groups and the FAFMIP group for producing and making available their model output, which is available fromhttps://esgf-node.llnl.gov/projects/cmip6/.The Argo data used here were collected and made freely available by the InternationalArgo Program and by the national programs that contribute to it (http://argo.ucsd.edu).The World Ocean Atlas 2018 products are available on the NOAA National Oceanographic Data Center website (https://www.nodc.noaa.gov/OC5/woa18/).</t>
  </si>
  <si>
    <t>10.1175/JCLI-D-19-0877.1</t>
  </si>
  <si>
    <t>QC9SX</t>
  </si>
  <si>
    <t>WOS:000615171300001</t>
  </si>
  <si>
    <t>Allison, P; Archambault, S; Beatty, JJ; Besson, DZ; Chen, CC; Chen, CH; Chen, P; Christenson, A; Clark, BA; Clay, W; Connolly, A; Cremonesi, L; Deaconu, C; Duvernois, M; Friedman, L; Gaior, R; Hanson, J; Hanson, K; Haugen, J; Hoffman, KD; Hong, E; Hornhuber, C; Hsu, SY; Hu, L; Huang, JJ; Huang, MHA; Hughes, K; Ishihara, A; Karle, A; Kelley, JL; Khandelwal, R; Kim, MC; Kravchenko, I; Kruse, J; Kurusu, K; Kuwabara, T; Latif, UA; Laundrie, A; Li, CJ; Liu, TC; Lu, MY; Madison, B; Mase, K; Meures, T; Nam, J; Nichols, RJ; Novikov, A; Nozdrina, A; Oberla, E; Pan, Y; Pfendner, C; Relich, M; Sandstrom, P; Seckel, D; Shiao, YS; Shultz, A; Smith, D; Song, M; Torres, J; Touart, J; Varner, GS; Vieregg, A; Wang, MZ; Wang, SH; Wissel, S; Yoshida, S; Young, R; Jordan, T</t>
  </si>
  <si>
    <t>Allison, P.; Archambault, S.; Beatty, J. J.; Besson, D. Z.; Chen, C. C.; Chen, C. H.; Chen, P.; Christenson, A.; Clark, B. A.; Clay, W.; Connolly, A.; Cremonesi, L.; Deaconu, C.; Duvernois, M.; Friedman, L.; Gaior, R.; Hanson, J.; Hanson, K.; Haugen, J.; Hoffman, K. D.; Hong, E.; Hornhuber, C.; Hsu, S. Y.; Hu, L.; Huang, J. J.; Huang, M-H A.; Hughes, K.; Ishihara, A.; Karle, A.; Kelley, J. L.; Khandelwal, R.; Kim, M-C; Kravchenko, I; Kruse, J.; Kurusu, K.; Kuwabara, T.; Latif, U. A.; Laundrie, A.; Li, C-J; Liu, T-C; Lu, M-Y; Madison, B.; Mase, K.; Meures, T.; Nam, J.; Nichols, R. J.; Novikov, A.; Nozdrina, A.; Oberla, E.; Pan, Y.; Pfendner, C.; Relich, M.; Sandstrom, P.; Seckel, D.; Shiao, Y. S.; Shultz, A.; Smith, D.; Song, M.; Torres, J.; Touart, J.; Varner, G. S.; Vieregg, A.; Wang, M. Z.; Wang, S. H.; Wissel, S.; Yoshida, S.; Young, R.; Jordan, T.</t>
  </si>
  <si>
    <t>Long-baseline horizontal radio-frequency transmission through polar ice</t>
  </si>
  <si>
    <t>JOURNAL OF COSMOLOGY AND ASTROPARTICLE PHYSICS</t>
  </si>
  <si>
    <t>neutrino detectors; neutrino experiments; ultra high energy cosmic rays</t>
  </si>
  <si>
    <t>NEUTRINO DETECTOR; SOUTH-POLE; PERFORMANCE; DESIGN; RADAR; ARRAY; CORE; INSTRUMENT; CLIMATE; FIRN</t>
  </si>
  <si>
    <t>We report on analysis of englacial radio-frequency (RF) pulser data received over horizontal baselines of 1-5 km, based on broadcasts from two sets of transmitters deployed to depths of up to 1500 meters at the South Pole. First, we analyze data collected using two RF bicone transmitters 1400 meters below the ice surface, and frozen into boreholes drilled for the IceCube experiment in 2011. Additionally, in Dec., 2018, a fat-dipole antenna, fed by one of three high-voltage (O(1 kV)), fast (O(1-5 ns risetime)) signal generators was lowered into the 1700-m deep icehole drilled for the South Pole Ice Core Experiment (SPICE), approximately 3 km from the geographic South Pole. Signals from transmitters were recorded on the five englacial multi-receiver ARA stations, with receiver depths between 60-200 m. From analysis of deep transmitter data, we estimate: i) the range of refractive index profiles of Antarctic ice with depth allowed by our measurements, ii) due to birefringence, a time difference between arrival times for vertically polarized vs. horizontally polarized signals (per km) for horizontally propagating signal, and iii) for the first time, the attenuation length for electromagnetic signals in the radio-frequency regime broadcast horizontally (rather than reflected vertically from bedrock). We additionally present data suggesting anomalous ice propagation effects, and contrary to expectations for a transport medium with a smoothly varying refractive index profile. Our results imply negligible uncertainty in overall neutrino detection volume due to refractive index uncertainties. Our birefringence time-difference measurements are fit to the functional form delta(t)(H - V)[ns=km] = a cos theta + b, with H/V the signal arrival times for the horizontally/vertically polarized EM signal components, and theta the opening angle in the horizontal plane between the signal propagation direction and the local ice flow direction, extracting a=8.3 +/- 1.3 ns/km, and b=-8.6 +/- 0.9 ns/km (errors combined statistical and systematic), allowing a similar to 15% range estimate for future measurements of in-ice neutrino interactions. Finally, we find attenuation length values clustering around 1.5 km, with measurements from the bicone transmitters yielding L-atten = 1.43 +/- 0.25 +/- 0.37 km. Taken together, these measurements support cold polar ice as a near-optimal platform for ultra-high energy neutrino detectors.</t>
  </si>
  <si>
    <t>[Besson, D. Z.; Hornhuber, C.; Latif, U. A.; Madison, B.; Novikov, A.; Nozdrina, A.; Shultz, A.; Young, R.] Univ Kansas, Dept Phys &amp; Astron, Lawrence, KS 66045 USA; [Allison, P.; Beatty, J. J.; Clark, B. A.; Connolly, A.; Hanson, J.; Hong, E.; Pfendner, C.; Torres, J.] Ohio State Univ, Dept Phys, 191 West Woodruff Ave, Columbus, OH USA; [Allison, P.; Beatty, J. J.; Clark, B. A.; Connolly, A.; Hanson, J.; Hong, E.; Pfendner, C.; Relich, M.; Torres, J.] Ohio State Univ, Ctr Cosmol &amp; Astroparticle Phys, 191 West Woodruff Ave, Columbus, OH USA; [Archambault, S.; Gaior, R.; Ishihara, A.; Kim, M-C; Kurusu, K.; Kuwabara, T.; Mase, K.; Nam, J.; Yoshida, S.] Chiba Univ, Dept Phys, Tokyo, Japan; [Christenson, A.; Duvernois, M.; Hanson, K.; Haugen, J.; Karle, A.; Kelley, J. L.; Khandelwal, R.; Laundrie, A.; Lu, M-Y; Meures, T.; Sandstrom, P.] Univ Wisconsin, Dept Phys &amp; Wisconsin IceCube Particle Astrophys, Madison, WI USA; [Friedman, L.; Hoffman, K. D.; Song, M.; Touart, J.] Univ Maryland, Dept Phys, College Pk, MD 20742 USA; [Besson, D. Z.; Novikov, A.] Natl Res Nucl Univ, Moscow Engn Phys Inst, Moscow, Russia; [Chen, C. C.; Chen, C. H.; Chen, P.; Hsu, S. Y.; Hu, L.; Huang, J. J.; Huang, M-H A.; Li, C-J; Liu, T-C; Shiao, Y. S.; Wang, M. Z.; Wang, S. H.] Natl Taiwan Univ, Leung Ctr Cosmol &amp; Particle Astrophys, Grad Inst Astrophys, Dept Phys, Taipei, Taiwan; [Cremonesi, L.; Nichols, R. J.] UCL, Dept Phys &amp; Astron, London, England; [Clay, W.; Deaconu, C.; Hughes, K.; Oberla, E.; Smith, D.; Vieregg, A.] Univ Chicago, Dept Phys, Chicago, IL 60637 USA; [Kravchenko, I; Kruse, J.] Univ Nebraska, Dept Phys &amp; Astron, Lincoln, NE 68588 USA; [Pan, Y.; Seckel, D.] Univ Delaware, Dept Phys &amp; Astron, Newark, DE 19716 USA; [Varner, G. S.] Univ Hawaii, Dept Phys &amp; Astron, Manoa, HI USA; [Wissel, S.] Calif Polytech State Univ San Luis Obispo, Dept Phys, San Luis Obispo, CA USA; [Jordan, T.] Plymouth Marine Lab, Prospect Pl, Plymouth PL1 3DH, Devon, England</t>
  </si>
  <si>
    <t>University of Kansas; University System of Ohio; Ohio State University; University System of Ohio; Ohio State University; Chiba University; University of Wisconsin System; University of Wisconsin Madison; University System of Maryland; University of Maryland College Park; National Research Nuclear University MEPhI (Moscow Engineering Physics Institute); National Taiwan University; University of London; University College London; University of Chicago; University of Nebraska System; University of Nebraska Lincoln; University of Delaware; University of Hawaii System; University of Hawaii Manoa; California State University System; California Polytechnic State University San Luis Obispo; Plymouth Marine Laboratory</t>
  </si>
  <si>
    <t>Besson, DZ (corresponding author), Univ Kansas, Dept Phys &amp; Astron, Lawrence, KS 66045 USA.;Besson, DZ (corresponding author), Natl Res Nucl Univ, Moscow Engn Phys Inst, Moscow, Russia.</t>
  </si>
  <si>
    <t>dvbesson@mephi.ru</t>
  </si>
  <si>
    <t>Beatty, James/D-9310-2011; Chen, Pisin/IAO-8769-2023; Huang, Jian Jang/L-9953-2016</t>
  </si>
  <si>
    <t>Beatty, James/0000-0003-0481-4952; Chen, Pisin/0000-0001-5251-7210; Jordan, Thomas/0000-0002-2096-8858; Deaconu, Cosmin/0000-0002-4953-6397; Allison, Patrick/0000-0001-8141-2653; Cremonesi, Linda/0000-0003-0711-1056; Clark, Brian/0000-0003-4089-2245; Wissel, Stephanie/0000-0003-0569-6978; Smith, Daniel/0000-0001-6307-4072; Li, Chuan-Jui/0000-0003-1449-7284; Hughes, Kaeli/0000-0002-4551-9581</t>
  </si>
  <si>
    <t>National Science Foundation [NSF OPP-1002483, NSF OPP-1359535, 1255557, 1806923]; Taiwan National Science Councils Vanguard Program [NSC 102-2628-M-002-010]; Belgian F.R.S.-FNRS Grant [4.4508.01]; University of Wisconsin Alumni Research Foundation; University of Maryland; Ohio State University; Ohio Supercomputer Center; National Science Foundation through CAREER award [0847658]; National Science Foundation through BIGDATA Grant [1250720]; National Science Foundation through the Graduate Research Fellowship Program [DGE-1343012]; MEPhI Academic Excellence Project [02.a03.21.0005]; Megagrant 2013 program of Russia [14.12.31.0006]; Leverhulme Trust; Direct For Computer &amp; Info Scie &amp; Enginr; Div Of Information &amp; Intelligent Systems [1250720] Funding Source: National Science Foundation; Direct For Mathematical &amp; Physical Scien; Division Of Physics [0847658] Funding Source: National Science Foundation</t>
  </si>
  <si>
    <t>National Science Foundation(National Science Foundation (NSF)); Taiwan National Science Councils Vanguard Program; Belgian F.R.S.-FNRS Grant(Fonds de la Recherche Scientifique - FNRS); University of Wisconsin Alumni Research Foundation; University of Maryland; Ohio State University(Ohio State University); Ohio Supercomputer Center; National Science Foundation through CAREER award; National Science Foundation through BIGDATA Grant; National Science Foundation through the Graduate Research Fellowship Program; MEPhI Academic Excellence Project; Megagrant 2013 program of Russia; Leverhulme Trust(Leverhulme Trust); Direct For Computer &amp; Info Scie &amp; Enginr; Div Of Information &amp; Intelligent Systems(National Science Foundation (NSF)NSF - Directorate for Computer &amp; Information Science &amp; Engineering (CISE)); Direct For Mathematical &amp; Physical Scien; Division Of Physics(National Science Foundation (NSF)NSF - Directorate for Mathematical &amp; Physical Sciences (MPS))</t>
  </si>
  <si>
    <t>We thank the National Science Foundation for their generous support through Grant NSF OPP-1002483 and Grant NSF OPP-1359535. We further thank the Taiwan National Science Councils Vanguard Program: NSC 102-2628-M-002-010 and the Belgian F.R.S.-FNRS Grant4.4508.01. We are grateful to the U.S. National Science Foundation-Office of Polar Programs and the U.S. National Science Foundation-Physics Division. We also thank the University of Wisconsin Alumni Research Foundation, the University of Maryland and the Ohio State University for their support. Furthermore, we are grateful to the Raytheon Polar Services Corporation and the Antarctic Support Contractor, for field support. A. Connolly thanks the National Science Foundation for their support through CAREER award 1255557 and award 1806923, and also the Ohio Supercomputer Center. K. Hoffman likewise thanks the National Science Foundation for their support through CAREER award 0847658. A. Connolly, A. Karle, and J. Kelley thank the National Science Foundation for the support through BIGDATA Grant 1250720. B.A. Clark thanks the National Science Foundation for support through the Graduate Research Fellowship Program Award DGE-1343012. D. Besson and A. Novikov acknowledge the support from the MEPhI Academic Excellence Project (Contract No. 02.a03.21.0005) and the Megagrant 2013 program of Russia, via agreement 14.12.31.0006 from 24.06.2013. R. Nichol thanks the Leverhulme Trust for their support.</t>
  </si>
  <si>
    <t>1475-7516</t>
  </si>
  <si>
    <t>J COSMOL ASTROPART P</t>
  </si>
  <si>
    <t>J. Cosmol. Astropart. Phys.</t>
  </si>
  <si>
    <t>10.1088/1475-7516/2020/12/009</t>
  </si>
  <si>
    <t>PA4SZ</t>
  </si>
  <si>
    <t>WOS:000595628900002</t>
  </si>
  <si>
    <t>Cnossen, I</t>
  </si>
  <si>
    <t>Cnossen, I.</t>
  </si>
  <si>
    <t>Analysis and Attribution of Climate Change in the Upper Atmosphere From 1950 to 2015 Simulated by WACCM-X</t>
  </si>
  <si>
    <t>LONG-TERM TRENDS; EARTHS MAGNETIC-FIELD; LOWER THERMOSPHERE; MODEL; MESOSPHERE; FOF2; PARAMETERIZATION; IONOSPHERE</t>
  </si>
  <si>
    <t>Monitoring climatic changes in the thermosphere and ionosphere and understanding their causes is important for practical purposes. To support this effort and facilitate comparisons between observations and model results, a long transient simulation with the Whole Atmosphere Community Climate Model eXtension (WACCM-X) from 1950 to 2015 was conducted. This simulation used realistic variations in solar and geomagnetic activity, main magnetic field changes, and trace gas emissions, including CO2, thereby including all known drivers of upper atmosphere climate change. Analysis of the full 1950-2015 interval with a standard multilinear regression approach demonstrated difficulties in removing solar cycle effects sufficiently to obtain reliable trends. Results improved when an (F10.7a)(2) was included in the regression model, in addition to terms for F10.7a, KP, and the trend itself. Comparisons with previous studies and analysis of spatial variations in trend estimates confirmed that the increase in CO2 concentration is the main driver of trends in thermosphere temperature and density, but at high (magnetic) latitudes effects of main magnetic field changes play a role as well, especially in the Northern Hemisphere. Spatial patterns of trends in h(m)F(2), NmF(2), and total electron content indicate a superposition of CO2 and geomagnetic field effects, with the latter dominating trends in the region of similar to 50-20 degrees N, similar to 60 degrees W to 20 degrees E. Additional model experiments to investigate the indirect dynamical effects of climate change in the lower atmosphere (&lt;50 km) on the upper atmosphere (&gt;100 km) suggested that these effects are small and insignificant. However, current model limitations could mean that these effects are underestimated. Plain Language Summary A simulation with a state-of-the-art global model of the atmosphere from the surface up to about 500-km altitude was done for the period 1950-2015 to study climate change in the upper atmosphere (above 100-km altitude). The simulation included realistic variations in solar and geomagnetic activity, the Earth's magnetic field, and trace gas emissions, including CO2. Solar and geomagnetic activity variations occur naturally as part of the similar to 11-year solar cycle and have a large effect on the upper atmosphere. Still, by removing these effects as much as possible, we showed that the increase in CO2 concentration is the main cause of cooling in the upper atmosphere, while effects of magnetic field changes also play a role near the poles, especially in the Northern Hemisphere. Long-term trends in the charged portion of the upper atmosphere, the ionosphere, are caused by both CO2 and magnetic field effects, with the latter being most important in the region of similar to 50 degrees S to 20. N, similar to 60 degrees W to 20 degrees E. Additional model experiments to investigate effects of climate change in the lower atmosphere (&lt;50 km) on the upper atmosphere suggested that these are small. However, they might be underestimated by the model.</t>
  </si>
  <si>
    <t>[Cnossen, I.] British Antarctic Survey, Cambridge, England</t>
  </si>
  <si>
    <t>Cnossen, I (corresponding author), British Antarctic Survey, Cambridge, England.</t>
  </si>
  <si>
    <t>inos@bas.ac.uk</t>
  </si>
  <si>
    <t>Cnossen, Ingrid/E-5809-2010</t>
  </si>
  <si>
    <t>Cnossen, Ingrid/0000-0001-6469-7861</t>
  </si>
  <si>
    <t>Natural Environment Research Council (NERC) Independent Research Fellowship [NE/R015651/1]; NERC [NE/R015651/1, bas0100031] Funding Source: UKRI</t>
  </si>
  <si>
    <t>Natural Environment Research Council (NERC) Independent Research Fellowship(UK Research &amp; Innovation (UKRI)Natural Environment Research Council (NERC)); NERC(UK Research &amp; Innovation (UKRI)Natural Environment Research Council (NERC))</t>
  </si>
  <si>
    <t>I. Cnossen was supported by a Natural Environment Research Council (NERC) Independent Research Fellowship (NE/R015651/1). M. Mills and S. Solomon offered initial discussions and advice on the simulation setup and F. Vitt and S. Solomon helped with technical issues in running the model. M. Mills and C. Hannay kindly supplied the sea surface temperature data. The WACCM-X simulations were run on the ARCHER UK National Supercomputing Service (http://www.archer.ac.uk).</t>
  </si>
  <si>
    <t>e2020JA028623</t>
  </si>
  <si>
    <t>10.1029/2020JA028623</t>
  </si>
  <si>
    <t>PM2MJ</t>
  </si>
  <si>
    <t>WOS:000603639900022</t>
  </si>
  <si>
    <t>Sun, SN; Pattyn, F; Simon, EG; Albrecht, T; Cornford, S; Calov, R; Dumas, C; Gillet-Chaulet, F; Goelzer, H; Golledge, NR; Greve, R; Hoffman, MJ; Humbert, A; Kazmierczak, E; Kleiner, T; Leguy, GR; Lipscomb, WH; Martin, D; Morlighem, M; Nowicki, S; Pollard, D; Price, S; Quiquet, A; Seroussi, H; Schlemm, T; Sutter, J; van de Wal, RSW; Winkelmann, R; Zhang, T</t>
  </si>
  <si>
    <t>Sun, Sainan; Pattyn, Frank; Simon, Erika G.; Albrecht, Torsten; Cornford, Stephen; Calov, Reinhard; Dumas, Christophe; Gillet-Chaulet, Fabien; Goelzer, Heiko; Golledge, Nicholas R.; Greve, Ralf; Hoffman, Matthew J.; Humbert, Angelika; Kazmierczak, Elise; Kleiner, Thomas; Leguy, Gunter R.; Lipscomb, William H.; Martin, Daniel; Morlighem, Mathieu; Nowicki, Sophie; Pollard, David; Price, Stephen; Quiquet, Aurelien; Seroussi, Helene; Schlemm, Tanja; Sutter, Johannes; van de Wal, Roderik S. W.; Winkelmann, Ricarda; Zhang, Tong</t>
  </si>
  <si>
    <t>Antarctic ice sheet response to sudden and sustained ice-shelf collapse (ABUMIP)</t>
  </si>
  <si>
    <t>Antarctic glaciology; ice-sheet modelling; ice shelves</t>
  </si>
  <si>
    <t>FUTURE SEA-LEVEL; SURFACE MASS-BALANCE; PINE ISLAND GLACIER; WEST ANTARCTICA; GROUNDING-LINE; STREAM-B; NUMERICAL SIMULATIONS; BASAL MECHANICS; KOHLER GLACIERS; MODEL PISM</t>
  </si>
  <si>
    <t>Antarctica's ice shelves modulate the grounded ice flow, and weakening of ice shelves due to climate forcing will decrease their 'buttressing' effect, causing a response in the grounded ice. While the processes governing ice-shelf weakening are complex, uncertainties in the response of the grounded ice sheet are also difficult to assess. The Antarctic BUttressing Model Intercomparison Project (ABUMIP) compares ice-sheet model responses to decrease in buttressing by investigating the 'end-member' scenario of total and sustained loss of ice shelves. Although unrealistic, this scenario enables gauging the sensitivity of an ensemble of 15 ice-sheet models to a total loss of buttressing, hence exhibiting the full potential of marine ice-sheet instability. All models predict that this scenario leads to multi-metre (1-12 m) sea-level rise over 500 years from present day. West Antarctic ice sheet collapse alone leads to a 1.91-5.08 m sea-level rise due to the marine ice-sheet instability. Mass loss rates are a strong function of the sliding/friction law, with plastic laws cause a further destabilization of the Aurora and Wilkes Subglacial Basins, East Antarctica. Improvements to marine ice-sheet models have greatly reduced variability between modelled ice-sheet responses to extreme ice-shelf loss, e.g. compared to the SeaRISE assessments.</t>
  </si>
  <si>
    <t>[Sun, Sainan; Pattyn, Frank; Goelzer, Heiko; Kazmierczak, Elise] Univ Libre Bruxelles ULB, Lab Glaciol, Brussels, Belgium; [Simon, Erika G.; Nowicki, Sophie] NASA, GSFC, Greenbelt, MD USA; [Albrecht, Torsten; Calov, Reinhard; Schlemm, Tanja; Winkelmann, Ricarda] Potsdam Inst Climate Impact Res PIK, POB 601203, D-14412 Potsdam, Germany; [Albrecht, Torsten; Calov, Reinhard; Schlemm, Tanja; Winkelmann, Ricarda] Leibniz Assoc, POB 601203, D-14412 Potsdam, Germany; [Cornford, Stephen] Swansea Univ, Dept Geog, Swansea, W Glam, Wales; [Dumas, Christophe; Quiquet, Aurelien] Univ Paris Saclay, CEA CNRS UVSQ, Lab Sci Climat &amp; Environm, LSCE IPSL, F-91191 Gif Sur Yvette, France; [Gillet-Chaulet, Fabien] Univ Grenoble Alpes, CNRS, IRD, G INP,Inst Geosci Environm, F-38000 Grenoble, France; [Goelzer, Heiko; van de Wal, Roderik S. W.] Univ Utrecht, Inst Marine &amp; Atmospher Res, Utrecht, Netherlands; [Golledge, Nicholas R.] Victoria Univ Wellington, Antarctic Res Ctr, Wellington, New Zealand; [Greve, Ralf] Hokkaido Univ, Inst Low Temp Sci, Sapporo, Hokkaido, Japan; [Greve, Ralf] Hokkaido Univ, Arctic Res Ctr, Sapporo, Hokkaido, Japan; [Hoffman, Matthew J.; Price, Stephen; Zhang, Tong] Los Alamos Natl Lab, Theoret Div, Los Alamos, NM USA; [Humbert, Angelika; Kleiner, Thomas; Sutter, Johannes] Helmholz Zentrum Polar &amp; Meeresforsch, Alfred Wegener Inst, Bremerhaven, Germany; [Humbert, Angelika] Univ Bremen, Dept Geosci, Bremen, Germany; [Leguy, Gunter R.; Lipscomb, William H.] Natl Ctr Atmospher Res, Climate &amp; Global Dynam Lab, Boulder, CO USA; [Martin, Daniel] Lawrence Berkeley Natl Lab, Berkeley, CA USA; [Morlighem, Mathieu] Univ Calif Irvine, Dept Earth Syst Sci, Irvine, CA USA; [Pollard, David] Penn State Univ, EMS Earth &amp; Environm Syst Inst, University Pk, PA 16802 USA; [Seroussi, Helene] CALTECH, Jet Prop Lab, Pasadena, CA USA; [Schlemm, Tanja; Winkelmann, Ricarda] Univ Potsdam, Inst Phys &amp; Astron, Karl Liebknecht Str 24-25, D-14476 Potsdam, Germany; [Sutter, Johannes] Univ Bern, Climate &amp; Environm Phys, Phys Inst, Bern, Switzerland; [Sun, Sainan; Sutter, Johannes] Univ Bern, Oeschger Ctr Climate Change Res, Bern, Switzerland</t>
  </si>
  <si>
    <t>Universite Libre de Bruxelles; National Aeronautics &amp; Space Administration (NASA); NASA Goddard Space Flight Center; Potsdam Institut fur Klimafolgenforschung; Swansea University; CEA; Centre National de la Recherche Scientifique (CNRS); Universite Paris Saclay; Universite Paris Cite; Communaute Universite Grenoble Alpes; Universite Grenoble Alpes (UGA); Centre National de la Recherche Scientifique (CNRS); Institut de Recherche pour le Developpement (IRD); Utrecht University; Victoria University Wellington; Hokkaido University; Hokkaido University; United States Department of Energy (DOE); Los Alamos National Laboratory; Helmholtz Association; Alfred Wegener Institute, Helmholtz Centre for Polar &amp; Marine Research; University of Bremen; National Center Atmospheric Research (NCAR) - USA; United States Department of Energy (DOE); Lawrence Berkeley National Laboratory; University of California System; University of California Irvine; Pennsylvania Commonwealth System of Higher Education (PCSHE); Pennsylvania State University; Pennsylvania State University - University Park; California Institute of Technology; National Aeronautics &amp; Space Administration (NASA); NASA Jet Propulsion Laboratory (JPL); University of Potsdam; University of Bern; University of Bern</t>
  </si>
  <si>
    <t>Sun, SN (corresponding author), Univ Libre Bruxelles ULB, Lab Glaciol, Brussels, Belgium.</t>
  </si>
  <si>
    <t>sainsun@ulb.ac.be</t>
  </si>
  <si>
    <t>Kleiner, Thomas/F-6821-2015; Quiquet, Aurélien/P-6180-2014; Seroussi, Helene/AAX-5342-2021; Morlighem, Mathieu/O-9942-2014; Goelzer, Heiko/M-2367-2016; van de wal, roderik/D-1705-2011; Pattyn, Frank/AAA-9640-2019; albrecht, torsten/J-8259-2019; Lipscomb, William/AAR-8668-2021; Price, Stephen/E-1568-2013; Greve, Ralf/G-2336-2010</t>
  </si>
  <si>
    <t>Kleiner, Thomas/0000-0001-7825-5765; Quiquet, Aurélien/0000-0001-6207-3043; Seroussi, Helene/0000-0001-9201-1644; Morlighem, Mathieu/0000-0001-5219-1310; Goelzer, Heiko/0000-0002-5878-9599; van de wal, roderik/0000-0003-2543-3892; Pattyn, Frank/0000-0003-4805-5636; albrecht, torsten/0000-0001-7459-2860; Golledge, Nicholas/0000-0001-7676-8970; Humbert, Angelika/0000-0002-0244-8760; Price, Stephen/0000-0001-6878-2553; Greve, Ralf/0000-0002-1341-4777; Martin, Daniel/0000-0003-4488-2538</t>
  </si>
  <si>
    <t>Climate and Cryosphere (CliC) effort; US Department of Energy (DOE), Office of Science, Advanced Scientific Computing Research and Biological and Environmental Research Programs; Office of Science of the US Department of Energy [DE-AC02-05CH11231]; Japan Society for the Promotion of Science (JSPS) KAKENHI [JP16H02224, JP17H06104, JP17H06323]; National Science Foundation (NSF) [1739031]; German Federal Ministry of Education and Research (BMBF) as Research for Sustainability initiative (FONA) [FKZ: 01LP1511B]; German Federal Ministry of Education and Research (BMBF) [01LP1502C, 01LP1504D]; AWI Strategy Fund; regional climate initiative REKLIM; Heinrich Boll Foundation; Deutsche Forschungsgemeinschaft (DFG) in the framework of the priority programme 'Antarctic Research with comparative investigations in Arctic ice areas' [WI4556/2-1, WI4556/4-1]; NASA Cryospheric Science and Modeling, Analysis, Predictions Programs; National Center for Atmospheric Research - National Science Foundation [1852977]; programme of the Netherlands Earth System Science Centre (NESSC) - Dutch Ministry of Education, Culture and Science (OCW) [024.002.001]; MIMO project within the STEREO III programme of the Belgian Science Policy Office [SR/00/336]; GENCI-CINES [2018-016066]; Rhone-Alpes region [CPER07_13 CIRA]; OSUG@2020 laBex [ANR10 LABX56]; Equip@Meso project [ANR-10-EQPX-29-01]; Royal Society of New Zealand [RDF-VUW1501]</t>
  </si>
  <si>
    <t>Climate and Cryosphere (CliC) effort; US Department of Energy (DOE), Office of Science, Advanced Scientific Computing Research and Biological and Environmental Research Programs(United States Department of Energy (DOE)); Office of Science of the US Department of Energy(United States Department of Energy (DOE)); Japan Society for the Promotion of Science (JSPS) KAKENHI(Ministry of Education, Culture, Sports, Science and Technology, Japan (MEXT)Japan Society for the Promotion of ScienceGrants-in-Aid for Scientific Research (KAKENHI)); National Science Foundation (NSF)(National Science Foundation (NSF)); German Federal Ministry of Education and Research (BMBF) as Research for Sustainability initiative (FONA)(Federal Ministry of Education &amp; Research (BMBF)); German Federal Ministry of Education and Research (BMBF)(Federal Ministry of Education &amp; Research (BMBF)); AWI Strategy Fund; regional climate initiative REKLIM; Heinrich Boll Foundation; Deutsche Forschungsgemeinschaft (DFG) in the framework of the priority programme 'Antarctic Research with comparative investigations in Arctic ice areas'(German Research Foundation (DFG)); NASA Cryospheric Science and Modeling, Analysis, Predictions Programs; National Center for Atmospheric Research - National Science Foundation; programme of the Netherlands Earth System Science Centre (NESSC) - Dutch Ministry of Education, Culture and Science (OCW); MIMO project within the STEREO III programme of the Belgian Science Policy Office; GENCI-CINES; Rhone-Alpes region(Region Auvergne-Rhone-Alpes); OSUG@2020 laBex; Equip@Meso project; Royal Society of New Zealand(Royal Society of New Zealand)</t>
  </si>
  <si>
    <t>We thank the Climate and Cryosphere (CliC) effort, which provided support for ISMIP6 through sponsoring of workshops, hosting the ISMIP6 website and wiki, and promoted ISMIP6. We acknowledge the World Climate Research Programme, which, through its Working Group on Coupled Modelling, coordinated and promoted CMIP5 and CMIP6. We thank the climate modelling groups for producing and making available their model output, the Earth System Grid Federation (ESGF) for archiving the CMIP data and providing access, the University at Buffalo for ISMIP6 data distribution and upload, and the multiple funding agencies who support CMIP5 and CMIP6 and ESGF. Support for Matthew Hoffman, Stephen Price and Tong Zhang was provided through the Scientific Discovery through Advanced Computing (SciDAC) programme funded by the US Department of Energy (DOE), Office of Science, Advanced Scientific Computing Research and Biological and Environmental Research Programs. MALI simulations used resources of the National Energy Research Scientific Computing Center, a DOE Office of Science user facility supported by the Office of Science of the US Department of Energy under Contract DE-AC02-05CH11231. Ralf Greve was supported by the Japan Society for the Promotion of Science (JSPS) KAKENHI grant numbers JP16H02224, JP17H06104 and JP17H06323. Support for Mathieu Morlighem was provided by the National Science Foundation (NSF: Grant 1739031). The work of Thomas Kleiner has been conducted in the framework of the PalMod project (FKZ: 01LP1511B), supported by the German Federal Ministry of Education and Research (BMBF) as Research for Sustainability initiative (FONA). Reinhard Calov was funded by the PalMod project (PalMod 1.1 and 1.3 with grants 01LP1502C and 01LP1504D) of the German Federal Ministry of Education and Research (BMBF). Johannes Sutter has been funded via the AWI Strategy Fund and the regional climate initiative REKLIM. Tanja Schlemm is funded by a doctoral stipend granted by the Heinrich Boll Foundation. Torsten Albrecht has been funded by the Deutsche Forschungsgemeinschaft (DFG) in the framework of the priority programme 'Antarctic Research with comparative investigations in Arctic ice areas' by grant WI4556/2-1 and WI4556/4-1. Helene Seroussi, Erika Simon and Sophie Nowicki were supported by grants from NASA Cryospheric Science and Modeling, Analysis, Predictions Programs. Computing resources supporting ISSM simulations were provided by the NASA High-End Computing Program through the NASA Advanced Supercomputing Division at Ames Research Center. Gunter Leguy and William Lipscomb were supported by the National Center for Atmospheric Research, which is a major facility sponsored by the National Science Foundation under Cooperative Agreement No. 1852977. Computing and data storage resources supporting CISM, including the Cheyenne supercomputer (doi:10.5065/D6RX99HX), were provided by the Computational and Information Systems Laboratory (CISL) at NCAR. Heiko Goelzer has received funding from the programme of the Netherlands Earth System Science Centre (NESSC), financially supported by the Dutch Ministry of Education, Culture and Science (OCW) under grant no. 024.002.001. This research forms part of the MIMO project within the STEREO III programme of the Belgian Science Policy Office, contract SR/00/336.; r IGE-Elmer/Ice simulations were performed using HPC resources from GENCI-CINES (grant 2018-016066) and using the Froggy platform of the CIMENT infrastructure, which is supported by the Rhone-Alpes region (grant CPER07_13 CIRA), the OSUG@2020 laBex (reference ANR10 LABX56) and the Equip@Meso project (reference ANR-10-EQPX-29-01). Nicholas R. Golledge acknowledges funding from Royal Society of New Zealand grant RDF-VUW1501. This is ISMIP6 contribution 14.</t>
  </si>
  <si>
    <t>PII S0022143020000672</t>
  </si>
  <si>
    <t>10.1017/jog.2020.67</t>
  </si>
  <si>
    <t>WOS:000592212900001</t>
  </si>
  <si>
    <t>Gallegos, E; Otazo, J</t>
  </si>
  <si>
    <t>Gallegos, Eduardo; Otazo, Jaime</t>
  </si>
  <si>
    <t>TO TRAVEL IS TO LOOK, TO LOOK IS TO RELATE Identity and Otherness in the Account of Otto Nordenskjold (1902)</t>
  </si>
  <si>
    <t>JOURNEYS-THE INTERNATIONAL JOURNAL OF TRAVEL AND TRAVEL WRITING</t>
  </si>
  <si>
    <t>iconology; identity; in-between; mimetic image; otherness; peripheral image</t>
  </si>
  <si>
    <t>Generally, analyzes of Otto Nordenskjold's trip to the Antarctic (1901-1904) ignore the preparations that required a previous trip to Chilean-Argentine Patagonia (1894-1897). Even more, these analyzes forget the Colonial dimension of this expedition. This paper intends to fill this void considering for the analysis two images present in the Swedish travel story. The concept of iconology is proposed here as a link between the image (icons) and the story (logos). The aim is to analyze the iconology to discuss the meaningful configuration of an identity gaze-the Europeans-and a gaze on the otherness-the indigenous. The results show that in the iconology presented in the story and in the images, appear paradoxical elements that allow questioning the relevance of the identity-alterity dichotomy through the appearance of third spaces.</t>
  </si>
  <si>
    <t>[Gallegos, Eduardo] Univ La Frontera, Dept Language Literature &amp; Commun, Av Francisco Salazar 01145, Temuco, Chile; [Otazo, Jaime] Univ La Frontera, Dept Language Literature &amp; Commun, Semiot &amp; Discourse Anal, Av Francisco Salazar 01145, Temuco, Chile</t>
  </si>
  <si>
    <t>Universidad de La Frontera; Universidad de La Frontera</t>
  </si>
  <si>
    <t>Gallegos, E (corresponding author), Univ La Frontera, Dept Language Literature &amp; Commun, Av Francisco Salazar 01145, Temuco, Chile.</t>
  </si>
  <si>
    <t>eduardo.gallegos@ufrontera.cl; jaime.otazo@ufrontera.cl</t>
  </si>
  <si>
    <t>Research Office of the Vice-Rectory for Research and Postgraduate [DI19-0036]</t>
  </si>
  <si>
    <t>Research Office of the Vice-Rectory for Research and Postgraduate</t>
  </si>
  <si>
    <t>This research was supported by the Research Office of the Vice-Rectory for Research and Postgraduate, through the project number DI19-0036, entitled: From travel narratives to journalistic narratives: imaginaries about the Mapuche in stories of European travelers of the nineteenth century and their connection with the Chilean press of the nineteenth and early twentieth centuries.</t>
  </si>
  <si>
    <t>BERGHAHN JOURNALS</t>
  </si>
  <si>
    <t>BROOKLYN</t>
  </si>
  <si>
    <t>20 JAY ST, SUITE 512, BROOKLYN, NY 11201 USA</t>
  </si>
  <si>
    <t>1465-2609</t>
  </si>
  <si>
    <t>1752-2358</t>
  </si>
  <si>
    <t>JOURNEYS</t>
  </si>
  <si>
    <t>Journeys</t>
  </si>
  <si>
    <t>10.3167/jys.2020.210204</t>
  </si>
  <si>
    <t>Literature</t>
  </si>
  <si>
    <t>OR9JB</t>
  </si>
  <si>
    <t>WOS:000589780900004</t>
  </si>
  <si>
    <t>Stonik, VA; Kicha, AA; Malyarenko, TV; Ivanchina, NV</t>
  </si>
  <si>
    <t>Stonik, Valentin A.; Kicha, Alla A.; Malyarenko, Timofey, V; Ivanchina, Natalia, V</t>
  </si>
  <si>
    <t>Asterosaponins: Structures, Taxonomic Distribution, Biogenesis and Biological Activities</t>
  </si>
  <si>
    <t>asterosaponins; structures; taxonomic distribution of producers; distribution in deep and shallow waters species; biological activities; biological functions; biosynthesis</t>
  </si>
  <si>
    <t>STEROIDAL GLYCOSIDE SULFATES; STARFISH ACANTHASTER-PLANCI; MARINE POLYHYDROXYLATED STEROIDS; ACTIVE GLYCOSIDES; ANTARCTIC STARFISH; OLIGOGLYCOSIDE SULFATES; CULCITA-NOVAEGUINEAE; ASTERIAS-RUBENS; POLAR STEROIDS; CYTOTOXIC ASTEROSAPONINS</t>
  </si>
  <si>
    <t>Asterosaponins are a class of steroid oligoglycosides isolated from starfish with characteristic structures and diverse biological activities. In this review, we have attempted to combine the most important data concerning asterosaponins and give a list of these secondary metabolites with their structural peculiarities. The purpose of this review is to provide a brief but as complete as possible principal information about their chemical structures, taxonomic distribution in the marine environment, distribution in different geographical areas and depths, some properties, biological activities, and functions. Some other rare steroid metabolites from starfish, closely related in structures and probably biogenesis to asterosaponins, are also discussed.</t>
  </si>
  <si>
    <t>[Stonik, Valentin A.; Kicha, Alla A.; Malyarenko, Timofey, V; Ivanchina, Natalia, V] Russian Acad Sci, GB Elyakov Pacific Inst Bioorgan Chem, Far Eastern Branch, Pr 100 Let Vladivostoku 159, Vladivostok 690022, Russia</t>
  </si>
  <si>
    <t>Elyakov Pacific Institute of Bioorganic Chemistry; Russian Academy of Sciences</t>
  </si>
  <si>
    <t>Stonik, VA (corresponding author), Russian Acad Sci, GB Elyakov Pacific Inst Bioorgan Chem, Far Eastern Branch, Pr 100 Let Vladivostoku 159, Vladivostok 690022, Russia.</t>
  </si>
  <si>
    <t>stonik@piboc.dvo.ru; kicha@piboc.dvo.ru; malyarenko-tv@mail.ru; ivanchina@piboc.dvo.ru</t>
  </si>
  <si>
    <t>Stonik, Valentin/O-1985-2013; Kicha, Alla A/M-9920-2013; Ivanchina, Natalia/M-8379-2013; Malyarenko, Timofey/M-8837-2013</t>
  </si>
  <si>
    <t>Ivanchina, Natalia/0000-0001-9075-8584;</t>
  </si>
  <si>
    <t>RFBR (Russian Foundation for Basic Research) [20-03-00014]; Ministry of Science and Education, Russian Federation [13.1902.21.0012, 075-15-2020-796]</t>
  </si>
  <si>
    <t>RFBR (Russian Foundation for Basic Research)(Russian Foundation for Basic Research (RFBR)); Ministry of Science and Education, Russian Federation</t>
  </si>
  <si>
    <t>The analysis of the taxonomic distribution of asterosaponins and their biosynthesis was carried out with the support of the RFBR (Russian Foundation for Basic Research), grant number 20-03-00014, and the analysis of the relationship between structures as well as biological activities and geographical and ecological factors was carried out with the support of the Grant of the Ministry of Science and Education, Russian Federation 13.1902.21.0012 (075-15-2020-796).</t>
  </si>
  <si>
    <t>10.3390/md18120584</t>
  </si>
  <si>
    <t>PJ8LJ</t>
  </si>
  <si>
    <t>WOS:000602011500001</t>
  </si>
  <si>
    <t>Meijaard, E; Brooks, TM; Carlson, KM; Slade, EM; Garcia-Ulloa, J; Gaveau, DLA; Lee, JSH; Santika, T; Juffe-Bignoli, D; Struebig, MJ; Wich, SA; Ancrenaz, M; Koh, LP; Zamira, N; Abrams, JF; Prins, HHT; Sendashonga, CN; Murdiyarso, D; Furumo, PR; Macfarlane, N; Hoffmann, R; Persio, M; Descals, A; Szantoi, Z; Sheil, D</t>
  </si>
  <si>
    <t>Meijaard, Erik; Brooks, Thomas M.; Carlson, Kimberly M.; Slade, Eleanor M.; Garcia-Ulloa, John; Gaveau, David L. A.; Lee, Janice Ser Huay; Santika, Truly; Juffe-Bignoli, Diego; Struebig, Matthew J.; Wich, Serge A.; Ancrenaz, Marc; Koh, Lian Pin; Zamira, Nadine; Abrams, Jesse F.; Prins, Herbert H. T.; Sendashonga, Cyriaque N.; Murdiyarso, Daniel; Furumo, Paul R.; Macfarlane, Nicholas; Hoffmann, Rachel; Persio, Marcos; Descals, Adria; Szantoi, Zoltan; Sheil, Douglas</t>
  </si>
  <si>
    <t>The environmental impacts of palm oil in context</t>
  </si>
  <si>
    <t>NATURE PLANTS</t>
  </si>
  <si>
    <t>LAND-USE; ELAEIS-GUINEENSIS; WATER-QUALITY; CONSERVATION; PLANTATIONS; FOREST; BIODIVERSITY; AGRICULTURE; LANDSCAPES; COMMUNITIES</t>
  </si>
  <si>
    <t>A comprehensive overview of how oil palm expansion and production has impacted forests on an international scale. Delivering the Sustainable Development Goals (SDGs) requires balancing demands on land between agriculture (SDG 2) and biodiversity (SDG 15). The production of vegetable oils and, in particular, palm oil, illustrates these competing demands and trade-offs. Palm oil accounts for ~40% of the current global annual demand for vegetable oil as food, animal feed and fuel (210 Mt), but planted oil palm covers less than 5-5.5% of the total global oil crop area (approximately 425 Mha) due to oil palm's relatively high yields. Recent oil palm expansion in forested regions of Borneo, Sumatra and the Malay Peninsula, where &gt;90% of global palm oil is produced, has led to substantial concern around oil palm's role in deforestation. Oil palm expansion's direct contribution to regional tropical deforestation varies widely, ranging from an estimated 3% in West Africa to 50% in Malaysian Borneo. Oil palm is also implicated in peatland draining and burning in Southeast Asia. Documented negative environmental impacts from such expansion include biodiversity declines, greenhouse gas emissions and air pollution. However, oil palm generally produces more oil per area than other oil crops, is often economically viable in sites unsuitable for most other crops and generates considerable wealth for at least some actors. Global demand for vegetable oils is projected to increase by 46% by 2050. Meeting this demand through additional expansion of oil palm versus other vegetable oil crops will lead to substantial differential effects on biodiversity, food security, climate change, land degradation and livelihoods. Our Review highlights that although substantial gaps remain in our understanding of the relationship between the environmental, socio-cultural and economic impacts of oil palm, and the scope, stringency and effectiveness of initiatives to address these, there has been little research into the impacts and trade-offs of other vegetable oil crops. Greater research attention needs to be given to investigating the impacts of palm oil production compared to alternatives for the trade-offs to be assessed at a global scale.</t>
  </si>
  <si>
    <t>[Meijaard, Erik; Santika, Truly; Ancrenaz, Marc] Borneo Futures, Bandar Seri Begawan, Brunei; [Meijaard, Erik; Santika, Truly; Juffe-Bignoli, Diego; Struebig, Matthew J.] Univ Kent, Durrell Inst Conservat &amp; Ecol, Canterbury, Kent, England; [Meijaard, Erik] Univ Queensland, Sch Biol Sci, Brisbane, Qld, Australia; [Brooks, Thomas M.; Macfarlane, Nicholas] IUCN, Sci &amp; Knowledge Unit, Gland, Switzerland; [Brooks, Thomas M.] Univ Philippines Los Banos, World Agroforestry Ctr ICRAF, Laguna, Philippines; [Brooks, Thomas M.] Univ Tasmania, Inst Marine &amp; Antarctic Studies, Hobart, Tas, Australia; [Carlson, Kimberly M.] Univ Hawaii Manoa, Dept Nat Resources &amp; Environm Management, Honolulu, HI 96822 USA; [Carlson, Kimberly M.] NYU, Dept Environm Studies, New York, NY USA; [Slade, Eleanor M.; Lee, Janice Ser Huay] Nanyang Technol Univ Singapore, Asian Sch Environm, Singapore, Singapore; [Garcia-Ulloa, John] Swiss Fed Inst Technol, Dept Environm Syst Sci, Zurich, Switzerland; [Gaveau, David L. A.; Murdiyarso, Daniel] Ctr Int Forestry Res, Bogor, Indonesia; [Juffe-Bignoli, Diego] UN Environm Programme World Conservat Monitoring, Cambridge, England; [Wich, Serge A.] Liverpool John Moores Univ, Sch Biol &amp; Environm Sci, Liverpool, Merseyside, England; [Wich, Serge A.] Univ Amsterdam, Inst Biodivers &amp; Ecosyst Dynam, Amsterdam, Netherlands; [Ancrenaz, Marc] Kinabatangan Orang Utan Conservat Programme, Kota Kinabalu, Sabah, Malaysia; [Koh, Lian Pin] Natl Univ Singapore, Dept Biol Sci, Singapore, Singapore; [Zamira, Nadine] Rainforest Alliance, Washington, DC USA; [Abrams, Jesse F.] Leibniz Inst Zoo &amp; Wildlife Res, Dept Ecol Dynam, Berlin, Germany; [Abrams, Jesse F.] Univ Exeter, Global Syst Inst, Exeter, Devon, England; [Abrams, Jesse F.] Univ Exeter, Inst Data Sci &amp; Artificial Intelligence, Exeter, Devon, England; [Prins, Herbert H. T.] Wageningen Univ, Anim Sci Grp, Wageningen, Netherlands; [Sendashonga, Cyriaque N.] IUCN, Programme &amp; Policy Grp, Gland, Switzerland; [Murdiyarso, Daniel] IPB Univ, Dept Geophys &amp; Meteorol, Bogor, Indonesia; [Furumo, Paul R.] Stanford Univ, Earth Syst Sci, Stanford, CA 94305 USA; [Hoffmann, Rachel] Univ Cambridge, Dept Vet Med, Cambridge, England; [Persio, Marcos] Univ Fed Para, Inst Ci Ncias Biol, Belem, Para, Brazil; [Descals, Adria] Ctr Recerca Ecol &amp; Aplicac Forestals, Barcelona, Spain; [Szantoi, Zoltan] European Commiss, Joint Res Ctr, Ispra, Italy; [Szantoi, Zoltan] Stellenbosch Univ, Stellenbosch, South Africa; [Sheil, Douglas] Norwegian Univ Life Sci, Fac Environm Sci &amp; Nat Resource Management, As, Norway</t>
  </si>
  <si>
    <t>University of Kent; University of Queensland; University of the Philippines System; University of the Philippines Los Banos; CGIAR; World Agroforestry (ICRAF); University of Tasmania; University of Hawaii System; University of Hawaii Manoa; New York University; Nanyang Technological University; Swiss Federal Institutes of Technology Domain; ETH Zurich; CGIAR; Center for International Forestry Research (CIFOR); Liverpool John Moores University; University of Amsterdam; National University of Singapore; Leibniz Institut fur Zoo und Wildtierforschung; University of Exeter; University of Exeter; Animal Sciences Group of Wageningen UR; Wageningen University &amp; Research; Bogor Agricultural University; Stanford University; University of Cambridge; Universidade Federal do Para; Centro de Investigacion Ecologica y Aplicaciones Forestales (CREAF-CERCA); European Commission Joint Research Centre; EC JRC ISPRA Site; Stellenbosch University; Norwegian University of Life Sciences</t>
  </si>
  <si>
    <t>Meijaard, E (corresponding author), Borneo Futures, Bandar Seri Begawan, Brunei.;Meijaard, E (corresponding author), Univ Kent, Durrell Inst Conservat &amp; Ecol, Canterbury, Kent, England.;Meijaard, E (corresponding author), Univ Queensland, Sch Biol Sci, Brisbane, Qld, Australia.</t>
  </si>
  <si>
    <t>emeijaard@gmail.com</t>
  </si>
  <si>
    <t>Pérsio, Marcos/B-8653-2016; Meijaard, Erik/A-2687-2016; Szantoi, Zoltan/AAA-9330-2022; Koh, Lian Pin/A-5794-2010; Descals, Adrià/AAN-7370-2021; Sheil, Douglas/N-3291-2019; Lee, Janice Ser Huay/HTM-2431-2023; Slade, Eleanor M/O-3874-2014; Abrams, Jesse/AAD-7179-2022</t>
  </si>
  <si>
    <t>Pérsio, Marcos/0000-0001-8819-867X; Meijaard, Erik/0000-0001-8685-3685; Szantoi, Zoltan/0000-0003-2580-4382; Koh, Lian Pin/0000-0001-8152-3871; Descals, Adrià/0000-0003-1644-3036; Sheil, Douglas/0000-0002-1166-6591; Slade, Eleanor M/0000-0002-6108-1196; Lee, Janice Ser Huay/0000-0001-6368-6212; Furumo, Paul/0000-0001-6499-1745; Abrams, Jesse/0000-0003-0411-8519; Prins, Herbert/0000-0003-1131-5107; struebig, matthew/0000-0003-2058-8502; Wich, Serge/0000-0003-3954-5174; Carlson, Kimberly/0000-0003-2162-1378; Juffe Bignoli, Diego/0000-0002-1498-4317</t>
  </si>
  <si>
    <t>GCRF [ES/S008160/1] Funding Source: UKRI; NERC [NE/K016407/1] Funding Source: UKRI</t>
  </si>
  <si>
    <t>GCRF; NERC(UK Research &amp; Innovation (UKRI)Natural Environment Research Council (NERC))</t>
  </si>
  <si>
    <t>2055-026X</t>
  </si>
  <si>
    <t>2055-0278</t>
  </si>
  <si>
    <t>NAT PLANTS</t>
  </si>
  <si>
    <t>Nat. Plants</t>
  </si>
  <si>
    <t>10.1038/s41477-020-00813-w</t>
  </si>
  <si>
    <t>PC9MU</t>
  </si>
  <si>
    <t>WOS:000597322300008</t>
  </si>
  <si>
    <t>Andersen, JL; Newall, JC; Blomdin, R; Sams, SE; Fabel, D; Koester, AJ; Lifton, NA; Fredin, O; Caffee, MW; Glasser, NF; Rogozhina, I; Suganuma, Y; Harbor, JM; Stroeven, AP</t>
  </si>
  <si>
    <t>Andersen, J. L.; Newall, J. C.; Blomdin, R.; Sams, S. E.; Fabel, D.; Koester, A. J.; Lifton, N. A.; Fredin, O.; Caffee, M. W.; Glasser, Neil F.; Rogozhina, I.; Suganuma, Y.; Harbor, J. M.; Stroeven, A. P.</t>
  </si>
  <si>
    <t>Ice surface changes during recent glacial cycles along the Jutulstraumen and Penck Trough ice streams in western Dronning Maud Land, East Antarctica</t>
  </si>
  <si>
    <t>Antarctica; Glaciation; Quaternary; Cosmogenic isotopes; Dronning Maud Land</t>
  </si>
  <si>
    <t>SOR-RONDANE MOUNTAINS; EROSION RATES; EXPOSURE DATA; SHEET; HISTORY; BE-10; CALIBRATION; MAXIMUM; AL-26; GEOMORPHOLOGY</t>
  </si>
  <si>
    <t>Reconstructing past ice-sheet surface changes is key to testing and improving ice-sheet models. Data constraining the past behaviour of the East Antarctic Ice Sheet are sparse, limiting our understanding of its response to past, present and future climate change. Here, we report the first cosmogenic multinuclide (Be-10, Al-26, Cl-36) data from bedrock and erratics on nunataks along the Jutulstraumen and Penck Trough ice streams in western Dronning Maud Land, East Antarctica. Spanning elevations between 741 and 2394 m above sea level, the samples have apparent exposure ages between 2 ka and 5 Ma. The highest-elevation bedrock sample indicates (near-) continuous minimum exposure since the Pliocene, with a low apparent erosion rate of 0.15 +/- 0.03 m Ma(-1), which is similar to results from eastern Dronning Maud Land. In contrast to studies in eastern Dronning Maud Land, however, our data show clear indications of a thicker-than-present ice sheet within the last glacial cycle, with a thinning of similar to 35-120 m during the Holocene (similar to 2-11 ka). Difficulties in separating suitable amounts of quartz from the often quartz-poor rock-types in the area, and cosmogenic nuclides inherited from exposure prior to the last deglaciation, prevented robust thinning estimates from elevational profiles. Nevertheless, the results clearly demonstrate ice-surface fluctuations of several hundred meters between the current grounding line and the edge of the polar plateau for the last glacial cycle, a constraint that should be considered in future ice-sheet model simulations. (C) 2020 Elsevier Ltd. All rights reserved.</t>
  </si>
  <si>
    <t>[Andersen, J. L.; Newall, J. C.; Sams, S. E.; Koester, A. J.; Lifton, N. A.; Caffee, M. W.; Harbor, J. M.] Purdue Univ, Dept Earth Atmospher &amp; Planetary Sci, W Lafayette, IN 47907 USA; [Andersen, J. L.; Fredin, O.] Geol Survey Norway, Trondheim, Norway; [Newall, J. C.; Blomdin, R.; Harbor, J. M.; Stroeven, A. P.] Stockholm Univ, Geomorphol &amp; Glaciol, Dept Phys Geog, Stockholm, Sweden; [Newall, J. C.; Blomdin, R.; Harbor, J. M.; Stroeven, A. P.] Stockholm Univ, Bolin Ctr Climate Res, Stockholm, Sweden; [Fabel, D.] Scottish Univ Environm Res Ctr, Glasgow, Lanark, Scotland; [Lifton, N. A.; Caffee, M. W.] Purdue Univ, Dept Phys &amp; Astron, W Lafayette, IN 47907 USA; [Fredin, O.; Rogozhina, I.] Norwegian Univ Sci &amp; Technol, Dept Geog, Trondheim, Norway; [Glasser, Neil F.] Aberystwyth Univ, Ctr Glaciol, Dept Geog &amp; Earth Sci, Aberystwyth, Dyfed, Wales; [Suganuma, Y.] Natl Inst Polar Res, Tachikawa, Tokyo, Japan; [Suganuma, Y.] Grad Univ Adv Studies SOKENDAI, Hayama, Kanagawa, Japan; [Harbor, J. M.] Purdue Univ Global, W Lafayette, IN USA</t>
  </si>
  <si>
    <t>Purdue University System; Purdue University; Geological Survey of Norway; Stockholm University; Scottish Universities Research &amp; Reactor Center; Purdue University System; Purdue University; Norwegian University of Science &amp; Technology (NTNU); Aberystwyth University; Research Organization of Information &amp; Systems (ROIS); National Institute of Polar Research (NIPR) - Japan; Graduate University for Advanced Studies - Japan; Purdue University Global</t>
  </si>
  <si>
    <t>Andersen, JL (corresponding author), Aarhus Univ, Dept Geosci, Aarhus, Denmark.</t>
  </si>
  <si>
    <t>jane.lund@geo.au.dk</t>
  </si>
  <si>
    <t>Stroeven, Arjen P/I-7330-2013; Andersen, Jane Lund/R-6518-2017; Fredin, Ola/ACJ-2359-2022; Fabel, Derek/A-2999-2010; Rogozhina, Irina/JFK-1968-2023; Caffee, Marc W/K-7025-2015; Lifton, Nathaniel/M-2017-2015</t>
  </si>
  <si>
    <t>Andersen, Jane Lund/0000-0003-2829-6352; suganuma, yusuke/0000-0003-3516-1317; Rogozhina, Irina/0009-0008-5067-080X; Lifton, Nathaniel/0000-0002-6976-3298</t>
  </si>
  <si>
    <t>Stockholm University; Norwegian Polar Institute/NARE under Grant MAGIC-DML; Swedish Research Council [2016-04422]; German Research Foundation (DFG) [365737614]; German Aerospace Centre (DLR) [DEM_GLAC1773]; Carlsberg Foundation Fellowship; US National Science Foundation [PLR-1542930, EAR-1560658]; Swedish Research Council [2016-04422] Funding Source: Swedish Research Council</t>
  </si>
  <si>
    <t>Stockholm University; Norwegian Polar Institute/NARE under Grant MAGIC-DML; Swedish Research Council(Swedish Research Council); German Research Foundation (DFG)(German Research Foundation (DFG)); German Aerospace Centre (DLR)(Helmholtz AssociationGerman Aerospace Centre (DLR)); Carlsberg Foundation Fellowship; US National Science Foundation(National Science Foundation (NSF)); Swedish Research Council(Swedish Research Council)</t>
  </si>
  <si>
    <t>This material is based upon work supported by Stockholm University (APS), Norwegian Polar Institute/NARE under Grant MAGIC-DML (OF), the US National Science Foundation under Grant No. PLR-1542930 (JMH &amp; NL) and EAR-1560658 (MWC), Swedish Research Council under Grant No. 2016-04422 (JMH &amp; APS), the German Research Foundation (DFG), Priority Programme 1158 Antarctic Research under Grant No. 365737614 (IR), and the German Aerospace Centre (DLR) for TerraSAR-X/TanDEM-X data under grant DEM_GLAC1773 (OF). We thank the Swedish Polar Research Secretariat for logistical support, UNAVCO for providing the dGPS, and PGC for provision of satellite data used for navigation in the field. JLA was supported by a Carlsberg Foundation Fellowship. We thank P. Spector and Y. Yokoyama for constructive reviews that helped improve the manuscript.</t>
  </si>
  <si>
    <t>10.1016/j.quascirev.2020.106636</t>
  </si>
  <si>
    <t>OS1FN</t>
  </si>
  <si>
    <t>WOS:000589909900002</t>
  </si>
  <si>
    <t>Zhao, XQ; Koutsodendris, A; Caley, T; Dupont, L</t>
  </si>
  <si>
    <t>Zhao, Xueqin; Koutsodendris, Andreas; Caley, Thibaut; Dupont, Lydie</t>
  </si>
  <si>
    <t>Hydroclimate change in subtropical South Africa during the mid-Piacenzian Warm Period</t>
  </si>
  <si>
    <t>Vegetation; Hydroclimate; Mid-Piacenzian warm period; IODP Site U1479; South Africa</t>
  </si>
  <si>
    <t>PLIOCENE WARMTH; AGULHAS LEAKAGE; CLIMATE; POLLEN; VEGETATION; ATLANTIC; RECORD; OCEAN; INTENSIFICATION; PRECESSION</t>
  </si>
  <si>
    <t>The mid-Piacenzian Warm Period (mPWP, 3.264-3.025 Ma) of the Pliocene epoch has been proposed as an analog for future climate scenarios. Disagreement between the paleoenvironmental reconstruction and model simulations of the climate in subtropical regions for this period suggests that more investigation of the subtropical climate variability of the mPWP is needed. This study presents pollen, micro charcoal and benthic foraminifera oxygen isotope records generated from marine sediment cores of International Ocean Discovery Program (IODP) Exp. 361 Site U1479 from the Cape Basin offshore of South Africa for the period between 3.337 and 2.875 Ma. With an average sample resolution of 3 ka, this record represents the highest-resolution record of mPWP vegetation change from the region. Our results indicate that the vegetation during the mPWP was dominated by fynbos (species-rich heathy vegetation in the Cape Floristic Region) with variable proportions of Ericaceae. Moreover, the development of the Afrotemperate forest (tall, multilayered indigenous forests in South Africa) reflects shifts in the amounts of precipitation between winter and summer in the year-round rainfall zone. The vegetation variation is probably influenced by the latitudinal insolation gradient in response to precession forcing. Several glacials depicted by the benthic foraminifera oxygen isotope record were characterized by lower percentage values of Restionaceae, higher percentage values of ericoid fynbos and Afrotemperate forest. These events correspond well with cooler SE Atlantic sea surface temperatures driven by interactions of both atmospheric and oceanographic processes. The cooler sea surface temperatures attributed to Antarctic ice sheet expansion, reduced Agulhas leakage (heat and salt transfer from the Indian Ocean to the Atlantic Ocean) and/or intensified southern Benguela upwelling, resulted in less precipitation in the winter rainfall zone of South Africa. (C) 2020 Elsevier Ltd. All rights reserved.</t>
  </si>
  <si>
    <t>[Zhao, Xueqin; Dupont, Lydie] Univ Bremen, MARUM Ctr Marine Environm Sci, Leobener Str, D-28359 Bremen, Germany; [Koutsodendris, Andreas] Heidelberg Univ, Inst Earth Sci, Neuenheimer Feld 234-236, D-69120 Heidelberg, Germany; [Caley, Thibaut] Univ Bordeaux, EPOC, UMR 5805, CNRS, Pessac, France</t>
  </si>
  <si>
    <t>University of Bremen; Ruprecht Karls University Heidelberg; Centre National de la Recherche Scientifique (CNRS); CNRS - National Institute for Earth Sciences &amp; Astronomy (INSU); Universite de Bordeaux</t>
  </si>
  <si>
    <t>Zhao, XQ (corresponding author), Univ Bremen, MARUM Ctr Marine Environm Sci, Leobener Str, D-28359 Bremen, Germany.</t>
  </si>
  <si>
    <t>xzhao@marum.de</t>
  </si>
  <si>
    <t>Caley, Thibaut/B-9759-2014; Koutsodendris, Andreas/G-8966-2013</t>
  </si>
  <si>
    <t>Koutsodendris, Andreas/0000-0003-4236-7508; Zhao, Xueqin/0000-0003-3354-3768; Caley, Thibaut/0000-0001-8249-7054; Dupont, Lydie/0000-0001-9531-6793</t>
  </si>
  <si>
    <t>International Ocean Discovery Program, IODP of the Deutsche Forschungsgemeinschaft (DFG) [SPP527, DU221/7]; CNRS-INSU; IODP France; LEFE IMAGO CNRS INSU project SeaSalt</t>
  </si>
  <si>
    <t>International Ocean Discovery Program, IODP of the Deutsche Forschungsgemeinschaft (DFG)(German Research Foundation (DFG)); CNRS-INSU(Centre National de la Recherche Scientifique (CNRS)); IODP France; LEFE IMAGO CNRS INSU project SeaSalt</t>
  </si>
  <si>
    <t>This study was financially supported by the International Ocean Discovery Program, IODP (SPP527) of the Deutsche Forschungsgemeinschaft (DFG), grant Nr. DU221/7. Thibaut Caley is supported by CNRS-INSU. Funding from IODP France and LEFE IMAGO CNRS INSU project SeaSalt are acknowledged. We thank the Captain, officers, crew and especially all scientists sailing on IODP expedition 361. Thanks to Jutta Scheffing for assistance with the pollen sample preparations in the lab. We would like to thank the two reviewers for their helpful and constructive comments that have helped to improve the manuscript.</t>
  </si>
  <si>
    <t>10.1016/j.quascirev.2020.106643</t>
  </si>
  <si>
    <t>WOS:000589909900003</t>
  </si>
  <si>
    <t>Rehm, P; Thatje, S; Leese, F; Held, C</t>
  </si>
  <si>
    <t>Rehm, Peter; Thatje, Sven; Leese, Florian; Held, Christoph</t>
  </si>
  <si>
    <t>Phylogenetic relationship within Cumacea (Crustacea: Peracarida) and genetic variability of two Antarctic species of the family Leuconidae</t>
  </si>
  <si>
    <t>16S rDNA; biogeography; cryptic speciation; cryptic species; mitochondrial DNA; molecular phylogeny</t>
  </si>
  <si>
    <t>CRYPTIC SPECIATION; DIVERSITY; SEA; MALACOSTRACA; ASSEMBLAGES; DISPERSAL; PATTERNS; ISLANDS; ISOPODA; FAUNA</t>
  </si>
  <si>
    <t>Phylogenetic hypotheses for the peracarid order Cumacea are scarce and have not provided a solution to the full extent. In the present study, a fragment of the mitochondrial 16S rDNA was used to erect a phylogenetic hypothesis for three cumacean families, Diastylidae, Bodotriidae and Leuconidae, along with intra-family relationships of the latter. The Cumacea resolved monophyletic with tanaids and isopods as outgroup taxa. The Diastylidae were the only family with good support for monophyly. The genus Leucon resolved paraphyletic, whereas the subgenus Crymoleucon was monophyletic. Furthermore, the genetic structure was analysed for two leuconid species, Leucon antarcticus Zimmer, 1907 and L intermedius Muhlenhardt-Siegel. 1996, from the Weddell Sea and the Ross Sea. The two species showed different patterns of intraspecific genetic variability. In contrast to L intennedius, a bimodal distribution of pairwise genetic distances was observed for L. antarcticus, which is correlated with geographical and depth distributions between the Ross Sea and the Weddell Sea. Although a clear evaluation of cryptic speciation in these species requires additional work on more specimens from more geographic regions and broader depth ranges, differences shown in the sequences of 16S rDNA can only be explained by genetic separation of populations between the Weddell Sea and the Ross Sea for an extended period of time.</t>
  </si>
  <si>
    <t>[Rehm, Peter; Held, Christoph] Alfred Wegener Inst, Funct Ecol, Helmholtz Zentrum Polar &amp; Meeresforsch AWI, Handelshafen 12, D-27570 Bremerhaven, Germany; [Thatje, Sven] Univ Southampton, Natl Oceanog Ctr, Sch Ocean &amp; Earth Sci, European Way, Southampton SO14 3ZH, Hants, England; [Leese, Florian] Univ Duisburg Essen, Aquat Ecosyst Res, Essen, Germany</t>
  </si>
  <si>
    <t>Helmholtz Association; Alfred Wegener Institute, Helmholtz Centre for Polar &amp; Marine Research; NERC National Oceanography Centre; University of Southampton; University of Duisburg Essen</t>
  </si>
  <si>
    <t>Thatje, S (corresponding author), Univ Southampton, Natl Oceanog Ctr, Sch Ocean &amp; Earth Sci, European Way, Southampton SO14 3ZH, Hants, England.</t>
  </si>
  <si>
    <t>peter-rehm@gmx.net; sthatje@icloud.com; florian.leese@uni-due.de; christoph.held@awi.de</t>
  </si>
  <si>
    <t>Leese, Florian/D-4277-2012</t>
  </si>
  <si>
    <t>Leese, Florian/0000-0002-5465-913X</t>
  </si>
  <si>
    <t>German Science Foundation (DFG) [Br 1121/23-1]</t>
  </si>
  <si>
    <t>German Science Foundation (DFG)(German Research Foundation (DFG))</t>
  </si>
  <si>
    <t>We thank the crew of RV Italica for their help and efficient work at sea. We are also grateful to Olaf Heilmayer, Susanne Gatti and M. Chiantore for the organization of the cruise and their help on board. Our thanks go to Ricardo Cattaneo Vietti for the invitation to participate at and his help during the 19th expedition of the PNRA (S.C.r.l.). The German Science Foundation (DFG) provided travelling funds to the principal author (Br 1121/23-1). We thank two anonymous reviewers for constructively commenting on the manuscript.</t>
  </si>
  <si>
    <t>10.3989/scimar.05053.17A</t>
  </si>
  <si>
    <t>WOS:000600444100006</t>
  </si>
  <si>
    <t>Souza, JS; Kasper, D; da Cunha, LST; Soares, TA; Pessoa, ARD; de Carvalho, GO; Costa, ES; Torres, JPM; Niedzielski, P</t>
  </si>
  <si>
    <t>Souza, Juliana Silva; Kasper, Daniele; Teixeira da Cunha, Larissa Schmauder; Soares, Tuany Alves; de Lira Pessoa, Adriana Rodrigues; de Carvalho, Gabriel Oliveira; Costa, Erli Schneider; Machado Torres, Joao Paulo; Niedzielski, Przemyslaw</t>
  </si>
  <si>
    <t>Biological factors affecting total mercury and methylmercury levels in Antarctic penguins</t>
  </si>
  <si>
    <t>Pygoscelis; Seabirds; Metals; Trace element; Feathers; Blood</t>
  </si>
  <si>
    <t>KING GEORGE ISLAND; MARINE FOOD-WEB; ORGANIC POLLUTANTS; BIOMONITORING TOOL; ADMIRALTY BAY; BIRD FEATHERS; PYGOSCELIS; CONTAMINATION; BIOINDICATORS; SEABIRDS</t>
  </si>
  <si>
    <t>Penguins in Antarctica occupy high trophic levels, thus accumulating high amounts of mercury (Hg) through bioaccumulation and biomagnification. Blood reflects the current levels of contaminants circulating in the body, while feathers are known as the main route of Hg elimination in birds. Studies sampling chicks and adults can provide a comprehensive picture of bioaccumulation and local contamination. Three pygoscelid species (Pygoscelis adeliae, Pygoscelis antarcticus and Pygoscelis papua) have circumpolar distributions being the ideal sentinels of Antarctic environmental pollution. This study aimed to assess Hg contamination of the pristine Antarctic region using non-destructive penguin samples. Fieldwork was carried out during the austral summer of 2013/2014 in the South Shetland Islands, off the north-west Antarctic Peninsula. Concentrations of total Hg (ng.g(-1) dw) in blood ranged from 39 to 182 in chicks and 45 to 581 in adults, while concentrations in feathers ranged from 73 to 598 in chicks and 156 to 1648 in adults. Most Hg in feathers (about 70%) is accumulated in the form of methylmercury. Differences were demonstrated in mercury bioaccumulation were related to species and age, but not to sex. To our knowledge this is the first study to report MeHg levels in both juvenile and adult pygoscelid penguins. (C) 2020 Elsevier Ltd. All rights reserved.</t>
  </si>
  <si>
    <t>[Souza, Juliana Silva; Kasper, Daniele; Teixeira da Cunha, Larissa Schmauder; Soares, Tuany Alves; de Lira Pessoa, Adriana Rodrigues; de Carvalho, Gabriel Oliveira; Machado Torres, Joao Paulo] Univ Fed Rio de Janeiro, Inst Biofis Carlos Chagas Filho, Lab Radioisotopos Eduardo Penna Franca, Av Carlos Chagas Filho 373, BR-21941902 Rio De Janeiro, Brazil; [Souza, Juliana Silva; Niedzielski, Przemyslaw] Adam Mickiewicz Univ, Fac Chem, Dept Analyt Chem, Ul Uniwersytetu Poznanskiego 8, PL-61614 Poznan, Poland; [Costa, Erli Schneider] Univ Estadual Rio Grande do Sul, Unidade Univ Hortensias, Programa Posgrad Ambiente &amp; Sustentabilidade, Rua Assis Brasil 842, BR-95400000 Sao Francisco De Paula, RS, Brazil</t>
  </si>
  <si>
    <t>Universidade Federal do Rio de Janeiro; Adam Mickiewicz University; Universidade Estadual do Rio Grande do Sul (UERGS)</t>
  </si>
  <si>
    <t>Souza, JS (corresponding author), Univ Fed Rio de Janeiro, Inst Biofis Carlos Chagas Filho, Lab Radioisotopos Eduardo Penna Franca, Av Carlos Chagas Filho 373, BR-21941902 Rio De Janeiro, Brazil.</t>
  </si>
  <si>
    <t>juliana.souza@biof.ufrj.br</t>
  </si>
  <si>
    <t>Rodrigues de Lira Pessoa, Adriana/HMV-6030-2023; Kasper, Daniele/AAK-7809-2020; de Carvalho, Gabriel Oliveira/AAC-4925-2020; torres, joao/AAI-8390-2021; de Carvalho, Gabriel Oliveira/AAV-9458-2021; Kasper, Daniele/K-7141-2013; Niedzielski, Przemyslaw/A-6316-2009; COSTA, ERLI SCHNEIDER/AAP-2375-2020; Schmauder T da Cunha, Larissa/GON-8442-2022</t>
  </si>
  <si>
    <t>Kasper, Daniele/0000-0002-6475-1327; de Carvalho, Gabriel Oliveira/0000-0001-9809-2772; torres, joao/0000-0002-2510-1612; de Carvalho, Gabriel Oliveira/0000-0001-9809-2772; Niedzielski, Przemyslaw/0000-0002-2787-9057; COSTA, ERLI SCHNEIDER/0000-0002-3739-1178; Schmauder T da Cunha, Larissa/0000-0002-2193-342X; Reis, AlessanRSS/0000-0001-8486-7469; Alves Soares, Tuany/0009-0003-8999-6501; Souza-Kasprzyk, Juliana/0000-0003-2307-8006; de Lira Pessoa, Adriana/0000-0002-0806-5541</t>
  </si>
  <si>
    <t>Conselho Nacional de Desenvolvimento Cientifico e Tecnologico [CNPq/MCTIC: 557049/2009-1]; Fundacao de Amparo a Pesquisa do Estado do Rio de Janeiro [E-26/111.505/2010]; CNPq</t>
  </si>
  <si>
    <t>Conselho Nacional de Desenvolvimento Cientifico e Tecnologico(Conselho Nacional de Desenvolvimento Cientifico e Tecnologico (CNPQ)); Fundacao de Amparo a Pesquisa do Estado do Rio de Janeiro(Fundacao Carlos Chagas Filho de Amparo a Pesquisa do Estado do Rio De Janeiro (FAPERJ)); CNPq(Conselho Nacional de Desenvolvimento Cientifico e Tecnologico (CNPQ))</t>
  </si>
  <si>
    <t>This study was supported by the Conselho Nacional de Desenvolvimento Cientifico e Tecnologico (CNPq/MCTIC: 557049/2009-1) and the Fundacao de Amparo a Pesquisa do Estado do Rio de Janeiro (E-26/111.505/2010). The authors thank the Brazilian Antarctic Program (PROANTAR) and the Secretaria da Comissao Interministerial para os Recursos do Mar (SECIRM/Brazilian Navy) for logistical support. J. Souza thanks CNPq for her scholarship. We thank Dr. Peter Convey (British Antarctic Survey) for review the manuscript; Emil Kasprzyk for pictures used in the graphic abstract; the researchers from the Projeto Pinguins and Skuas who participated in the fieldwork, especially Janeide Padilha, Fabio Torres, Ana Olivia Reis and Juliana Ivar do Sul. Finally, we thank the working group from the Laboratorio de Radioisotopos Eduardo Penna Franca (UFRJ) where the Hg analyses were performed, and Maria Alice Alves from the Laboratorio de Ecologia de Aves and Gisele LoboHajdu from the Laboratorio de Genetica Marinha, both from the Universidade do Estado do Rio de Janeiro (UERJ) where genetic analyses were performed.</t>
  </si>
  <si>
    <t>10.1016/j.chemosphere.2020.127713</t>
  </si>
  <si>
    <t>OF2FO</t>
  </si>
  <si>
    <t>WOS:000581030700049</t>
  </si>
  <si>
    <t>Garcia-Marsà, JA; Cerroni, MA; Rozadilla, S; Cerda, IA; Reguero, MA; Coria, RA; Novas, FE</t>
  </si>
  <si>
    <t>Garcia-Marsa, Jordi A.; Cerroni, Mauricio A.; Rozadilla, Sebastian; Cerda, Ignacio A.; Reguero, Marcelo A.; Coria, Rodolfo A.; Novas, Fernando E.</t>
  </si>
  <si>
    <t>Biological implications of the bone microstructure of the Antarctic ornithopods Trinisaura and Morrosaurus (Dinosauria, Ornithischia)</t>
  </si>
  <si>
    <t>Paleohistology; Paleobiology; Antarctica; Ornithopoda; Upper Cretaceous</t>
  </si>
  <si>
    <t>JAMES-ROSS-ISLAND; GROWTH-RATES; THEROPOD DINOSAUR; SEXUAL-MATURITY; HISTOLOGY; REAPPRAISAL; EVOLUTION; PATTERNS; ONTOGENY; ALASKA</t>
  </si>
  <si>
    <t>The bone histology of the Antarctic ornithopods Trinisaura santamartaensis and Morrosaurus antarcticus from the Upper Cretaceous (Campanian-Maastrichtian) is here studied. With the purpose to obtain information regarding their growth pattern, we analyse the bone histology of appendicular elements from the holotype specimens of both species. The cortical bone of the studied elements is constituted by fibro-lamellar tissue, with vascular canals mostly showing in a longitudinal and reticular arrangement, suggesting an accelerated growth. The cortical bone tissue is interrupted by lines of arrested growth (LAGs) and annuli. The study reveals that both the holotypes of Trinisaura and Morrosaurus were sexually mature subadults at the time of death (i.e. they died before reach somatic maturity). The growth pattern of these Antarctic ornithopods is similar to that reported for the related taxon Gasparinisaura, which lived in lower latitudes, as well as for the Australian ornithopods, taxa that inhabited polar latitudes during the Early Cretaceous. This contrasts with the pattern reported for more derived ornithopods (i.e. hadrosaurids) and ceratopsians from the Northern Hemisphere, whose growth dynamics vary in different latitudes. In this regard, Gondwanan ornithopods would present a preadaptation for endure in environments with great temperature changes along the year. (C) 2020 Elsevier Ltd. All rights reserved.</t>
  </si>
  <si>
    <t>[Garcia-Marsa, Jordi A.; Cerroni, Mauricio A.; Rozadilla, Sebastian; Novas, Fernando E.] Consejo Nacl Invest Cient &amp; Tecn, Museo Argentino Ciencias Nat Bernardino Rivadavia, Lab Anat Comparada &amp; Evoluc Vertebrados, Ave Angel Gallardo 470, Buenos Aires, DF, Argentina; [Garcia-Marsa, Jordi A.; Cerroni, Mauricio A.; Rozadilla, Sebastian; Cerda, Ignacio A.; Reguero, Marcelo A.; Coria, Rodolfo A.; Novas, Fernando E.] Consejo Nacl Invest Cient &amp; Tecn, Buenos Aires, DF, Argentina; [Cerda, Ignacio A.] Univ Nacl Rio Negro, Inst Invest Paleobiol &amp; Geol IIPG CONICET, RA-8324 Cipolletti, Rio Negro, Argentina; [Cerda, Ignacio A.] Museo Carlos Ameghino, RA-8324 Cipolletti, Rio Negro, Argentina; [Reguero, Marcelo A.] Museo La Plata, Paseo Bosque S-N,B1900FWA, La Plata, Buenos Aires, Argentina; [Reguero, Marcelo A.] Inst Antartico Argentino, 25 Mayo 1143,B1650HMK, Buenos Aires, DF, Argentina; [Coria, Rodolfo A.] Univ Nacl Rio Negro, Subsecretaria Cultura Neuquen, Museo Carmen Funes, Av Cordoba 55,Plaza Huincul, RA-8318 Neuquen, Argentina</t>
  </si>
  <si>
    <t>Museo Argentino de Ciencias Naturales Bernardino Rivadavia (MACN); Consejo Nacional de Investigaciones Cientificas y Tecnicas (CONICET); Consejo Nacional de Investigaciones Cientificas y Tecnicas (CONICET); National University of La Plata; Museo La Plata; Instituto Antartico Argentino</t>
  </si>
  <si>
    <t>Garcia-Marsà, JA (corresponding author), Consejo Nacl Invest Cient &amp; Tecn, Museo Argentino Ciencias Nat Bernardino Rivadavia, Lab Anat Comparada &amp; Evoluc Vertebrados, Ave Angel Gallardo 470, Buenos Aires, DF, Argentina.</t>
  </si>
  <si>
    <t>jagmdarwinista@gmail.com</t>
  </si>
  <si>
    <t>Reguero, Marcelo A./JHS-4893-2023; Coria, Rodolfo/JXM-9875-2024; Cerroni, Mauricio/IUN-2167-2023</t>
  </si>
  <si>
    <t>[PICT 2018-0607]</t>
  </si>
  <si>
    <t>We sincerely thank Mirta Gonzalez for kindly providing the petrographic microscope in which we analysed the materials. We are also grateful to Jose Luis Molina for preparation of the thin sections of Morrosaurus. We also thank Federico L. Agnolin, Gaston Lo Coco, Gerardo Alvarez Herrera, Macias J. Motta, Julia S. D'Angelo and Alexis M. Aranciaga-Rolando for comments and discussion in the early stages of the manuscript. We deeply appreciate the editorial work of Eduardo Koutsoukos, and the comments and suggestions made by the Editor in chief and Xabier Pereda Suberbiola. M.R. was funded by PICT 2018-0607.</t>
  </si>
  <si>
    <t>10.1016/j.cretres.2020.104605</t>
  </si>
  <si>
    <t>OD4KR</t>
  </si>
  <si>
    <t>WOS:000579821800028</t>
  </si>
  <si>
    <t>Avelina, R; da Cunha, LC; Farias, CD; Hamacher, C; Kerr, R; Mata, MM</t>
  </si>
  <si>
    <t>Avelina, Raquel; da Cunha, Leticia C.; Farias, Cassia de O.; Hamacher, Claudia; Kerr, Rodrigo; Mata, Mauricio M.</t>
  </si>
  <si>
    <t>Contrasting dissolved organic carbon concentrations in the Bransfield Strait, Northern Antarctic Peninsula: insights into ENSO and SAM effects</t>
  </si>
  <si>
    <t>JOURNAL OF MARINE SYSTEMS</t>
  </si>
  <si>
    <t>Organic matter; Carbon sink; Antarctic water masses; Southern Ocean; Climate modes</t>
  </si>
  <si>
    <t>GERLACHE STRAIT; WATER MASSES; MATTER; OCEAN; SUMMER; SEA; DISTRIBUTIONS; VARIABILITY; DYNAMICS; END</t>
  </si>
  <si>
    <t>The marine reservoir of dissolved organic carbon (DOC) is equivalent to the atmospheric carbon reservoir and represents the largest reduced carbon stock in the ocean. However, the role of DOC in the global carbon cycle is not fully understood. In this study, we analyzed the distribution of DOC in the water column of the Bransfield Strait, Northern Antarctic Peninsula. Data were collected during two summer cruises of the NAUTILUS project conducted by the Brazilian High Latitude Oceanography Group in February 2015 and 2016. We investigated the possible effects of the El Nino - Southern Oscillation (ENSO) and Southern Annular Mode (SAM) climate modes on DOC variability based on correlations between DOC and temperature, salinity, and dissolved oxygen. Concentrations of DOC ranged from 40.70 to 122.82 mu mol kg(-1) in 2015 and 33.12 to 112.20 mu mol kg(-1) in 2016. The analysis shows that the vertical distribution of DOC in the Bransfield Strait may be controlled by a combination of vertical stratification, vertical export of organic matter and biological activity in the upper mixed layer during summertime. The significant interannual differences observed between DOC concentration and most physicochemical parameters may be linked to ENSO and SAM climate modes. The highest DOC concentration was observed in February 2015, associated with a layer of warm surface water, due to the higher stratification of the water column. The ENSO and SAM climate modes were low and positive in that year, favoring intrusions of waters from the Antarctic Circumpolar Current. In contrast, February 2016 was characterized by record positive ENSO and SAM modes. The intensification of the Weddell Gyre induced the advection of cold, more oxygenated and recently formed shelf waters into the Bransfield Strait, which may have contributed to the lower DOC concentrations. This study contributes to a better understanding of the role of DOC in the global carbon cycle in a region of complex ocean circulation and mixing, and sensitive to global climate change.</t>
  </si>
  <si>
    <t>[Avelina, Raquel; da Cunha, Leticia C.; Farias, Cassia de O.; Hamacher, Claudia] Univ Estado Rio de Janeiro UERJ, Programa Posgrad Oceanog, BR-20550900 Rio De Janeiro, RJ, Brazil; [Avelina, Raquel; da Cunha, Leticia C.; Farias, Cassia de O.; Hamacher, Claudia] Univ Estado Rio de Janeiro UERJ, Fac Oceanog, Lab Geoquim Organ Marinha &amp; Oceanog Quim LaGOM LA, BR-20550900 Rio De Janeiro, RJ, Brazil; [Avelina, Raquel; da Cunha, Leticia C.; Kerr, Rodrigo] Brazilian Ocean Acidificat Network BrOA, BR-96203900 Rio Grande, RS, Brazil; [da Cunha, Leticia C.] Inst Nacl Pesquisas Espaciais, Subrede Oceanos, Rede Clima, Av Astronautas 1758, BR-12227010 Sao Jose Dos Campos, SP, Brazil; [Kerr, Rodrigo; Mata, Mauricio M.] Univ Fed Rio Grande FURG, Inst Oceanog, Lab Estudos Oceanos &amp; Clima, Av Italia Km 8, BR-96203900 Rio Grande, RS, Brazil; [Kerr, Rodrigo; Mata, Mauricio M.] Inst Nacl Ciencia &amp; Tecnol Criosfera INCT CRIOSFE, Grp Estudos Oceano Austral &amp; Gelo Marinho, BR-96203900 Rio Grande, RS, Brazil; [Kerr, Rodrigo; Mata, Mauricio M.] Univ Fed Rio Grande FURG, Inst Oceanog, Programa Posgrad Oceanol, Av Italia Km 8, BR-96203900 Rio Grande, RS, Brazil</t>
  </si>
  <si>
    <t>Universidade do Estado do Rio de Janeiro; Universidade do Estado do Rio de Janeiro; Instituto Nacional de Pesquisas Espaciais (INPE); Universidade Federal do Rio Grande; Universidade Federal do Rio Grande</t>
  </si>
  <si>
    <t>Avelina, R (corresponding author), Univ Estado Rio de Janeiro, Fac Oceanog, R Sao Francisco Xavier 524,4008E,Pav Joao Lyra, BR-20550900 Rio De Janeiro, RJ, Brazil.</t>
  </si>
  <si>
    <t>santos.raquel@posgraduacao.uerj.br</t>
  </si>
  <si>
    <t>HAMACHER, CLAUDIA/AAF-6101-2021; Kerr, Rodrigo/I-2494-2012; Cotrim da Cunha, Leticia/F-5732-2010; Mata, Mauricio/H-4605-2011</t>
  </si>
  <si>
    <t>Kerr, Rodrigo/0000-0002-2632-3137; Cotrim da Cunha, Leticia/0000-0001-8035-1430; Avelina da Conceicao dos Santos, Raquel/0000-0002-8283-2104; Mata, Mauricio/0000-0002-9028-8284</t>
  </si>
  <si>
    <t>Brazilian National Council on Research and Development (CNPq) [405869/2013-4, 407889/2013-2, 442628/2018-8, 442637/2018-7]; Coordination for the Improvement of Higher Education Personnel (CAPES) [23038.001421/2014-30]; Brazilian Ministry of the Environment (MMA); Brazilian Ministry of Science, Technology, and Innovation (MCTI); Brazilian Navy; Secretariat of the Interministerial Commission for the Resources of the Sea (SECIRM); Brazilian National Institute of Science and Technology of Cryosphere (INCT-CRIOSFERA; CNPq) [573720/2008-8, 465680/2014-3, 17/2551-0000518-0]; CAPES [001]; CAPES M.Sc. [88882.450351/2019-01]; UERJ-Prociencia grant; CNPq [304937/2018-5, 306896/2015-0]; Brazilian Antarctic Program (PROANTAR)</t>
  </si>
  <si>
    <t>Brazilian National Council on Research and Development (CNPq)(Conselho Nacional de Desenvolvimento Cientifico e Tecnologico (CNPQ)); Coordination for the Improvement of Higher Education Personnel (CAPES)(Coordenacao de Aperfeicoamento de Pessoal de Nivel Superior (CAPES)); Brazilian Ministry of the Environment (MMA); Brazilian Ministry of Science, Technology, and Innovation (MCTI); Brazilian Navy; Secretariat of the Interministerial Commission for the Resources of the Sea (SECIRM); Brazilian National Institute of Science and Technology of Cryosphere (INCT-CRIOSFERA; CNPq)(Conselho Nacional de Desenvolvimento Cientifico e Tecnologico (CNPQ)Fundacao de Apoio a Pesquisa do Distrito Federal (FAPDF)); CAPES(Coordenacao de Aperfeicoamento de Pessoal de Nivel Superior (CAPES)); CAPES M.Sc.(Coordenacao de Aperfeicoamento de Pessoal de Nivel Superior (CAPES)); UERJ-Prociencia grant; CNPq(Conselho Nacional de Desenvolvimento Cientifico e Tecnologico (CNPQ)); Brazilian Antarctic Program (PROANTAR)</t>
  </si>
  <si>
    <t>This study contributes to the activities of the Brazilian High Latitude Oceanography Group (GOAL) and the Brazilian Ocean Acidification Network (BrOA). The NAUTILUS project was sponsored by the Brazilian Antarctic Program (PROANTAR). GOAL has been funded by and/or has received logistical support from the Brazilian National Council on Research and Development (CNPq grant nos. 405869/2013-4, 407889/2013-2, 442628/2018-8, and 442637/2018-7), the Coordination for the Improvement of Higher Education Personnel (CAPES grant no. 23038.001421/2014-30), the Brazilian Ministry of the Environment (MMA), the Brazilian Ministry of Science, Technology, and Innovation (MCTI), the Brazilian Navy, the Secretariat of the Interministerial Commission for the Resources of the Sea (SECIRM), and the Brazilian National Institute of Science and Technology of Cryosphere (INCT-CRIOSFERA; CNPq grant nos. 573720/2008-8 and 465680/2014-3; FAPERGS 17/2551-0000518-0). This study was partly financed by CAPES -Finance Code 001. R. Avelina acknowledges CAPES M.Sc. grant no. 88882.450351/2019-01. L. C. da Cunha acknowledges UERJ-Prociencia grant for the 2018-2021 period. R. Kerr and M. M. Mata acknowledges CNPq researcher grant nos. 304937/2018-5 and 306896/2015-0, respectively. The authors would like to thank M. L. C. Ferreira, R. C. G. Pollery, R. A. Keim, H. Soares (in memorian) and L. Amorim for help with sampling and dissolved nutrients and DOC analyzes. The authors also thank the Brazilian Navy, especially the officers and crew, and all the researchers onboard of the RV NPo. Almirante Maximiano, for providing logistical and sampling support during the NAUTILUS I and II cruises. We thank the two anonymous reviewers for their valuable comments to improve this manuscript.</t>
  </si>
  <si>
    <t>0924-7963</t>
  </si>
  <si>
    <t>1879-1573</t>
  </si>
  <si>
    <t>J MARINE SYST</t>
  </si>
  <si>
    <t>J. Mar. Syst.</t>
  </si>
  <si>
    <t>10.1016/j.jmarsys.2020.103457</t>
  </si>
  <si>
    <t>Geosciences, Multidisciplinary; Marine &amp; Freshwater Biology; Oceanography</t>
  </si>
  <si>
    <t>Geology; Marine &amp; Freshwater Biology; Oceanography</t>
  </si>
  <si>
    <t>OH7XL</t>
  </si>
  <si>
    <t>WOS:000582806700024</t>
  </si>
  <si>
    <t>Perassoli, F; Ghisolfi, RD; Lemos, AT</t>
  </si>
  <si>
    <t>Perassoli, Fernanda; Ghisolfi, Renato David; Lemos, Angelo Teixeira</t>
  </si>
  <si>
    <t>Spatial distribution of nutrients associated with water masses in the Tubarao Bight (20°S-22°S), Brazil</t>
  </si>
  <si>
    <t>Extended optimum multiparameter analysis; Coastal upwelling; Intermediate levels; South Atlantic</t>
  </si>
  <si>
    <t>OPTIMUM MULTIPARAMETER ANALYSIS; WESTERN BOUNDARY CURRENT; SOUTH-ATLANTIC; PHYTOPLANKTON BIOMASS; CHLOROPHYLL MAXIMUM; VITORIA EDDY; RIVER PLUME; TRANSPORT; WIND; VARIABILITY</t>
  </si>
  <si>
    <t>The bathymetry in the region of the Tubarao Bight is complex. When associated with the morphological variations in the continental shelf and the presence of the Vitoria-Trindade Chain, peculiar physical characteristics capable of modifying the hydrodynamic flow and the distribution of water masses on the continental shelf appear. Moreover, the presence of cyclonic eddies and the upwelling process reinforce the importance of this region from a physical and biological perspective, especially related to the input of nutrients to the euphotic zone. This study aimed to analyze the spatial distribution of nutrients and its relationship with water masses (Coastal Water (CW), Tropical Water (TW), South Atlantic Central Water (SACW), Antarctic Intermediate Water (AAIW), and Upper Circumpolar Deep Water (UCDW)). The spatial distribution of nutrients was calculated via extended optimum multiparameter analysis using conservative (temperature and salinity) and nonconservative (dissolved oxygen (O-2), nitrate (NO3-), silicate (SiO2), and phosphate (PO43-)) parameters. In this region, the presence and distribution of water masses are conditioned by the dynamics and variability associated with continental discharge, the Brazil Current, and local hydrodynamics. The spatial-temporal distribution of nutrient concentrations was strongly related to the distribution of water masses and the processes related to regeneration, coastal upwelling, erosion of the upper thermocline, and cyclonic eddy presence. As a result, on the continental shelf, the highest concentrations of SiO2 and dissolved O-2 occurred in the water column portion occupied by CW and TW, whereas NO3- was associated with SACW. Offshore, the highest nutrient concentrations (SiO2, NO3-, and PO43-) were related to intermediate water masses (AAIW and UCDW). Furthermore, the highest concentrations of dissolved O-2 were associated with TW and AAIW as a result of ocean-atmosphere interactions and formation processes.</t>
  </si>
  <si>
    <t>[Perassoli, Fernanda; Ghisolfi, Renato David] Univ Fed Espirito Santo, Av Fernando Ferrari 514, Vitoria, ES, Brazil; [Lemos, Angelo Teixeira] Fed Univ Southern Bahia, BR 367 Km 10, Porto Seguro, BA, Brazil</t>
  </si>
  <si>
    <t>Universidade Federal do Espirito Santo</t>
  </si>
  <si>
    <t>Perassoli, F (corresponding author), Univ Fed Espirito Santo, Av Fernando Ferrari 514, Vitoria, ES, Brazil.</t>
  </si>
  <si>
    <t>fernandaperassoli@hotmail.com; renato.ghisolfi@ufes.br; angelolemos@csc.ufsb.edu.br</t>
  </si>
  <si>
    <t>Brazilian Navy; MCTI; agency CAPES (Coordenacao de Aperfeicoamento de Pessoal de Nivel Superior)</t>
  </si>
  <si>
    <t>The authors thank the Brazilian Navy and MCTI for providing the structure and funding for data collection. The authors would like to thank the research funding agency CAPES (Coordenacao de Aperfeicoamento de Pessoal de Nivel Superior) for the master's scholarship and Fernanda Vedoato and Guilherme Nogueira Mill for their help and support during this period. We would like to thank the anonymous reviewers for their thoughtful comments and suggestions.</t>
  </si>
  <si>
    <t>10.1016/j.jmarsys.2020.103425</t>
  </si>
  <si>
    <t>WOS:000582806700004</t>
  </si>
  <si>
    <t>Salmon, E; Hofmann, EE; Dinniman, MS; Smith, WO</t>
  </si>
  <si>
    <t>Salmon, Elodie; Hofmann, Eileen E.; Dinniman, Michael S.; Smith, Walker O., Jr.</t>
  </si>
  <si>
    <t>Evaluation of iron sources in the Ross Sea</t>
  </si>
  <si>
    <t>Ross Sea; Dissolved iron sources; Biogeochemical model; Phytoplankton blooms; Phaeocystis antarctica</t>
  </si>
  <si>
    <t>SOUTHERN-OCEAN PHYTOPLANKTON; CIRCUMPOLAR DEEP-WATER; MELTING GLACIERS FUELS; PHAEOCYSTIS-ANTARCTICA; COMMUNITY STRUCTURE; DISSOLVED IRON; BLOOMS; VARIABILITY; DISTRIBUTIONS; PRODUCTIVITY</t>
  </si>
  <si>
    <t>A one-dimensional numerical model that includes the complex life cycle of Phaeocystis antarctica, diatom growth, dissolved iron (dFe) and irradiance controls, and the taxa's response to changes in these variables is used to evaluate the role of different iron sources in supporting phytoplankton blooms in the Ross Sea. Simulations indicate that sea ice melt accounts for 20% of total dFe inputs during low light conditions early in the growing season (late November-early December), which enhances blooms of P. antarctica in early spring. Advective inputs of dFe (60% of total inputs) maintain the P. antarctica bloom through early January and support a diatom bloom later in the growing season (early to mid-January). In localized regions near banks shallower than 450 m, suspension of iron-rich sediments and entrainment into the upper layers contributes dFe that supports blooms. Seasonal dFe budgets constructed from the simulations show that diatom-associated dFe accounts for the largest biological reservoir of dFe. Sensitivity studies show that surface input of dFe from sea ice melt, a transient event early in the growing season, sets up the phytoplankton sequencing and bloom magnitude, suggesting that the productivity of the Ross Sea system is vulnerable to changes in the extent and magnitude of sea ice.</t>
  </si>
  <si>
    <t>[Salmon, Elodie; Hofmann, Eileen E.; Dinniman, Michael S.] Old Dominion Univ, Ctr Coastal Phys Oceanog, 4111 Monarch Way, Norfolk, VA 23508 USA; [Salmon, Elodie] Univ Orleans, CNES UMR 7328, CNRS, Lab Phys &amp; Chim Environm &amp; Espace, 3A Ave Rech Sci, F-45071 Orleans 2, France; [Smith, Walker O., Jr.] William &amp; Mary, Virginia Inst Marine Sci, Gloucester Point, VA 23062 USA; [Smith, Walker O., Jr.] Shanghai Jiao Tong Univ, Sch Oceanog, 1954 Huashan Rd, Shanghai 2000230, Peoples R China</t>
  </si>
  <si>
    <t>Old Dominion University; Universite de Orleans; Centre National de la Recherche Scientifique (CNRS); William &amp; Mary; Virginia Institute of Marine Science; Shanghai Jiao Tong University</t>
  </si>
  <si>
    <t>Salmon, E (corresponding author), Univ Orleans, CNES UMR 7328, CNRS, Lab Phys &amp; Chim Environm &amp; Espace, 3A Ave Rech Sci, F-45071 Orleans 2, France.</t>
  </si>
  <si>
    <t>elodie.salmon@cnrs-orleans.fr; hofmann@ccpo.odu.edu; msd@ccpo.odu.edu; wos@vims.edu</t>
  </si>
  <si>
    <t>Salmon, Elodie/AHB-4088-2022</t>
  </si>
  <si>
    <t>Salmon, Elodie/0000-0001-5066-4591; Dinniman, Michael/0000-0001-7519-9278</t>
  </si>
  <si>
    <t>NSF Antarctic Sciences grant [ANT-0944174, ANT0944254]; NSF Office of Polar Programs [OPP-1643652]</t>
  </si>
  <si>
    <t>NSF Antarctic Sciences grant; NSF Office of Polar Programs(National Science Foundation (NSF))</t>
  </si>
  <si>
    <t>This study is a contribution to the Processes Regulating Iron Supply at the Mesoscale-Ross Sea (PRISM) project, which was supported by NSF Antarctic Sciences grant numbers ANT-0944174 and ANT0944254, and NSF Office of Polar Programs grant OPP-1643652. We thank an anonymous reviewer for helpful and insightful comments that substantially improved an earlier version of the manuscript. We also thank Dr. A. Piola for editorial assistance in review of this manuscript.</t>
  </si>
  <si>
    <t>10.1016/j.jmarsys.2020.103429</t>
  </si>
  <si>
    <t>WOS:000582806700008</t>
  </si>
  <si>
    <t>Yin, ZC; Li, YY; Cao, BF</t>
  </si>
  <si>
    <t>Yin, Zhicong; Li, Yuyan; Cao, Bufan</t>
  </si>
  <si>
    <t>Seasonal prediction of surface O3 -related meteorological conditions in summer in North China</t>
  </si>
  <si>
    <t>Ozone pollution; Prediction; Sea ice; Climate Forecast System; Antarctic oscillation</t>
  </si>
  <si>
    <t>OZONE POLLUTION; SEA-ICE; INTERANNUAL VARIATIONS; CLIMATE; VARIABILITY; SENSITIVITY; FREQUENCY; RAINFALL; MONSOON; IMPACTS</t>
  </si>
  <si>
    <t>Ground-level ozone concentrations have evidently increased, and surface O-3 pollution has become one of the major air pollutions in the summer in North China. Climate factors could modulate the O-3 concentrations in summer. The surface O-3 -related meteorological conditions in the summer in North China were predicted in this study. Based on the annual increment approach, five observed preceding predictors were used to establish the perdiction models whose performance significantly exceeded the Climate Forecast System. After adding the signals from the climate prediction model, the percentage of the same sign increased to 93.9%, and the bias of the independent tests in 2017 and 2018 were negligible for the climate anomalies. The linear correlation coefficient between the observed and simulated values was 0.84 (P &lt; .01). It is notable that the hybrid prediction models visibly performed better in the recent decade than in previous decades, which played important roles and provided potentials to execute real-time seasonal predictions. This prediction model could allow the government to forecast summer O-3 pollution conditions in advance and consequently determine whether extra emission reductions are required to counteract the climate effects.</t>
  </si>
  <si>
    <t>[Yin, Zhicong; Li, Yuyan; Cao, Bufan] Nanjing Univ Informat Sci &amp; Technol, Collaborat Innovat Ctr Forecast &amp; Evaluat Meteoro, Joint Int Res Lab Climate &amp; Environm Change ILCEC, Minist Educ,Key Lab Meteorol Disaster, Nanjing 210044, Peoples R China; [Yin, Zhicong] Southern Marine Sci &amp; Engn Guangdong Lab Zhuhai, Zhuhai, Peoples R China; [Yin, Zhicong] Chinese Acad Sci, Inst Atmospher Phys, Nansen Zhu Int Res Ctr, Beijing, Peoples R China</t>
  </si>
  <si>
    <t>Nanjing University of Information Science &amp; Technology; Southern Marine Science &amp; Engineering Guangdong Laboratory; Southern Marine Science &amp; Engineering Guangdong Laboratory (Zhuhai); Chinese Academy of Sciences; Institute of Atmospheric Physics, CAS</t>
  </si>
  <si>
    <t>Yin, ZC (corresponding author), Nanjing Univ Informat Sci &amp; Technol, 219 Ningliu Rd, Nanjing 210044, Peoples R China.</t>
  </si>
  <si>
    <t>yinzhc@163.com</t>
  </si>
  <si>
    <t>National Key Research and Development Plan [2016YFA0600703]; National Natural Science Foundation of China [91744311, 41705058, 41991283]; Jiangsu innovation &amp; entrepreneurship team</t>
  </si>
  <si>
    <t>National Key Research and Development Plan; National Natural Science Foundation of China(National Natural Science Foundation of China (NSFC)); Jiangsu innovation &amp; entrepreneurship team</t>
  </si>
  <si>
    <t>The National Key Research and Development Plan (2016YFA0600703), National Natural Science Foundation of China (91744311, 41705058 and 41991283), and the funding of Jiangsu innovation &amp; entrepreneurship team supported this research.</t>
  </si>
  <si>
    <t>10.1016/j.atmosres.2020.105110</t>
  </si>
  <si>
    <t>OG4GW</t>
  </si>
  <si>
    <t>WOS:000581845700009</t>
  </si>
  <si>
    <t>Knutson, VL; Brenzinger, B; Schrödl, M; Wilson, NG; Giribet, G</t>
  </si>
  <si>
    <t>Knutson, Vanessa L.; Brenzinger, Bastian; Schroedl, Michael; Wilson, Nerida G.; Giribet, Gonzalo</t>
  </si>
  <si>
    <t>Most Cephalaspidea have a shell, but transcriptomes can provide them with a backbone (Gastropoda: Heterobranchia)</t>
  </si>
  <si>
    <t>MOLECULAR PHYLOGENETICS AND EVOLUTION</t>
  </si>
  <si>
    <t>Phylogeny; Phylogenomics; Molecular systematics; Sea slug; Bubble snail</t>
  </si>
  <si>
    <t>EVOLUTIONARY RELATIONSHIPS; MOLECULAR PHYLOGENY; CD-HIT; OPISTHOBRANCHIA; AGLAJIDAE; GENUS; GENERATION; MOLLUSCA; FAMILY; RECONSTRUCTION</t>
  </si>
  <si>
    <t>Cephalaspidea is an order of marine gastropods found worldwide, often in sandy or muddy habitats, which has a convoluted taxonomic history based on convergent or ill-defined morphological characters. The cephalaspidean shell-which can be external and robust, internal, or altogether absent in the adult-is of particular interest in this group, and a well-resolved phylogeny can give us greater insight into the evolution of this character. Molecular data have clarified many relationships within Cephalaspidea, but studies involving few Sanger sequenced phylogenetic markers remain limited in the resolution they provide. Here we take a phylogenomic approach, the first to address internal cephalaspidean relationships, sequencing and assembling transcriptomes de novo from 22 ingroup taxa-representing the five currently accepted superfamilies, 10 of the 21 currently recognized families, and 21 genera-and analyzing these along with publicly available data. We generated two main datasets varying by a minimum taxon occupancy threshold (50% and 75%), and analyzed these using maximum likelihood, Bayesian inference and a coalescence-based method. We find a consistent, well-supported topology, with full support across most nodes including at the family and genus level, which also appears to be robust to the effect of compositional heterogeneity among amino acids in the dataset. Our analyses find Newnesioidea as the sister group to the rest of Cephalaspidea. Within the rest of the order, Philinoidea is the sister group to a Glade that comprises (Bulloidea (Haminoeoidea, Cylichnoidea)). There is strong support for several previously suggested, but tenuously supported relationships such as the genus Odontoglaja nesting within the family Aglajidae, and a sister group relationship between Gastropteridae and Colpodaspididae, with Philinoglossidae as their sister group. We discuss these results and their implications in the context of current cephalaspidean taxonomy and evolution. Genomic-scale data give a backbone to this group of snails and slugs, and hold promise for a completely resolved Cephalaspidea.</t>
  </si>
  <si>
    <t>[Knutson, Vanessa L.; Giribet, Gonzalo] Harvard Univ, Museum Comparat Zool, 26 Oxford St, Cambridge, MA 02138 USA; [Knutson, Vanessa L.; Giribet, Gonzalo] Harvard Univ, Dept Organism &amp; Evolutionary Biol, 26 Oxford St, Cambridge, MA 02138 USA; [Brenzinger, Bastian; Schroedl, Michael] SNSB Zool Staatssammlung Munchen, Munchhausenstr 21, D-81247 Munich, Germany; [Schroedl, Michael] Ludwig Maximilians Univ Munchen, Dept Biol 2, D-82152 Munich, Germany; [Schroedl, Michael] GeoBio Ctr LMU, D-80333 Munich, Germany; [Wilson, Nerida G.] Western Australian Museum, Collect &amp; Res, 49 Kew St, Welshpool, WA 6106, Australia; [Wilson, Nerida G.] Univ Western Australia, 35 Stirling Highway, Crawley, WA 6009, Australia</t>
  </si>
  <si>
    <t>Harvard University; Harvard University; University of Munich; University of Munich; Western Australian Museum; University of Western Australia</t>
  </si>
  <si>
    <t>Knutson, VL (corresponding author), Harvard Univ, Museum Comparat Zool, 26 Oxford St, Cambridge, MA 02138 USA.;Knutson, VL (corresponding author), Harvard Univ, Dept Organism &amp; Evolutionary Biol, 26 Oxford St, Cambridge, MA 02138 USA.</t>
  </si>
  <si>
    <t>vknutson@g.harvard.edu</t>
  </si>
  <si>
    <t>Wilson, Nerida/G-8433-2011</t>
  </si>
  <si>
    <t>Wilson, Nerida/0000-0002-0784-0200; Knutson, Vanessa/0000-0001-9415-1384; Brenzinger, Bastian/0000-0003-3650-190X</t>
  </si>
  <si>
    <t>US National Science Foundation (NSF) GRFP; Harvard Department of Organismic and Evolutionary Biology; Museum of Comparative Zoology; Committee on Australian Studies at Harvard University; Putnam Expedition Grant from the Museum of Comparative Zoology; Deutsche Forschungsgemeinschaft (Germany) [DFG 5727/1-1]; NSF [ANT1043749]</t>
  </si>
  <si>
    <t>US National Science Foundation (NSF) GRFP(National Science Foundation (NSF)); Harvard Department of Organismic and Evolutionary Biology; Museum of Comparative Zoology; Committee on Australian Studies at Harvard University; Putnam Expedition Grant from the Museum of Comparative Zoology; Deutsche Forschungsgemeinschaft (Germany)(German Research Foundation (DFG)); NSF(National Science Foundation (NSF))</t>
  </si>
  <si>
    <t>V.L.K. was provided graduate student support by the US National Science Foundation (NSF) GRFP and Harvard Department of Organismic and Evolutionary Biology. Laboratory work has been supported by internal funds from the Museum of Comparative Zoology. Fieldwork was supported by the Committee on Australian Studies at Harvard University (V.L.K.), a Putnam Expedition Grant from the Museum of Comparative Zoology (V.L.K. and G.G.), a Deutsche Forschungsgemeinschaft (Germany) grant DFG 5727/1-1 to B.B., and antarctic fieldwork was supported by the NSF through grant ANT1043749 to N.G.W.</t>
  </si>
  <si>
    <t>1055-7903</t>
  </si>
  <si>
    <t>1095-9513</t>
  </si>
  <si>
    <t>MOL PHYLOGENET EVOL</t>
  </si>
  <si>
    <t>Mol. Phylogenet. Evol.</t>
  </si>
  <si>
    <t>10.1016/j.ympev.2020.106943</t>
  </si>
  <si>
    <t>Biochemistry &amp; Molecular Biology; Evolutionary Biology; Genetics &amp; Heredity</t>
  </si>
  <si>
    <t>OC4VZ</t>
  </si>
  <si>
    <t>WOS:000579157200004</t>
  </si>
  <si>
    <t>Gao, Y; Zheng, HY; Xia, YY; Cai, MH</t>
  </si>
  <si>
    <t>Gao, Yuan; Zheng, Hongyuan; Xia, Yinyue; Cai, Minghong</t>
  </si>
  <si>
    <t>Global scale distribution, seasonal changes and long-range transport potentiality of endosulfan in the surface seawater and air</t>
  </si>
  <si>
    <t>Endosulfan; Global distribution; Weak air-sea exchange; Ocean current loads; Atmospheric sources</t>
  </si>
  <si>
    <t>PERSISTENT ORGANIC POLLUTANTS; HENRYS LAW CONSTANTS; ORGANOCHLORINE PESTICIDES; POLYCHLORINATED-BIPHENYLS; ALPHA-ENDOSULFAN; GAS-EXCHANGE; ARCTIC-OCEAN; ATMOSPHERIC CONCENTRATIONS; ORGANOHALOGEN PESTICIDES; SPATIAL-DISTRIBUTION</t>
  </si>
  <si>
    <t>Endosulfan I, II, and sulfate were detected in the atmosphere and surface seawater on a global scale during three Chinese National Arctic-Antarctic Research Expeditions in 2016 and 2017. Concentrations of the three species displayed seasonal variations in seawater in the Northern Hemisphere but remained steadily low on Antarctic coasts. Endosulfan sulfate was predominant in the Northern Hemisphere, whereas isomer I was more abundant in the Southern Hemisphere. Endosulfan was detected in the atmosphere over the western Pacific Ocean but rarely in the central Arctic and North Atlantic oceans. Its concentration in seawater increased with increasing latitude in the Southern Ocean. Although fugacity ratios indicate a strong potential for deposition of endosulfan, air-seawater exchange may be slow, as suggested by the large differences between atmospheric and seawater concentrations. Ocean current endosulfan loads varied markedly between seasons. Three-day backward trajectories indicate that Northeast Asia is the major source of atmospheric endosulfan in the western Pacific Ocean, whereas the central Arctic and North Atlantic oceans are affected more by local air masses. (C) 2020 Elsevier Ltd. All rights reserved.</t>
  </si>
  <si>
    <t>[Gao, Yuan; Zheng, Hongyuan; Xia, Yinyue; Cai, Minghong] Minist Nat Resources Peoples Republ China, Polar Res Inst China, Key Lab Polar Sci, Shanghai 200136, Peoples R China; [Zheng, Hongyuan] Tongji Univ, Coll Environm Sci &amp; Engn, Shanghai 200092, Peoples R China</t>
  </si>
  <si>
    <t>Ministry of Natural Resources of the People's Republic of China; Polar Research Institute of China; Tongji University</t>
  </si>
  <si>
    <t>Cai, MH (corresponding author), Minist Nat Resources Peoples Republ China, Polar Res Inst China, Key Lab Polar Sci, Shanghai 200136, Peoples R China.</t>
  </si>
  <si>
    <t>caiminghong@pric.org.cn</t>
  </si>
  <si>
    <t>ZHENG, HONGYUAN/ABF-9513-2020</t>
  </si>
  <si>
    <t>ZHENG, HONGYUAN/0000-0002-0225-3883</t>
  </si>
  <si>
    <t>National Natural Science Foundation of China [41776202]</t>
  </si>
  <si>
    <t>The authors would like to express our sincere gratitude to all the members of the 7th, 33rd and 8th Chinese National Arctic Research Expeditions for the access to R/V Xuelong and for their great support during the in situ sampling collection. This workwas funded by the National Natural Science Foundation of China (No. 41776202).</t>
  </si>
  <si>
    <t>10.1016/j.chemosphere.2020.127634</t>
  </si>
  <si>
    <t>NW7KB</t>
  </si>
  <si>
    <t>WOS:000575197000100</t>
  </si>
  <si>
    <t>Kobusinska, ME; Lewandowski, KK; Panasiuk, A; Leczynski, L; Urbaniak, M; Ossowski, T; Niemirycz, E</t>
  </si>
  <si>
    <t>Kobusinska, Marta Ewelina; Lewandowski, Krzysztof Konrad; Panasiuk, Anna; Leczynski, Leszek; Urbaniak, Magdalena; Ossowski, Tadeusz; Niemirycz, Elzbieta</t>
  </si>
  <si>
    <t>Precursors of polychlorinated dibenzo-p-dioxins and dibenzofurans in Arctic and Antarctic marine sediments: Environmental concern in the face of climate change</t>
  </si>
  <si>
    <t>Pentachlorophenol; Triclosan; Dioxins; ELISA; Glacier retreat; Polar regions</t>
  </si>
  <si>
    <t>PERSISTENT ORGANIC POLLUTANTS; LINKED-IMMUNOSORBENT-ASSAY; TEMPORAL TRENDS; GLACIER RETREAT; MASS-BALANCE; TRICLOSAN; SOIL; AIR; DEPOSITION; PENINSULA</t>
  </si>
  <si>
    <t>Polychlorinated dibenzo-p-dioxins, dibenzofurans (PCDD/F) and their precursors - pentachlorophenol (PCP) and triclosan (TCS), constitute a group of persistent, highly toxic multimedia pollutants, being easily transported via atmosphere over long distances, thus particularly threatening to the polar areas. The global fate of PCDD/Fs is temperature-dependent, and their transfer and immobilization at the Poles are described by the grasshopper effect and the cold trap phenomenon. The aim of this interdisciplinary study was to perform a preliminary assessment of the present state of pollution of Arctic and Antarctic marine sediments by PCP and TCS along with determination of PCDD/Fs contamination by immunoassay. Sediments from 20 stations were collected during two polar expeditions (2013-2016). The study area covered Hornsund Fjord and the southwest coast of Wedel-Jarlsberg Land (Arctic) - Skodde Bay, Nottingham Bay, Isbjornhamna Bay and Admiralty Bay (Antarctica) - Suszczewski Cove, Halfmoon Cove and Herve Cove. The studied contaminants were quantified in 60% of the collected sediments, with almost half exceeding the environmentally safe levels according European regulations and worldwide literature. The determined levels of PCP, TCS and PCDD/F in Arctic and Antarctic sediments were to be comparable to those reported in the southern Baltic Sea located in the intense industrialized mid-latitudes. Maximum concentrations were observed in the vicinity of retreating, marine terminating glaciers. This observation confirms reemission of POPs into the global cycle with respect to the worldwide ocean warming. The results of this study should gain attention of the international and regional environmental agencies as well as the main chlorine production decision makers. (C) 2020 Elsevier Ltd. All rights reserved.</t>
  </si>
  <si>
    <t>[Kobusinska, Marta Ewelina; Lewandowski, Krzysztof Konrad; Ossowski, Tadeusz; Niemirycz, Elzbieta] Univ Gdansk, Fac Chem, Dept Analyt Chem, Ul Wita Stwosza 63, PL-80308 Gdansk, Poland; [Panasiuk, Anna] Univ Gdansk, Fac Oceanog &amp; Geog, Dept Marine Plankton Res, Al Pilsudskiego 46, PL-81378 Gdynia, Poland; [Leczynski, Leszek] Univ Gdansk, Fac Oceanog &amp; Geog, Dept Marine Geol, Al Pilsudskiego 46, PL-81378 Gdynia, Poland; [Urbaniak, Magdalena] Polish Acad Sci, European Reg Ctr Ecohydrol, Tylna 3, PL-90364 Lodz, Poland; [Urbaniak, Magdalena] Univ Lodz, UNESCO Chair Ecohydrol &amp; Appl Ecol, Lodz, Poland</t>
  </si>
  <si>
    <t>Fahrenheit Universities; University of Gdansk; Fahrenheit Universities; University of Gdansk; Fahrenheit Universities; University of Gdansk; Polish Academy of Sciences; European Regional Centre for Ecohydrology of the Polish Academy of Sciences; University of Lodz</t>
  </si>
  <si>
    <t>Niemirycz, E (corresponding author), Univ Gdansk, Ul Wita Stwosza 63, PL-80308 Gdansk, Poland.</t>
  </si>
  <si>
    <t>elzbieta.niemirycz@ug.edu.pl</t>
  </si>
  <si>
    <t>Panasiuk, Anna/HDO-1195-2022</t>
  </si>
  <si>
    <t>Panasiuk, Anna/0000-0002-1008-2922; Urbaniak, Magdalena/0000-0001-5118-4530; Ossowski, Tadeusz/0000-0002-0468-0133</t>
  </si>
  <si>
    <t>National Science Centre [2016/23/N/ST10/01376]</t>
  </si>
  <si>
    <t>National Science Centre(National Science Centre, Poland)</t>
  </si>
  <si>
    <t>The research was funded by the National Science Centre grant No. 2016/23/N/ST10/01376.</t>
  </si>
  <si>
    <t>10.1016/j.chemosphere.2020.127605</t>
  </si>
  <si>
    <t>WOS:000575197000078</t>
  </si>
  <si>
    <t>Williams, M; Hernandez-Jover, M; Shamsi, S</t>
  </si>
  <si>
    <t>Williams, Michelle; Hernandez-Jover, Marta; Shamsi, Shokoofeh</t>
  </si>
  <si>
    <t>Fish substitutions which may increase human health risks from zoonotic seafood borne parasites: A review</t>
  </si>
  <si>
    <t>FOOD CONTROL</t>
  </si>
  <si>
    <t>Fish-mislabelling; Zoonotic parasites/trematode; Seafood supply chain; Metacercaria; Anisakid</t>
  </si>
  <si>
    <t>TOOTHFISH DISSOSTICHUS-ELEGINOIDES; FLOUNDER PARALICHTHYS-OLIVACEUS; COD GADUS-MORHUA; ANISAKIS-SIMPLEX; PATAGONIAN TOOTHFISH; MOLECULAR CHARACTERIZATION; KUDOA-SEPTEMPUNCTATA; MARINE FISH; NEMATODA ANISAKIDAE; METAZOAN PARASITES</t>
  </si>
  <si>
    <t>In recent times, broad scale fish substitution has been identified globally. Life threatening or serious human health concerns identified in published literature associated with this type of food fraud are consumption of toxins, highly allergenic species, or contaminates which may be present in substituted fish. However, zoonotic parasites as a risk to human health in substituted fish has not been considered. This review aimed to aggregate cases of fish substitution described in published literature and discuss descriptively the potential of substituted fish to be a greater zoonotic parasite human health risk than fish in the labelled product. A literature search was conducted for cases of fish substitution from 2000 to May 2019. In 55 publications, 9450 samples of Sold as fish were identified substituted with a different fish species. Descriptive discussion of human health threats posed by fish-borne zoonotic parasites considered fish preparation/parasite fauna of Sold as compared to Identified as species. Fish pairings which may be a human health risk (Sold as: Identified as: zoonotic parasite) were, Sablefish: Patagonian toothfish (N = 7704)/Antarctic toothfish (N = 154): Anisakis simplex; Generic halibut: Generic flounder (N = 38) and Olive flounder (N = 15) respectively: Kudoa spp.; seven salt water fish species: Striped catfish (N = 16): zoonotic trematodes; seven and two salt water species: Nile tilapia (N = 25) and Generic tilapia (N = 20), respectively: Gnathostoma spp. zoonotic trematodes, Cryptosporidium parvum and oothriocephalus latus (syn. Diphyllobothrium latum). Fish substitution was identified in commercial sectors (sector: mislabelled sample number), online vendors: 7854; Retail: 411; Restaurants: 316; Wholesale: 92; Market/restaurant/grocery: 69; Grocery: 68; Sushi restaurants: 68 and Retail/sushi bars/non-sushi restaurants: 67. In conclusion, review of the literature showed varying amounts of fish substitution in all publications. Substituted fish included species vulnerable to infection with a zoonotic parasite not commonly found in the fish which it substituted for. Zoonotic fish borne parasites in substituted fish may pose a human health risk and testing for fish authenticity may be advisable. In addition, medical professionals should be made aware, in cases of fish borne human illness where parasitism is considered, clinical presentation may not match the parasite profile of the fish the consumer is believed to have consumed.</t>
  </si>
  <si>
    <t>[Williams, Michelle; Hernandez-Jover, Marta; Shamsi, Shokoofeh] Charles Sturt Univ, Sch Anim &amp; Vet Sci, Wagga Wagga, NSW 2650, Australia; [Williams, Michelle; Hernandez-Jover, Marta; Shamsi, Shokoofeh] Charles Sturt Univ, Graham Ctr Agr Innovat, Wagga Wagga, NSW 2650, Australia</t>
  </si>
  <si>
    <t>Charles Sturt University; Charles Sturt University</t>
  </si>
  <si>
    <t>Williams, M; Shamsi, S (corresponding author), Charles Sturt Univ, Sch Anim &amp; Vet Sci, Wagga Wagga, NSW 2650, Australia.</t>
  </si>
  <si>
    <t>miwilliams@csu.edu.au; sshamsi@csu.edu.au</t>
  </si>
  <si>
    <t>Hernandez-Jover, Marta/F-8688-2016; Shamsi, Shokoofeh/C-8159-2009</t>
  </si>
  <si>
    <t>Shamsi, Shokoofeh/0000-0002-8606-6400</t>
  </si>
  <si>
    <t>Australian Research Training Program Scholarship through Charles Sturt University</t>
  </si>
  <si>
    <t>Michelle Williams is the grateful recipient of the PhD scholarship from Australian Research Training Program Scholarship through Charles Sturt University. All authors would like to acknowledge the support of Craig Poynter of the Spatial Data Analysis Network (SPAN) at Charles Sturt University for analysis of spatial data and creation of fish distribution maps.</t>
  </si>
  <si>
    <t>0956-7135</t>
  </si>
  <si>
    <t>1873-7129</t>
  </si>
  <si>
    <t>Food Control</t>
  </si>
  <si>
    <t>10.1016/j.foodcont.2020.107429</t>
  </si>
  <si>
    <t>NG9OG</t>
  </si>
  <si>
    <t>WOS:000564310600002</t>
  </si>
  <si>
    <t>Amer Fisheries Soc AFS; Amer Inst Fishery Res Biologists; Amer Soc Ichthyologists; Amer Water Resources Association; Asian Fisheries Soc; Asociacian Oceanlogos Mexico AC; Romanian Limnogeographical Assoc; French Limnological Assoc; Assoc Italiana Oceanologia; Australian Coral Reef Soc; Australian Freshwater Sci Soc; Australian Marine Sci Assoc; Australian Meteorological; Australian Soc Fish Biol; BirdLife Australia; Blue Ventures; Brazilian Soc Ichthyology; British Phycological Soc; Canadian Aquatic Resources Sect; Canadian Ctr Evidence-Based; Canadian Conference Fisheries Res; Canadian Soc Zoologists; Coastal Estuarine Res Federation; Coastal Res Educ Soc Long Isl; Coastal Soc; Community Arran Seabed Trust; Conchological Soc Great Britain; Croatian Assoc Freshwater; Czech Limnological Soc; Deep Ocean Stewardship Initiative; Desert Fishes Council; EFYR European Fresh Young; European Federation Freshwater Sci; Finnish Limnological Soc; Fisheries Soc British Isles; Freshwater Biological Assoc; Freshwater Fisheries Soc BC; Freshwater Mollusk Conservation; German Ichthyological Soc; German Limnological Soc DGL; Gilbert Ichthyological Soc; Hungarian Hydrological Soc; Hydroecological Soc Ukraine; Hydrographic Soc Amer; Hydrozoan Soc; Iberian Assoc Limnol; Ichthyological Soc Ukraine; Inst Fisheries Management; Int Assoc Danube Res; Int Assoc Great Lakes Res IAGLR; Int Assoc Aquatic Marine Sci Lib; Int Coral Reef Soc; Int Federation Hydrographic Soc; Int Peatland Soc International; Int Seaweed Assoc; Int Soc Limnology; Int Water Hist Assoc; Irish Freshwater Sci Assoc; Japanese Soc Fisheries Sci; Lake Victoria Fisheries Assoc; Limnological Soc Turkey; Living Oceans Soc; Macrolatinos Network; Malacological Soc London; Marine Oceanographic Technology; Marine Biological Assoc India; Marine Biological Assoc United; Marine Stewardship Council; Natl Assoc Marine Lab NAML; Netherlands Malacological Soc; New Zealand Freshwater Sci Soc; North Amer Lake Management Soc; Oceania Chondrichthyan Soc; Ocean Conservation Soc; Philippine Assoc Marine Sci; Phycological Soc Amer; Polish Limnological Soc; Romanian Ecological Soc; Sci Comm Antarctic Res; Serbian Water Pollution Control; SIL Austria; Slovak Ichthyological Soc; Slovak Limnological Soc; Soc Chilena Limnologia; Soc Cient Mexicana Ecologfa AC; Soc Iberica Ictiologia; Soc Ictiologica Mexicana; Soc Mexicana Planctologia AC; Mexican Soc Study Harmful Algal; Soc Brasileira Carcinologia; Soc Francaise Ichtyologie; Soc Conservation Biology Marine; Soc Freshwater Sci; Soc Marine Mammalogy; Soc Study Amphibians Reptiles; Soc Canadian Limnologists; Soc Wetland Scientists Southern; Spanish Malacological Soc; Swiss Hydrological Limnological; Vietnam Fisheries Soc VINAFIS; Western Indian Ocean Marine Sci; Wild Oceans; World Aquaculture Soc; World Council Fisheries Soc; World Sturgeon Conservation Soc; Zoological Soc Pakistan</t>
  </si>
  <si>
    <t>Statement of World Aquatic Scientific Societies on the Need to Take Urgent Action against Human-Caused Climate Change, Based on Scientific Evidence</t>
  </si>
  <si>
    <t>CYBIUM</t>
  </si>
  <si>
    <t>SOC FRANCAISE D ICHTYOLOGIE</t>
  </si>
  <si>
    <t>MUSEUM NATL D HISTOIRE NATURELLE, 43 RUE CUVIER, 75231 PARIS, FRANCE</t>
  </si>
  <si>
    <t>0399-0974</t>
  </si>
  <si>
    <t>Cybium</t>
  </si>
  <si>
    <t>NOV 30</t>
  </si>
  <si>
    <t>10.26028/cybium/2020-444-007</t>
  </si>
  <si>
    <t>PZ1BJ</t>
  </si>
  <si>
    <t>WOS:000612473900007</t>
  </si>
  <si>
    <t>Obst, M; Exter, K; Allcock, AL; Arvanitidis, C; Axberg, A; Bustamante, M; Cancio, I; Carreira-Flores, D; Chatzinikolaou, E; Chatzigeorgiou, G; Chrismas, N; Clark, MS; Comtet, T; Dailianis, T; Davies, N; Deneudt, K; de Cerio, OD; Fortic, A; Gerovasileiou, V; Hablutzel, PI; Keklikoglou, K; Kotoulas, G; Lasota, R; Leite, BR; Loisel, S; Lévêque, L; Levy, L; Malachowicz, M; Mavric, B; Meyer, C; Mortelmans, J; Norkko, J; Pade, N; Power, AM; Ramsak, A; Reiss, H; Solbakken, J; Stoehr, PA; Sundberg, P; Thyrring, J; Troncoso, JS; Viard, F; Wenne, R; Yperifanou, EL; Zbawicka, M; Pavloudi, C</t>
  </si>
  <si>
    <t>Obst, Matthias; Exter, Katrina; Allcock, A. Louise; Arvanitidis, Christos; Axberg, Alizz; Bustamante, Maria; Cancio, Ibon; Carreira-Flores, Diego; Chatzinikolaou, Eva; Chatzigeorgiou, Giorgos; Chrismas, Nathan; Clark, Melody S.; Comtet, Thierry; Dailianis, Thanos; Davies, Neil; Deneudt, Klaas; de Cerio, Oihane Diaz; Fortic, Ana; Gerovasileiou, Vasilis; Hablutzel, Pascal, I; Keklikoglou, Kleoniki; Kotoulas, Georgios; Lasota, Rafal; Leite, Barbara R.; Loisel, Stephane; Leveque, Laurent; Levy, Liraz; Malachowicz, Magdalena; Mavria, Borut; Meyer, Christopher; Mortelmans, Jonas; Norkko, Joanna; Pade, Nicolas; Power, Anne Marie; Ramsak, Andreja; Reiss, Henning; Solbakken, Jostein; Stoehr, Peter A.; Sundberg, Per; Thyrring, Jakob; Troncoso, Jesus S.; Viard, Frederique; Wenne, Roman; Yperifanou, Eleni Loanna; Zbawicka, Malgorzata; Pavloudi, Christina</t>
  </si>
  <si>
    <t>A Marine Biodiversity Observation Network for Genetic Monitoring of Hard-Bottom Communities (ARMS-MBON)</t>
  </si>
  <si>
    <t>benthic invertebrates; Marine Strategy Framework Directive (MSFD); Essential Biodiversity Variables (EBVs); Essential Ocean Variables (EOVs); European Marine Biological Resource Centre (EMBRC); non-indigenous species (NIS); Genomic Observatories; marine biodiversity assessment</t>
  </si>
  <si>
    <t>SAMPLES</t>
  </si>
  <si>
    <t>Marine hard-bottom communities are undergoing severe change under the influence of multiple drivers, notably climate change, extraction of natural resources, pollution and eutrophication, habitat degradation, and invasive species. Monitoring marine biodiversity in such habitats is, however, challenging as it typically involves expensive, non-standardized, and often destructive sampling methods that limit its scalability. Differences in monitoring approaches furthermore hinders inter-comparison among monitoring programs. Here, we announce a Marine Biodiversity Observation Network (MBON) consisting of Autonomous Reef Monitoring Structures (ARMS) with the aim to assess the status and changes in benthic fauna with genomic-based methods, notably DNA metabarcoding, in combination with image-based identifications. This article presents the results of a 30-month pilot phase in which we established an operational and geographically expansive ARMS-MBON. The network currently consists of 20 observatories distributed across European coastal waters and the polar regions, in which 134 ARMS have been deployed to date. Sampling takes place annually, either as short-term deployments during the summer or as long-term deployments starting in spring. The pilot phase was used to establish a common set of standards for field sampling, genetic analysis, data management, and legal compliance, which are presented here. We also tested the potential of ARMS for combining genetic and image-based identification methods in comparative studies of benthic diversity, as well as for detecting non-indigenous species. Results show that ARMS are suitable for monitoring hard-bottom environments as they provide genetic data that can be continuously enriched, re-analyzed, and integrated with conventional data to document benthic community composition and detect non-indigenous species. Finally, we provide guidelines to expand the network and present a sustainability plan as part of the European Marine Biological Resource Centre (www.embrc.eu).</t>
  </si>
  <si>
    <t>[Obst, Matthias; Axberg, Alizz; Sundberg, Per] Univ Gothenburg, Dept Marine Sci, Gothenburg, Sweden; [Exter, Katrina; Deneudt, Klaas; Hablutzel, Pascal, I; Mortelmans, Jonas] Flanders Marine Inst VLIZ, Oostende, Belgium; [Allcock, A. Louise; Power, Anne Marie] Natl Univ Ireland Galway, Sch Nat Sci, Ryan Inst, Galway, Ireland; [Arvanitidis, Christos; Chatzinikolaou, Eva; Chatzigeorgiou, Giorgos; Dailianis, Thanos; Gerovasileiou, Vasilis; Keklikoglou, Kleoniki; Kotoulas, Georgios; Yperifanou, Eleni Loanna; Pavloudi, Christina] Hellen Ctr Marine Res, Inst Marine Biol Biotechnol &amp; Aquaculture, Iraklion, Greece; [Arvanitidis, Christos; de Cerio, Oihane Diaz] LifeWatch ERIC, Seville, Spain; [Bustamante, Maria; Cancio, Ibon] Univ Basque Country, European Marine Biol Resource Ctr, Plentzia Marine Stn PiE UPV EHU, Plentzia, Spain; [Carreira-Flores, Diego; Leite, Barbara R.] Univ Minho, CBMA Ctr Mol &amp; Environm Biol, Dept Biol, Braga, Portugal; [Carreira-Flores, Diego] Univ Santiago de Compostela, Marine Biol Stn A Grana, Ferrol, Spain; [Carreira-Flores, Diego] Univ Tras Os Montes &amp; Alto Douro, Ctr Res &amp; Technol Agroenvironm &amp; Biol Sci CITAB, Dept Biol &amp; Environm, Vila Real, Portugal; [Chrismas, Nathan] Marine Biol Assoc UK, Citadel Hill, Plymouth, Devon, England; [Clark, Melody S.] British Antarctic Survey, Cambridge, England; [Comtet, Thierry; Loisel, Stephane; Leveque, Laurent; Viard, Frederique] Sorbonne Univ, CNRS, Stn Biol Roscoff, Pl Georges Teissier, Roscoff, France; [Davies, Neil] Univ California Berkeley, Gump South Pacific Res Stn, Moorea, French Polynesi, France; [Fortic, Ana; Mavria, Borut; Ramsak, Andreja] Natl Inst Biol, Marine Biol Stn Piran, Piran, Slovenia; [Keklikoglou, Kleoniki] Univ Crete, Biol Dept, Iraklion, Greece; [Lasota, Rafal] Univ Gdansk, Inst Oceanog, Dept Marine Ecosyst Functioning, Gdynia, Poland; [Leite, Barbara R.; Troncoso, Jesus S.] Univ Minho, IB S Inst Sci &amp; Innovat Biosustainabil, Braga, Portugal; [Leite, Barbara R.] UVIGO Marine Res Ctr, Ctr Invest Marina, Toralla Marine Sci Stn, Vigo, Spain; [Levy, Liraz] Interuniv Inst Marine Sci Eilat, Elat, Israel; [Malachowicz, Magdalena; Wenne, Roman; Zbawicka, Malgorzata] Polish Acad Sci IOPAN, Inst Oceanol, Sopot, Poland; [Meyer, Christopher] Smithsonian Inst, Natl Museum Nat Hist, Dept Invertebrate Zool, Washington, DC 20560 USA; [Norkko, Joanna; Solbakken, Jostein] Univ Helsinki, Tvarminne Zool Stn, Hango, Finland; [Pade, Nicolas] Sorbonne Univ, EMBRC ERIC Headquarters, Paris, France; [Reiss, Henning] Nord Univ, Fac Biosci &amp; Aquaculture, Bodo, Norway; [Stoehr, Peter A.] Aarhus Univ, Dept Biosci, Roskilde, Denmark; [Thyrring, Jakob] Univ British Columbia, Dept Zool, Vancouver, BC, Canada; [Thyrring, Jakob] Aarhus Univ, Dept Biosci, Marine Ecol, Silkeborg, Denmark; [Troncoso, Jesus S.] Univ Vigo, Marine Sci Fac, Dept Ecol &amp; Anim Biol, Vigo, Spain; [Viard, Frederique] Univ Montpellier, EPHE, CNRS, ISEM,IRD, Montpellier, France; [Yperifanou, Eleni Loanna] Aristotle Univ Thessaloniki, Sch Biol, Thessaloniki, Greece</t>
  </si>
  <si>
    <t>University of Gothenburg; Ollscoil na Gaillimhe-University of Galway; Hellenic Centre for Marine Research; University of Basque Country; Universidade do Minho; Universidade de Santiago de Compostela; University of Tras-os-Montes &amp; Alto Douro; Marine Biological Association United Kingdom; UK Research &amp; Innovation (UKRI); Natural Environment Research Council (NERC); NERC British Antarctic Survey; Centre National de la Recherche Scientifique (CNRS); Sorbonne Universite; National Institute of Biology - Slovenia; University of Crete; Fahrenheit Universities; University of Gdansk; Universidade do Minho; Universidade de Vigo; CIM UVIGO; Polish Academy of Sciences; Institute of Oceanology of the Polish Academy of Sciences; Smithsonian Institution; Smithsonian National Museum of Natural History; University of Helsinki; Sorbonne Universite; Nord University; Aarhus University; University of British Columbia; Aarhus University; Universidade de Vigo; Universite PSL; Ecole Pratique des Hautes Etudes (EPHE); Centre National de la Recherche Scientifique (CNRS); Institut de Recherche pour le Developpement (IRD); Universite de Montpellier; Aristotle University of Thessaloniki</t>
  </si>
  <si>
    <t>Obst, M (corresponding author), Univ Gothenburg, Dept Marine Sci, Gothenburg, Sweden.</t>
  </si>
  <si>
    <t>matthias.obst@marine.gu.se</t>
  </si>
  <si>
    <t>Bustamante, María/F-7992-2016; Carreira-Flores, Diego/ABG-6547-2021; Allcock, Louise/A-7359-2012; Arvanitidis, Christos/J-1540-2016; Viard, Frédérique/O-4360-2018; Clark, Melody S/D-7371-2014; Pavloudi, Christina/H-6608-2019; Gerovasileiou, Vasilis/H-6376-2019; Cancio, Ibon/M-4594-2019; Dailianis, Thanos/G-9145-2011; Comtet, Thierry/ABE-3212-2021; Carreira-Flores, Diego/JAZ-1107-2023; Diaz de cerio, Oihane/H-3336-2015; Zbawicka, Małgorzata/E-3170-2018; Thyrring, Jakob/M-9479-2015; Malachowicz, Magdalena/M-9469-2017; Wenne, Roman/S-8294-2017; Davies, Neil/E-5863-2012; Staehr, Peter Anton Upadhyay/S-6110-2018</t>
  </si>
  <si>
    <t>Carreira-Flores, Diego/0000-0001-9895-8222; Allcock, Louise/0000-0002-4806-0040; Viard, Frédérique/0000-0001-5603-9527; Pavloudi, Christina/0000-0001-5106-6067; Gerovasileiou, Vasilis/0000-0002-9143-7480; Cancio, Ibon/0000-0003-4841-0079; Dailianis, Thanos/0000-0002-4102-9331; Carreira-Flores, Diego/0000-0001-9895-8222; Diaz de cerio, Oihane/0000-0002-5605-8434; Zbawicka, Małgorzata/0000-0001-5156-6184; Thyrring, Jakob/0000-0002-1029-3105; Ramsak, Andreja/0000-0003-1961-5120; Fortic, Ana/0000-0002-5715-3572; Malachowicz, Magdalena/0000-0002-3088-9619; Norkko, Joanna/0000-0001-9885-8408; Pade, Nicolas/0000-0003-2733-9752; Meyer, Christopher/0000-0003-2501-7952; Kotoulas, Georgios/0000-0002-4667-8533; Reiss, Henning/0000-0003-1393-0269; Lasota, Rafal/0000-0002-2745-3515; Chrismas, Nathan/0000-0002-2165-3102; Exter, Katrina/0000-0002-5911-1536; Wenne, Roman/0000-0001-6994-1181; Hablutzel, Pascal/0000-0002-6739-4994; Davies, Neil/0000-0001-8085-5014; Staehr, Peter Anton Upadhyay/0000-0002-1580-4875</t>
  </si>
  <si>
    <t>infrastructure programs ASSEMBLE Plus [730984]; European Marine Biological Resource Centre, EMBRC; INTERREG project GEANS (North Sea Program of the European Regional Development Fund of the European Union); Swedish Agency for Marine and Water Management [31812019]; Flanders LifeWatch contribution (Research Foundation Flanders) [I000819N]; Aquanis 2.0 project (FONDATION Total); Swedish LifeWatch grant from the Swedish Research council [2017-00634]; EOSC NORDIC project [857652]; project INTERREG EBB [EAPA_501/2016]; project H2020 EOSC-Life [824087]; NERC [bas0100036, NE/N006100/1] Funding Source: UKRI; Swedish Research Council [2017-00634] Funding Source: Swedish Research Council</t>
  </si>
  <si>
    <t>infrastructure programs ASSEMBLE Plus; European Marine Biological Resource Centre, EMBRC; INTERREG project GEANS (North Sea Program of the European Regional Development Fund of the European Union)(Interreg Europe); Swedish Agency for Marine and Water Management; Flanders LifeWatch contribution (Research Foundation Flanders); Aquanis 2.0 project (FONDATION Total); Swedish LifeWatch grant from the Swedish Research council(Swedish Research Council); EOSC NORDIC project; project INTERREG EBB; project H2020 EOSC-Life; NERC(UK Research &amp; Innovation (UKRI)Natural Environment Research Council (NERC)); Swedish Research Council(Swedish Research Council)</t>
  </si>
  <si>
    <t>This ARMS-MBON network is funded by the infrastructure programs ASSEMBLE Plus (grant no. 730984) and the European Marine Biological Resource Centre, EMBRC. Both programs establish and maintain the core network and provide services and consultation for deployment, sample processing, sequencing, data management, and analysis. Funding for ARMS observatories in the North Sea Region was provided by the INTERREG project GEANS (North Sea Program of the European Regional Development Fund of the European Union) and the Swedish Agency for Marine and Water Management (grant no. 31812019), and the Flanders LifeWatch contribution (Research Foundation Flanders grant I000819N). The ARMS observatory in Roscoff also received support from the Aquanis 2.0 project (FONDATION Total). Data management and analysis was funded by Swedish LifeWatch grant from the Swedish Research council (grant no. 2017-00634) as well as the EOSC NORDIC project (grant no. 857652). Guiding documents to obtain ABS clearance for access to genetic resources were developed in the framework of projects INTERREG EBB (EAPA_501/2016) and H2020 EOSC-Life (grant no. 824087).</t>
  </si>
  <si>
    <t>10.3389/fmars.2020.572680</t>
  </si>
  <si>
    <t>PE1ON</t>
  </si>
  <si>
    <t>WOS:000598140600001</t>
  </si>
  <si>
    <t>Welsh, H; Gueorguieva, GA; Kounaves, S; Amundson, R</t>
  </si>
  <si>
    <t>Welsh, Hannah; Gueorguieva, Gloria-Alexandra; Kounaves, Samuel; Amundson, Ronald</t>
  </si>
  <si>
    <t>Stable nitrogen and oxygen isotope fractionation during precipitation of nitrate salt from saturated solutions</t>
  </si>
  <si>
    <t>RAPID COMMUNICATIONS IN MASS SPECTROMETRY</t>
  </si>
  <si>
    <t>PERCHLORATE</t>
  </si>
  <si>
    <t>Rationale Nitrate is an oxyanion similar to CO(3)(-)and thus should undergo stable N and O isotope fractionation during dissolution or precipitation. This process should dominate abiotic soil nitrate processes in hyperarid regions of Earth and possibly Mars. Methods The N and O isotope fractionations during the precipitation of nitrate salt from saturated solutions at similar to 20 degrees C were determined by two methods: rapid precipitation by antisolvent crystallization and slow uninhibited precipitation in a desiccator. In the antisolvent crystallization procedure, increasing volumes of acetone were added to samples of saturated sodium and strontium nitrate solutions to instantaneously precipitate nitrate salt. In the slow procedure (requiring weeks), slow evaporative water loss drove the process. Results There was little difference between the two procedures. Using a Rayleigh model, the calculated N fractionation ((15)epsilon(product-residual)) ranged from 1.69 parts per thousand to 2.77 parts per thousand, whereas for O, the(18)epsilon(product-residual)values were between 1.27 parts per thousand and 4.61 parts per thousand. The N isotope fractionation between NO(3)(-)and the metal solid is similar to that between C in dissolved CO(3)(-2)and carbonates. We found that O versus N isotope plots of soil nitrate in a cold/dry Antarctic chronosequence had slopes similar to those from the experiments, revealing abiotic transport. In the Atacama Desert, where the soil nitrates are a mix of biological and tropospheric nitrate, there is an inverse relationship between soil N and O isotopes. These two relationships were compared with the isotope composition of nitrate from Martian meteorite EETA79001. Conclusions While the N and O isotope composition of the Martian nitrate is remarkably similar to that of the present Atacama Desert, the interpretation of the slope of the O versus N isotopes remains ambiguous due to the limited number of samples. Additional NO(3)samples from Martian meteorites are needed to address the question of abiotic versus biotic alteration of NO(3)(-)on Mars.</t>
  </si>
  <si>
    <t>[Welsh, Hannah; Gueorguieva, Gloria-Alexandra; Amundson, Ronald] Univ Calif Berkeley, Dept Environm Sci Policy &amp; Management, Berkeley, CA 94720 USA; [Kounaves, Samuel] Tufts Univ, Dept Chem, Medford, MA USA</t>
  </si>
  <si>
    <t>University of California System; University of California Berkeley; Tufts University</t>
  </si>
  <si>
    <t>Amundson, R (corresponding author), Univ Calif Berkeley, Dept Environm Sci Policy &amp; Management, Berkeley, CA 94720 USA.</t>
  </si>
  <si>
    <t>earthy@berkeley.edu</t>
  </si>
  <si>
    <t>; Amundson, Ronald/E-2654-2015</t>
  </si>
  <si>
    <t>Gueorguieva, Gloria-Alexandra/0000-0002-2299-8831; Amundson, Ronald/0000-0003-1510-7313</t>
  </si>
  <si>
    <t>University of California Agricultural Experiment Station</t>
  </si>
  <si>
    <t>University of California Agricultural Experiment Station(University of California System)</t>
  </si>
  <si>
    <t>Support for the research was provided by the University of California Agricultural Experiment Station.</t>
  </si>
  <si>
    <t>0951-4198</t>
  </si>
  <si>
    <t>1097-0231</t>
  </si>
  <si>
    <t>RAPID COMMUN MASS SP</t>
  </si>
  <si>
    <t>Rapid Commun. Mass Spectrom.</t>
  </si>
  <si>
    <t>e8905</t>
  </si>
  <si>
    <t>10.1002/rcm.8905</t>
  </si>
  <si>
    <t>Biochemical Research Methods; Chemistry, Analytical; Spectroscopy</t>
  </si>
  <si>
    <t>Biochemistry &amp; Molecular Biology; Chemistry; Spectroscopy</t>
  </si>
  <si>
    <t>OI6HO</t>
  </si>
  <si>
    <t>WOS:000583377300009</t>
  </si>
  <si>
    <t>Flack, AL; Kiem, AS; Vance, TR; Tozer, CR; Roberts, JL</t>
  </si>
  <si>
    <t>Flack, Anna L.; Kiem, Anthony S.; Vance, Tessa R.; Tozer, Carly R.; Roberts, Jason L.</t>
  </si>
  <si>
    <t>Comparison of published palaeoclimate records suitable for reconstructing annual to sub-decadal hydroclimatic variability in eastern Australia: implications for water resource management and planning</t>
  </si>
  <si>
    <t>HYDROLOGY AND EARTH SYSTEM SCIENCES</t>
  </si>
  <si>
    <t>MURRAY-DARLING BASIN; RAINFALL RECONSTRUCTION; CLIMATE VARIABILITY; ICE CORE; STREAMFLOW; FLOODS; RISK; TASMANIA; DROUGHT; INFLOW</t>
  </si>
  <si>
    <t>Knowledge of past, current, and future hydroclimatic risk is of great importance. However, like many other countries, Australia's observed hydroclimate records are at best only similar to 120 years long (i.e. from similar to 1900 to the present) but are typically less than similar to 50 years long. Therefore, recent research has focused on developing longer hydroclimate records based on palaeoclimate information from a variety of different sources. Here we review and compare the insights emerging from 11 published palaeoclimate records that are relevant for annual to sub-decadal hydroclimatic variability in eastern Australia over the last similar to 1000 years. The sources of palaeoclimate information include ice cores, tree rings, cave deposits, and lake sediment deposits. The published palaeoclimate information was then analysed to determine when (and where) there was agreement (or uncertainty) about the timing of wet and dry epochs in the pre-instrumental period (1000-1899). The occurrence, frequency, duration, and spatial extent of pre-instrumental wet and dry epochs was then compared to wet and dry epochs since 1900. The results show that instrumental records (similar to 1900-present) underestimate (or at least misrepresent) the full range of rainfall variability that has occurred, and is possible, in eastern Australia. Even more disturbing is the suggestion, based on insights from the published palaeoclimate data analysed, that 71% of the pre-instrumental period appears to have no equivalent in the instrumental period. This implies that the majority of the past 1000 years was unlike anything encountered in the period that informs water infrastructure, planning, and policy in Australia. A case study, using a typical water storage reservoir in eastern Australia, demonstrates that current water resource infrastructure and management strategies would not cope under the range of pre-instrumental conditions that this study suggests has occurred. When coupled with projected impacts of climate change and growing demands, these results highlight some major challenges for water resource management and infrastructure. Though our case study location is eastern Australia, these challenges, and the limitations associated with current methods that depend on instrumental records that are too short to realistically characterise interannual to multi-decadal variability, also apply globally.</t>
  </si>
  <si>
    <t>[Flack, Anna L.; Kiem, Anthony S.] Univ Newcastle, Fac Sci, Ctr Water Climate &amp; Land CWCL, Callaghan, NSW, Australia; [Vance, Tessa R.; Tozer, Carly R.] Univ Tasmania, Inst Marine &amp; Antarctic Studies, Hobart, Tas, Australia; [Tozer, Carly R.] CSIRO Oceans &amp; Atmosphere, Hobart, Tas, Australia; [Roberts, Jason L.] Australian Antarctic Div, Kingston, Tas, Australia; [Vance, Tessa R.; Tozer, Carly R.] Univ Tasmania, Antarctic Climate &amp; Ecosyst Cooperat Res Ctr ACE, Hobart, Tas, Australia</t>
  </si>
  <si>
    <t>University of Newcastle; University of Tasmania; Commonwealth Scientific &amp; Industrial Research Organisation (CSIRO); Australian Antarctic Division; University of Tasmania; Antarctic Climate &amp; Ecosystems Cooperative Research Centre (ACE CRC)</t>
  </si>
  <si>
    <t>Kiem, AS (corresponding author), Univ Newcastle, Fac Sci, Ctr Water Climate &amp; Land CWCL, Callaghan, NSW, Australia.</t>
  </si>
  <si>
    <t>anthony.kiem@newcastle.edu.au</t>
  </si>
  <si>
    <t>Tozer, Carly R/E-9936-2013; Kiem, Anthony/D-9307-2013</t>
  </si>
  <si>
    <t>Tozer, Carly R/0000-0001-8605-5907; Roberts, Jason/0000-0002-3477-4069; Vance, Tessa/0000-0001-6970-8646; Kiem, Anthony/0000-0002-3994-6958</t>
  </si>
  <si>
    <t>Australian Research Council [ARC DP180102522]; Australian Research Council Special Research Initiative for Antarctic Gateway Partnership [SR140300001]</t>
  </si>
  <si>
    <t>Australian Research Council(Australian Research Council); Australian Research Council Special Research Initiative for Antarctic Gateway Partnership(Australian Research Council)</t>
  </si>
  <si>
    <t>This research has been supported by the Australian Research Council Discovery project (Flooding in Australia - are we properly prepared 20 for how bad it can get?; grant no. ARC DP180102522) and the Australian Research Council Special Research Initiative for Antarctic Gateway Partnership (grant no. SR140300001).</t>
  </si>
  <si>
    <t>1027-5606</t>
  </si>
  <si>
    <t>1607-7938</t>
  </si>
  <si>
    <t>HYDROL EARTH SYST SC</t>
  </si>
  <si>
    <t>Hydrol. Earth Syst. Sci.</t>
  </si>
  <si>
    <t>NOV 29</t>
  </si>
  <si>
    <t>10.5194/hess-24-5699-2020</t>
  </si>
  <si>
    <t>Geosciences, Multidisciplinary; Water Resources</t>
  </si>
  <si>
    <t>Geology; Water Resources</t>
  </si>
  <si>
    <t>PA4BI</t>
  </si>
  <si>
    <t>WOS:000595582800001</t>
  </si>
  <si>
    <t>Rasouli, K; Scharold, K; Mahmood, TH; Glenn, NF; Marks, D</t>
  </si>
  <si>
    <t>Rasouli, Kabir; Scharold, Karis; Mahmood, Taufique H.; Glenn, Nancy F.; Marks, Danny</t>
  </si>
  <si>
    <t>Linking hydrological variations at local scales to regional climate teleconnection patterns</t>
  </si>
  <si>
    <t>HYDROLOGICAL PROCESSES</t>
  </si>
  <si>
    <t>climate patterns; hydrological variations; mountains; Reynolds Creek experimental watershed; runoff generation; snow; teleconnections</t>
  </si>
  <si>
    <t>RAIN-ON-SNOW; PERTURBED CLIMATE; ENERGY-BALANCE; MOUNTAIN BASIN; SURFACE; MODEL; SENSITIVITY; CIRCULATION; IMPACTS; COVER</t>
  </si>
  <si>
    <t>Climate patterns over preceding years affect seasonal water and moisture conditions. The linkage between regional climate and local hydrology is challenging due to scale differences, both spatially and temporally. In this study, variance, correlation, and singular spectrum analyses were conducted to identify multiple hydroclimatic phases during which climate teleconnection patterns were related to hydrology of a small headwater basin in Idaho, USA. Combined field observations and simulations from a physically based hydrological model were used for this purpose. Results showed statistically significant relations between climate teleconnection patterns and hydrological fluxes in the basin, and climate indices explained up to 58% of hydrological variations. Antarctic Oscillation (AAO), North Atlantic Oscillation (NAO), and Pacific North America (PNA) patterns affected mountain hydrology, in that order, by decreasing annual runoff and rain on snow (ROS) runoff by 43% and 26% during a positive phase of NAO and 25% and 9% during a positive phase of PNA. AAO showed a significant association with the rainfall-to-precipitation ratio and explained 49% of its interannual variation. The runoff response was affected by the phase of climate variability indices and the legacy of past atmospheric conditions. Specifically, a switch in the phase of the teleconnection patterns of NAO and PNA caused a transition from wet to dry conditions in the basin. Positive AAO showed no relation with peak snow water equivalent and ROS runoff in the same year, but AAO in the preceding year explained 24 and 25% (p &lt; 0.05) of their variations, suggesting that the past atmospheric patterns are equally important as the present conditions in affecting local hydrology. Areas sheltered from the wind and acted as a source for snow transport showed the lowest (40% below normal) ROS runoff generation, which was associated with positive NAO that explained 33% (p &lt; 0.01) of its variation. The findings of this research highlighted the importance of hydroclimatic phases and multiple year variations that must be considered in hydrological forecasts, climate projections, and water resources planning.</t>
  </si>
  <si>
    <t>[Rasouli, Kabir] Environm &amp; Climate Change Canada, Meteorol Serv Canada, Dorval, PQ H9P 1J3, Canada; [Rasouli, Kabir] Univ British Columbia, Fac Forestry, Vancouver, BC, Canada; [Scharold, Karis; Mahmood, Taufique H.] Univ North Dakota, Harold Hamm Sch Geol &amp; Geol Engn, Grand Forks, ND USA; [Glenn, Nancy F.] Boise State Univ, Dept Geosci, Boise, ID 83725 USA; [Glenn, Nancy F.] Univ New South Wales, Sch Civil &amp; Environm Engn, Sydney, NSW, Australia; [Marks, Danny] ARS, Northwest Watershed Res Ctr, Boise, ID USA</t>
  </si>
  <si>
    <t>Environment &amp; Climate Change Canada; Meteorological Service of Canada; University of British Columbia; University of North Dakota Grand Forks; Idaho; Boise State University; University of New South Wales Sydney</t>
  </si>
  <si>
    <t>Rasouli, K (corresponding author), Environm &amp; Climate Change Canada, Meteorol Serv Canada, Dorval, PQ H9P 1J3, Canada.</t>
  </si>
  <si>
    <t>kabir.rasouli@usask.ca</t>
  </si>
  <si>
    <t>Rasouli, Kabir/ABD-5190-2020; Rasouli, Kabir/AAN-7404-2021; Glenn, Nancy/B-4491-2014</t>
  </si>
  <si>
    <t>Glenn, Nancy/0000-0003-2124-7654; Mahmood, Taufique/0000-0003-1198-9603</t>
  </si>
  <si>
    <t>National Science Foundation [IIA-135466]; Natural Sciences and Engineering Research Council of Canada [PDF 487795-2016]</t>
  </si>
  <si>
    <t>National Science Foundation(National Science Foundation (NSF)); Natural Sciences and Engineering Research Council of Canada(Natural Sciences and Engineering Research Council of Canada (NSERC)CGIAR)</t>
  </si>
  <si>
    <t>National Science Foundation, Grant/Award Number: IIA-135466; Natural Sciences and Engineering Research Council of Canada, Grant/Award Number: PDF 487795-2016</t>
  </si>
  <si>
    <t>0885-6087</t>
  </si>
  <si>
    <t>1099-1085</t>
  </si>
  <si>
    <t>HYDROL PROCESS</t>
  </si>
  <si>
    <t>Hydrol. Process.</t>
  </si>
  <si>
    <t>10.1002/hyp.13982</t>
  </si>
  <si>
    <t>NOV 2020</t>
  </si>
  <si>
    <t>Water Resources</t>
  </si>
  <si>
    <t>PG3IP</t>
  </si>
  <si>
    <t>WOS:000594130500001</t>
  </si>
  <si>
    <t>Chen, YH; Huang, XL; Yang, P; Kuo, CP; Chen, XH</t>
  </si>
  <si>
    <t>Chen, Yi-Hsuan; Huang, Xianglei; Yang, Ping; Kuo, Chia-Pang; Chen, Xiuhong</t>
  </si>
  <si>
    <t>Seasonal Dependent Impact of Ice Cloud Longwave Scattering on the Polar Climate</t>
  </si>
  <si>
    <t>cloud longwave scattering; polar regions; arctic; climate model</t>
  </si>
  <si>
    <t>MULTIPLE-SCATTERING; RADIATIVE-TRANSFER; SEA-ICE; PARAMETERIZATION; MODEL; SYSTEM; SNOW</t>
  </si>
  <si>
    <t>Most climate models neglect cloud longwave (LW) scattering because scattering is considered negligible compared to strong LW absorption by clouds and greenhouse gases. While this rationale is valid for simulating extrapolar regions, it is questionable for the polar regions, where the atmosphere is dry and hence has weak absorption, and ice clouds that have strong scattering capability frequently occur. Using the slab-ocean Community Earth System Model, we show that ice cloud LW scattering can warm winter surface air temperature by 0.8-1.8 K in the Arctic and 1.3-1.9 K in the Antarctic, while this warming becomes much weaker in polar summer. Such scattering effect cannot be correctly assessed when sea surface temperature and sea ice are prescribed as this effect is manifested through a surface-atmosphere coupling. Cloud LW scattering is a necessity for the correct simulation of polar climate and surface radiation budget, especially in the winter. Plain Language Summary Cloud longwave scattering has never been deemed as a necessity in climate models. Out of all climate models in the IPCC fifth and sixth assessments, only three modeling centers have longwave scattering included in their models. Our study explained why the traditional wisdom of neglecting longwave scattering breaks down for the simulation of high-latitude climate in the fully coupled models. We showed the critical importance of atmosphere-surface radiative coupling for correctly assessing the role of cloud longwave scattering in the model simulation of climate mean state as well as climate changes, an issue overlooked by all previous studies. We argued that the cloud longwave scattering is a necessity in climate models, not an option. Key Points Cloud longwave scattering is more important in the polar regions than the extrapolar regions By surface-atmosphere radiative coupling, cloud longwave scattering can warm the polar surface, more in the winter than in the summer Cloud longwave scattering is a necessity instead of an option for correctly simulating polar climate and surface energy budget</t>
  </si>
  <si>
    <t>[Chen, Yi-Hsuan; Huang, Xianglei; Chen, Xiuhong] Univ Michigan, Dept Climate &amp; Space Sci &amp; Engn, Ann Arbor, MI 48109 USA; [Chen, Yi-Hsuan] Princeton Univ, Program Atmospher &amp; Ocean Sci, Princeton, NJ 08544 USA; [Yang, Ping; Kuo, Chia-Pang] Texas A&amp;M Univ, Dept Atmospher Sci, College Stn, TX USA; [Kuo, Chia-Pang] Colorado State Univ, Dept Atmospher Sci, Ft Collins, CO 80523 USA</t>
  </si>
  <si>
    <t>University of Michigan System; University of Michigan; National Oceanic Atmospheric Admin (NOAA) - USA; Princeton University; Texas A&amp;M University System; Texas A&amp;M University College Station; Colorado State University</t>
  </si>
  <si>
    <t>Chen, YH (corresponding author), Univ Michigan, Dept Climate &amp; Space Sci &amp; Engn, Ann Arbor, MI 48109 USA.;Chen, YH (corresponding author), Princeton Univ, Program Atmospher &amp; Ocean Sci, Princeton, NJ 08544 USA.</t>
  </si>
  <si>
    <t>yihsuan@umich.edu</t>
  </si>
  <si>
    <t>Kuo, Chia-Pang/AAH-4855-2019; Huang, Xianglei/E-6273-2018; Yang, Ping/B-4590-2011; Huang, Xianglei/G-6127-2011</t>
  </si>
  <si>
    <t>Kuo, Chia-Pang/0000-0003-0554-4114; Yang, Ping/0000-0001-6803-9903; Chen, Yi-Hsuan/0000-0003-2018-8728; Huang, Xianglei/0000-0002-7129-614X; Chen, Xiuhong/0000-0002-6860-3276</t>
  </si>
  <si>
    <t>U.S. Department of Energy, Office of Science, Office of Biological and Environmental Research, Climate and Environmental Science Division [DE-SC0012969, DE-SC0019278]; National Science Foundation; U.S. Department of Energy (DOE) [DE-SC0019278, DE-SC0012969] Funding Source: U.S. Department of Energy (DOE)</t>
  </si>
  <si>
    <t>U.S. Department of Energy, Office of Science, Office of Biological and Environmental Research, Climate and Environmental Science Division(United States Department of Energy (DOE)); National Science Foundation(National Science Foundation (NSF)); U.S. Department of Energy (DOE)(United States Department of Energy (DOE))</t>
  </si>
  <si>
    <t>We thank two anonymous reviewers for their constructive comments, which improve the clarity of the presentation. This material is based upon work supported by the U.S. Department of Energy, Office of Science, Office of Biological and Environmental Research, Climate and Environmental Science Division under Awards DE-SC0012969 and DE-SC0019278 to the University of Michigan with a subcontract to Texas A&amp;M. We would like to acknowledge high-performance computing support from Cheyenne (http://10.5065/D6RX99HX) provided by NCAR's Computational and Information Systems Laboratory, sponsored by the National Science Foundation. We also wish to thank Dr. S. Schroeder for English editing of the manuscript.</t>
  </si>
  <si>
    <t>NOV 28</t>
  </si>
  <si>
    <t>e2020GL090534</t>
  </si>
  <si>
    <t>10.1029/2020GL090534</t>
  </si>
  <si>
    <t>PE9JP</t>
  </si>
  <si>
    <t>WOS:000598677000066</t>
  </si>
  <si>
    <t>Gu, WY; Chen, LJ; Xia, ZY; An, X; Horne, RB</t>
  </si>
  <si>
    <t>Gu, Wenyao; Chen, Lunjin; Xia, Zhiyang; An, Xin; Horne, Richard B.</t>
  </si>
  <si>
    <t>Alpha Transmitter Signal Reflection and Triggered Emissions</t>
  </si>
  <si>
    <t>VLF transmitter; ducted propagation; triggered emission</t>
  </si>
  <si>
    <t>VLF WAVES; PROPAGATION; SIPLE; SATELLITE; ELECTRON; GENERATION; PROFILE</t>
  </si>
  <si>
    <t>Russian Alpha radio navigation system (RSDN-20) emits F-1 = 11.9kHz signals into the magnetosphere which propagate as whistler mode waves. Observed by waveform continuous burst mode from Electric and Magnetic Field Instrument Suite and Integrated Science (EMFISIS) on Van Allen Probes, a case is presented and featured with ducted propagation, multiple reflections, and triggered emissions. Both risers and fallers appear in the triggered emissions. We use a ray tracing method to demonstrate ducted propagation, which has a similar wave normal angle near 150 degrees as the observation. The arrival time of reflected signals is estimated using propagation analysis and compared with the observed signal arrival time. To test the nonlinear cyclotron resonance theory, the interaction region scale and the order of chirping rate in triggered emission are estimated. The estimated interaction region scale of MLAT = -3 degrees is smaller than the observed MLAT = -6 degrees. The discrepancy may be caused by the parallel propagation assumption and background field model. Key Points Both ducted reflected signals and triggered emissions from transmitters are observed in the magnetosphere Ducted propagation is confirmed using time delay analysis and ray tracing model The interaction region for nonlinear growth is determined to be off the equator</t>
  </si>
  <si>
    <t>[Gu, Wenyao; Chen, Lunjin; Xia, Zhiyang] Univ Texas Dallas, Phys Dept, WB Hanson Ctr Space Sci, Richardson, TX 75083 USA; [An, Xin] Univ Calif Los Angeles, Dept Atmospher &amp; Ocean Sci, Los Angeles, CA USA; [Horne, Richard B.] British Antarctic Survey, Cambridge, England</t>
  </si>
  <si>
    <t>University of Texas System; University of Texas Dallas; University of California System; University of California Los Angeles; UK Research &amp; Innovation (UKRI); Natural Environment Research Council (NERC); NERC British Antarctic Survey</t>
  </si>
  <si>
    <t>Gu, WY; Chen, LJ (corresponding author), Univ Texas Dallas, Phys Dept, WB Hanson Ctr Space Sci, Richardson, TX 75083 USA.</t>
  </si>
  <si>
    <t>wxg170330@utdallas.edu; lunjin.chen@gmail.com</t>
  </si>
  <si>
    <t>An, Xin/M-8168-2016; Horne, Richard B/U-3764-2019; An, Xin/HNC-4041-2023; Chen, Lunjin/L-1250-2013</t>
  </si>
  <si>
    <t>An, Xin/0000-0003-2507-8632; Horne, Richard B/0000-0002-0412-6407; Chen, Lunjin/0000-0003-2489-3571; Gu, Wenyao/0000-0003-3562-0595; Xia, Zhiyang/0000-0001-8922-6484</t>
  </si>
  <si>
    <t>NSF [AGS-1702805]; NASA [80NSSC19K0282, NNX17AI52G]; NERC [bas0100031] Funding Source: UKRI</t>
  </si>
  <si>
    <t>NSF(National Science Foundation (NSF)); NASA(National Aeronautics &amp; Space Administration (NASA)); NERC(UK Research &amp; Innovation (UKRI)Natural Environment Research Council (NERC))</t>
  </si>
  <si>
    <t>We acknowledge the support of NSF grant AGS-1702805 and NASA grants 80NSSC19K0282 and NNX17AI52G.</t>
  </si>
  <si>
    <t>e2020GL090165</t>
  </si>
  <si>
    <t>10.1029/2020GL090165</t>
  </si>
  <si>
    <t>WOS:000598677000028</t>
  </si>
  <si>
    <t>He, MS; Chau, JL; Forbes, JM; Thorsen, D; Li, GZ; Siddiqui, TA; Yamazaki, Y; Hocking, WK</t>
  </si>
  <si>
    <t>He, Maosheng; Chau, Jorge L.; Forbes, Jeffrey M.; Thorsen, Denise; Li, Guozhu; Siddiqui, Tarique Adnan; Yamazaki, Yosuke; Hocking, Wayne K.</t>
  </si>
  <si>
    <t>Quasi-10-Day Wave and Semidiurnal Tide Nonlinear Interactions During the Southern Hemispheric SSW 2019 Observed in the Northern Hemispheric Mesosphere</t>
  </si>
  <si>
    <t>sudden stratospheric warming (SSW); semidiurnal tides; nonlinear interactions; quasi-10-day wave; quasi-6-day wave; Manley-Rowe relation</t>
  </si>
  <si>
    <t>Mesospheric winds from three longitudinal sectors at 65 degrees N and 54 degrees N latitude are combined to diagnose the zonal wave numbers (m) of spectral wave signatures during the Southern Hemisphere sudden stratospheric warming (SSW) 2019. Diagnosed are quasi-10- and 6-day planetary waves (Q10DW and Q6DW, m = 1), solar semidiurnal tides with m = 1, 2, 3 (SW1, SW2, and SW3), lunar semidiurnal tide, and the upper and lower sidebands (USB and LSB, m = 1 and 3) of Q10DW-SW2 nonlinear interactions. We further present 7-year composite analyses to distinguish SSW effects from climatological features. Before (after) the SSW onset, LSB (USB) enhances, accompanied by the enhancing (fading) Q10DW, and a weakening of climatological SW2 maximum. These behaviors are explained in terms of Manley-Rowe relation, that is, the energy goes first from SW2 to Q10DW and LSB, and then from SW2 and Q10DW to USB. Our results illustrate that the interactions can explain most wind variabilities associated with the SSW. Plain Language Summary Sudden stratospheric warming events occur typically over the winter Arctic and are well known for being accompanied by various tides and Rossby waves. A rare SSW occurred in the Southern Hemisphere in September 2019. Here, we combine mesospheric observations from the Northern Hemisphere to study the wave activities before and during the warming event. A dual-station approach is implemented on high-frequency-resolved spectral peaks to diagnose the horizontal scales of the dominant waves. Diagnosed are multiple tidal components, multiple Rossby normal modes, and two secondary waves arising from nonlinear interactions between a tide component and a Rossby wave. Most of these waves do not occur in a climatological sense and occur around the warming onset. Furthermore, the evolution of these waves can be explained using theoretical energy arguments. Key Points Mesospheric winds from multiple longitudes in the NH are combined to diagnose zonal wave numbers of waves during the Antarctic SSW 2019 Diagnosed are Q6DW, Q10DW, M2, SW1, SW2, SW3, and LSB and USB of Q10DW-SW2 nonlinear interactions LSB and USB are generated asynchronously, during which their parent waves evolve following the Manley-Rowe energy relations</t>
  </si>
  <si>
    <t>[He, Maosheng; Chau, Jorge L.; Siddiqui, Tarique Adnan] Rostock Univ, Leibniz Inst Atmospher Phys, Kuhlungsborn, Germany; [Forbes, Jeffrey M.] Univ Colorado, Ann &amp; HJ Smead Dept Aerosp Engn Sci, Boulder, CO 80309 USA; [Thorsen, Denise] Univ Alaska, Dept Elect &amp; Comp Engn, Fairbanks, AK 99701 USA; [Li, Guozhu] Chinese Acad Sci, Inst Geol &amp; Geophys, Beijing Natl Observ Space Environm, Beijing, Peoples R China; [Li, Guozhu] Univ Chinese Acad Sci, Coll Earth &amp; Planetary Sci, Beijing, Peoples R China; [Yamazaki, Yosuke] GFZ German Res Ctr Geosci, Potsdam, Germany; [Hocking, Wayne K.] Univ Western Ontario, Richmond, ON, Canada</t>
  </si>
  <si>
    <t>Leibniz Institut fur Atmospharenphysik e.V. an der Universitat Rostock (IAP); University of Colorado System; University of Colorado Boulder; University of Alaska System; University of Alaska Fairbanks; Chinese Academy of Sciences; Institute of Geology &amp; Geophysics, CAS; Chinese Academy of Sciences; University of Chinese Academy of Sciences, CAS; Helmholtz Association; Helmholtz-Center Potsdam GFZ German Research Center for Geosciences; Western University (University of Western Ontario)</t>
  </si>
  <si>
    <t>He, MS (corresponding author), Rostock Univ, Leibniz Inst Atmospher Phys, Kuhlungsborn, Germany.</t>
  </si>
  <si>
    <t>he@iap-kborn.de</t>
  </si>
  <si>
    <t>Forbes, Jeffrey M/B-7234-2016; Siddiqui, Tarique Adnan/N-4785-2018; Chau, Jorge/C-7568-2013; He, Maosheng/G-6913-2012; Yamazaki, Yosuke/J-9484-2015; Li, Guozhu/D-4322-2009</t>
  </si>
  <si>
    <t>Forbes, Jeffrey M/0000-0001-6937-0796; Siddiqui, Tarique Adnan/0000-0001-9394-6708; Chau, Jorge/0000-0002-2364-8892; He, Maosheng/0000-0001-6112-2499; Thorsen, Denise/0000-0002-5358-9846; Yamazaki, Yosuke/0000-0002-7624-4752; Li, Guozhu/0000-0002-7669-3590</t>
  </si>
  <si>
    <t>German Research Foundation (Deutsche-Forschungsgemeinschaft) [CH1482/1-2]; National Science Foundation (NSF) Award [AGS-1630177]; National Natural Science Foundation of China [42020104002]; NSF [AGS-1651464]</t>
  </si>
  <si>
    <t>German Research Foundation (Deutsche-Forschungsgemeinschaft)(German Research Foundation (DFG)); National Science Foundation (NSF) Award(National Science Foundation (NSF)); National Natural Science Foundation of China(National Natural Science Foundation of China (NSFC)); NSF(National Science Foundation (NSF))</t>
  </si>
  <si>
    <t>Maosheng He, Jeffrey M. Forbes, Guozhu Li, and PokerFlat meteor radar are supported by the German Research Foundation (Deutsche-Forschungsgemeinschaft, Grant CH1482/1-2), National Science Foundation (NSF) Award (AGS-1630177) to the University of Colorado Boulder, National Natural Science Foundation of China (42020104002), and NSF Grant (AGS-1651464), respectively.</t>
  </si>
  <si>
    <t>e2020GL091453</t>
  </si>
  <si>
    <t>10.1029/2020GL091453</t>
  </si>
  <si>
    <t>WOS:000598677000029</t>
  </si>
  <si>
    <t>Malczyk, G; Gourmelen, N; Goldberg, D; Wuite, J; Nagler, T</t>
  </si>
  <si>
    <t>Malczyk, G.; Gourmelen, N.; Goldberg, D.; Wuite, J.; Nagler, T.</t>
  </si>
  <si>
    <t>Repeat Subglacial Lake Drainage and Filling Beneath Thwaites Glacier</t>
  </si>
  <si>
    <t>altimetry; ice dynamics; melt production; subglacial channels; subglacial lakes; subglacial water flow</t>
  </si>
  <si>
    <t>ICE-SHEET; WEST ANTARCTICA; FLOW BENEATH; PINE ISLAND; WATER; INVENTORY; DISCHARGE; STREAM</t>
  </si>
  <si>
    <t>Active subglacial lakes have been identified throughout Antarctica, offering a window into subglacial environments and their impact on ice sheet mass balance. Here we use high-resolution altimetry measurements from 2010 to 2019 to show that a lake system under the Thwaites Glacier undertook a large episode of activity in 2017, only four years after the system underwent a substantial drainage event. Our observations suggest significant modifications of the drainage system between the two events, with 2017 experiencing greater upstream discharge, faster lake-to-lake connectivity, and the transfer of water within a closed system. Measured rates of lake recharge during the inter-drainage period are 137% larger than modeled estimates, suggesting processes that drive subglacial meltwater production, such as geothermal heat flux or basal friction, are currently underestimated. Plain Language Summary Antarctic subglacial lakes can play an important role in ice sheet dynamics. When subglacial lakes drain, they release large amounts of water that interact with the subglacial drainage system. Here we show lakes draining only four years after a previous drainage event. Our results suggest that lake activity increases the efficiency of the subglacial drainage network. Rates of lake recharge indicate that basal melt-water production is significantly higher than previously thought. Key Points There is evidence of drainage and filling of sub-glacial lakes under Thwaites Glacier in 2017, four years after previous activity There is contrasting lake behavior, drainage volume, discharge, and timing of drainage onset between the 2013 and 2017 events Observations of recharge rates suggest that modeled melt water production is underestimated</t>
  </si>
  <si>
    <t>[Malczyk, G.; Gourmelen, N.; Goldberg, D.] Univ Edinburgh, Sch Geosci, Edinburgh, Midlothian, Scotland; [Wuite, J.; Nagler, T.] ENVEO IT GmbH, Innsbruck, Austria</t>
  </si>
  <si>
    <t>University of Edinburgh</t>
  </si>
  <si>
    <t>Malczyk, G (corresponding author), Univ Edinburgh, Sch Geosci, Edinburgh, Midlothian, Scotland.</t>
  </si>
  <si>
    <t>g.r.malczyk@sms.ed.ac.uk</t>
  </si>
  <si>
    <t>Wuite, Jan/0000-0001-9333-1586; Malczyk, George/0000-0002-7673-7821</t>
  </si>
  <si>
    <t>European Space Agency's project 4DAntarctica (ESA) [4000128611/19/I-DT]; PROPHET project, a component of the International Thwaites Glacier Collaboration (ITGC); National Science Foundation (NSF) [1739031]; Natural Environment Research Council [NE/S006745/1, NE/S006796/1, NE/T001607/1, 024]; NERC PhD Studentship; NERC [NE/S006796/1, cpom30001, NE/S006745/1, NE/T001607/1, NE/T009470/1] Funding Source: UKRI</t>
  </si>
  <si>
    <t>European Space Agency's project 4DAntarctica (ESA); PROPHET project, a component of the International Thwaites Glacier Collaboration (ITGC); National Science Foundation (NSF)(National Science Foundation (NSF)); Natural Environment Research Council(UK Research &amp; Innovation (UKRI)Natural Environment Research Council (NERC)); NERC PhD Studentship(UK Research &amp; Innovation (UKRI)Natural Environment Research Council (NERC)); NERC(UK Research &amp; Innovation (UKRI)Natural Environment Research Council (NERC))</t>
  </si>
  <si>
    <t>This work was performed at the University of Edinburgh under grants from the European Space Agency's project 4DAntarctica (ESA: Grant 4000128611/19/I-DT), and from the PROPHET project, a component of the International Thwaites Glacier Collaboration (ITGC). This work received support from National Science Foundation (NSF: Grant 1739031) and Natural Environment Research Council (NERC: Grants NE/S006745/1, NE/S006796/1, and NE/T001607/1) (ITGC Contribution No. 024). G. R. M. acknowledges a NERC PhD Studentship. The authors wish to thank ESA for providing open access to CryoSat-2 data and M. Morlighem for open access to Bedmachine. The authors are grateful to the editor, Mathieu Morlighem, and to two anonymous reviewers, whose comments have significantly improved the manuscript.</t>
  </si>
  <si>
    <t>e2020GL089658</t>
  </si>
  <si>
    <t>10.1029/2020GL089658</t>
  </si>
  <si>
    <t>WOS:000598677000019</t>
  </si>
  <si>
    <t>Thomas, G; Purkey, SG; Roemmich, D; Foppert, A; Rintoul, SR</t>
  </si>
  <si>
    <t>Thomas, George; Purkey, Sarah G.; Roemmich, Dean; Foppert, Annie; Rintoul, Stephen R.</t>
  </si>
  <si>
    <t>Spatial Variability of Antarctic Bottom Water in the Australian Antarctic Basin From 2018-2020 Captured by Deep Argo</t>
  </si>
  <si>
    <t>Deep Argo; Ross Sea Bottom Water; Deep ocean warming; Antarctic Bottom Water; Adelie Land Bottom Water; Deep water formation</t>
  </si>
  <si>
    <t>SEA-LEVEL RISE; GLOBAL HEAT; CONTINENTAL-SLOPE; LAND COAST; ROSS SEA; CIRCULATION; ICE; 140-DEGREES-E; INTERMEDIATE</t>
  </si>
  <si>
    <t>There are two varieties of Antarctic Bottom Water present in the Australian Antarctic Basin (AAB): locally produced Adelie Land Bottom Water (ALBW) and distantly produced Ross Sea Bottom Water (RSBW). Between 2014 and 2018, RSBW has rebounded from a multidecade freshening trend. The return of the salty RSBW to the AAB is revealed by six Deep Argo floats that have occupied the region from January of 2018 to March of 2020. The floats depict a zonal variation in temperature and salinity in the bottom waters of the AAB, driven by the inflow of RSBW. A simple Optimum Multiparameter Analysis based on potential temperature and salinity gives a sense of scale to the composition of the bottom waters, which are nearly 80% of the new, salty RSBW in the south-east corner of the basin by 2019 and generally less than 40% to the west closer to the ALBW outflow region and the abyssal plain. Plain Language Summary The dense waters that form along the Antarctic coast and fill the global deep oceans have been warming and freshening over the past three decades. This water is integral to the earth's natural system of temperature regulation. New robotic floats from the Deep Argo program are able to record temperature, salinity, and pressure down to the bottom of the ocean and are capturing variability in the quantity and properties of these dense waters near their formation sites better than ever before. Here we examine data from the first 2 years of float deployments in the Indian sector of the Southern Ocean to quantify the rebound in salinity of dense water from the Ross Sea and study how different varieties of this dense water spread and fill the Australian Antarctic Basin before ultimately flowing out into the Indian and Pacific Oceans. Key Points A new Deep Argo pilot array improves spatial and temporal resolution of bottom water sampling in the Australian Antarctic Basin The floats capture the return of high salinity Ross Sea Bottom Water to the region after a period of multi-decadal freshening A simple Optimum Multiparameter calculation quantifies the local zonal variation in the new water mass concentrations from 2018 to 2020</t>
  </si>
  <si>
    <t>[Thomas, George; Purkey, Sarah G.; Roemmich, Dean] Univ Calif San Diego, Scripps Inst Oceanog, San Diego, CA 92103 USA; [Foppert, Annie; Rintoul, Stephen R.] CSIRO Oceans &amp; Atmosphere, Hobart, Tas, Australia; [Foppert, Annie; Rintoul, Stephen R.] Ctr Southern Hemisphere Oceans Res, Hobart, Tas, Australia; [Foppert, Annie; Rintoul, Stephen R.] Australian Antarctic Program Partnership, Hobart, Tas, Australia</t>
  </si>
  <si>
    <t>University of California System; University of California San Diego; Scripps Institution of Oceanography; Commonwealth Scientific &amp; Industrial Research Organisation (CSIRO)</t>
  </si>
  <si>
    <t>Purkey, SG (corresponding author), Univ Calif San Diego, Scripps Inst Oceanog, San Diego, CA 92103 USA.</t>
  </si>
  <si>
    <t>spurkey@ucsd.edu</t>
  </si>
  <si>
    <t>Purkey, Sarah G/K-1983-2012</t>
  </si>
  <si>
    <t>Purkey, Sarah/0000-0002-1893-6224; Thomas, George/0000-0003-3421-8764; Foppert, Annie/0000-0003-2958-1454</t>
  </si>
  <si>
    <t>National Oceanic and Atmospheric Administration (NOAA) [NA15OAR4320071]; Australian Government's Department of Industry, Innovation and Science, through the Antarctic Science Collaboration Initiative program; Centre for Southern Hemisphere Oceans Research; Earth Systems and Climate Change Hub of Australia's National Environmental Science Program</t>
  </si>
  <si>
    <t>National Oceanic and Atmospheric Administration (NOAA)(National Oceanic Atmospheric Admin (NOAA) - USA); Australian Government's Department of Industry, Innovation and Science, through the Antarctic Science Collaboration Initiative program; Centre for Southern Hemisphere Oceans Research(Commonwealth Scientific &amp; Industrial Research Organisation (CSIRO)); Earth Systems and Climate Change Hub of Australia's National Environmental Science Program</t>
  </si>
  <si>
    <t>We would like to thank the crews of the research vessels that have provided these data, as well as those that work with the Argo program to prepare the data for study. We would like to thank Paul Chamberlain, Esmee Van Wijk, Luke Wallace, John Gilson, Mark Merrifield, Nathalie Zilberman, and three anonymous reviewers for providing valuable advice, counsel, and guidance. SIO's Deep Argo floats as well as the work of S. G. P. and G. J. T. were supported by National Oceanic and Atmospheric Administration (NOAA) Grant NA15OAR4320071. A. F. and S. R. R. were supported in part by the Australian Government's Department of Industry, Innovation and Science, through the Antarctic Science Collaboration Initiative program; by the Centre for Southern Hemisphere Oceans Research, a partnership between CSIRO and the Qingdao National Laboratory for Marine Science and Technology (QNLM); and by the Earth Systems and Climate Change Hub of Australia's National Environmental Science Program.</t>
  </si>
  <si>
    <t>e2020GL089467</t>
  </si>
  <si>
    <t>10.1029/2020GL089467</t>
  </si>
  <si>
    <t>WOS:000598677000002</t>
  </si>
  <si>
    <t>Daae, K; Hattermann, T; Darelius, E; Mueller, RD; Naughten, KA; Timmermann, R; Hellmer, HH</t>
  </si>
  <si>
    <t>Daae, K.; Hattermann, T.; Darelius, E.; Mueller, R. D.; Naughten, K. A.; Timmermann, R.; Hellmer, H. H.</t>
  </si>
  <si>
    <t>Necessary Conditions for Warm Inflow Toward the Filchner Ice Shelf, Weddell Sea</t>
  </si>
  <si>
    <t>ice shelf basal melting; regime shift; Antarctic slope front</t>
  </si>
  <si>
    <t>CIRCUMPOLAR DEEP-WATER; ANTARCTIC CONTINENTAL-SHELF; SHEET MODEL; CIRCULATION; CAVITY; OCEAN; SLOPE; SIMULATIONS; VARIABILITY; TOPOGRAPHY</t>
  </si>
  <si>
    <t>Understanding changes in Antarctic ice shelf basal melting is a major challenge for predicting future sea level. Currently, warm Circumpolar Deep Water surrounding Antarctica has limited access to the Weddell Sea continental shelf; consequently, melt rates at Filchner-Ronne Ice Shelf are low. However, large-scale model projections suggest that changes to the Antarctic Slope Front and the coastal circulation may enhance warm inflows within this century. We use a regional high-resolution ice shelf cavity and ocean circulation model to explore forcing changes that may trigger this regime shift. Our results suggest two necessary conditions for supporting a sustained warm inflow into the Filchner Ice Shelf cavity: (i) an extreme relaxation of the Antarctic Slope Front density gradient and (ii) substantial freshening of the dense shelf water. We also find that the on-shelf transport over the western Weddell Sea shelf is sensitive to the Filchner Trough overflow characteristics.</t>
  </si>
  <si>
    <t>[Daae, K.; Darelius, E.] Univ Bergen, Geophys Inst, Bjerknes Ctr Climate Res, Bergen, Norway; [Hattermann, T.] Norwegian Polar Res Inst, Tromso, Norway; [Mueller, R. D.] Univ British Columbia, Dept Earth Ocean &amp; Atmospher Sci, Vancouver, BC, Canada; [Naughten, K. A.] British Antarctic Survey, Cambridge, England; [Timmermann, R.; Hellmer, H. H.] Alfred Wegener Inst, Helmholtz Ctr Polar &amp; Marine Res, Bremerhaven, Germany</t>
  </si>
  <si>
    <t>Bjerknes Centre for Climate Research; University of Bergen; Norwegian Polar Institute; University of British Columbia; UK Research &amp; Innovation (UKRI); Natural Environment Research Council (NERC); NERC British Antarctic Survey; Helmholtz Association; Alfred Wegener Institute, Helmholtz Centre for Polar &amp; Marine Research</t>
  </si>
  <si>
    <t>Daae, K (corresponding author), Univ Bergen, Geophys Inst, Bjerknes Ctr Climate Res, Bergen, Norway.</t>
  </si>
  <si>
    <t>kjersti.daae@uib.no</t>
  </si>
  <si>
    <t>Darelius, Elin/O-4096-2015</t>
  </si>
  <si>
    <t>Darelius, Elin/0000-0003-3060-0317; Mueller, Rachael/0000-0002-4279-7922; Hellmer, Hartmut/0000-0002-9357-9853; Naughten, Kaitlin/0000-0001-9475-9162</t>
  </si>
  <si>
    <t>Centre for Climate Dynamics at the Bjerknes Centre; Norwegian Research council [267660, 231549, 229764, 247699]; NERC [bas0100033] Funding Source: UKRI</t>
  </si>
  <si>
    <t>Centre for Climate Dynamics at the Bjerknes Centre; Norwegian Research council(Research Council of Norway); NERC(UK Research &amp; Innovation (UKRI)Natural Environment Research Council (NERC))</t>
  </si>
  <si>
    <t>This work is supported by the Centre for Climate Dynamics at the Bjerknes Centre and by the Norwegian Research council through project 267660 (TOBACO, NOTUR NN9608K), 231549 (WARM), 229764 (AiSSESS), and 247699 (NARE ObsFRIS). The authors thank two anonymous reviewers for constructive comments that improved the manuscript.</t>
  </si>
  <si>
    <t>e2020GL089237</t>
  </si>
  <si>
    <t>10.1029/2020GL089237</t>
  </si>
  <si>
    <t>PA7OJ</t>
  </si>
  <si>
    <t>WOS:000595819700076</t>
  </si>
  <si>
    <t>Hindley, NP; Wright, CJ; Hoffmann, L; Moffat-Griffin, T; Mitchell, NJ</t>
  </si>
  <si>
    <t>Hindley, N. P.; Wright, C. J.; Hoffmann, L.; Moffat-Griffin, T.; Mitchell, N. J.</t>
  </si>
  <si>
    <t>An 18-Year Climatology of Directional Stratospheric Gravity Wave Momentum Flux From 3-D Satellite Observations</t>
  </si>
  <si>
    <t>gravity waves; remote sensing; satellite observations; stratospheric dynamics; quasi‐ biennial oscillation; semiannual oscillation</t>
  </si>
  <si>
    <t>MIDDLE-ATMOSPHERE; SOUTHERN-HEMISPHERE; POLAR VORTEX; ZONAL WIND; DRAG; GENERATION; AIRS; CIRCULATION; MESOSPHERE; TRANSFORM</t>
  </si>
  <si>
    <t>Atmospheric gravity waves (GWs) are key drivers of the atmospheric circulation, but their representation in general circulation models (GCMs) is challenging, leading to significant biases in middle atmospheric circulations. Unresolved GW momentum transport in GCMs must be parameterized, but global directional GW observations are needed to constrain this. Here we present an 18-year climatology of directional stratospheric GW momentum flux (GWMF) from global AIRS/Aqua 3-D satellite observations during 2002 to 2019. Striking hemispheric asymmetries are found at high latitudes, including dramatic reductions and reversals of GWMF during sudden stratospheric warmings. During Southern Hemisphere winter, a lateral convergence of GWMF toward 60 degrees S is found that has no Northern Hemisphere counterpart. In the tropics, we find that zonal GWMF in AIRS measurements is strongly modulated by the semiannual oscillation (SAO) but not the quasi-biennial oscillation (QBO). Our results provide guidance for future GW parameterizations needed to resolve long-standing biases in GCMs.</t>
  </si>
  <si>
    <t>[Hindley, N. P.; Wright, C. J.; Mitchell, N. J.] Univ Bath, Ctr Space Atmospher &amp; Ocean Sci, Bath, Avon, England; [Hoffmann, L.] Forschungszentrum Julich, Julich Supercomp Ctr, Julich, Germany; [Moffat-Griffin, T.; Mitchell, N. J.] British Antarctic Survey, Atmosphere Ice &amp; Climate Grp, Cambridge, England</t>
  </si>
  <si>
    <t>University of Bath; Helmholtz Association; Research Center Julich; UK Research &amp; Innovation (UKRI); Natural Environment Research Council (NERC); NERC British Antarctic Survey</t>
  </si>
  <si>
    <t>Hindley, NP (corresponding author), Univ Bath, Ctr Space Atmospher &amp; Ocean Sci, Bath, Avon, England.</t>
  </si>
  <si>
    <t>n.hindley@bath.ac.uk</t>
  </si>
  <si>
    <t>Hoffmann, Lars/ABI-3746-2020; Wright, Corwin/J-4598-2014</t>
  </si>
  <si>
    <t>Hoffmann, Lars/0000-0003-3773-4377; Hindley, Neil/0000-0003-4377-2038; Wright, Corwin/0000-0003-2496-953X; Mitchell, Nicholas/0000-0003-1149-8484</t>
  </si>
  <si>
    <t>U.K. Natural Environment Research Council (NERC) [NE/R001391/1, NE/R001235/1]; Royal Society [UF160545]; NERC [NE/S00985X/1, bas0100032, NE/R001391/1, NE/R001235/1] Funding Source: UKRI</t>
  </si>
  <si>
    <t>U.K. Natural Environment Research Council (NERC)(UK Research &amp; Innovation (UKRI)Natural Environment Research Council (NERC)); Royal Society(Royal Society); NERC(UK Research &amp; Innovation (UKRI)Natural Environment Research Council (NERC))</t>
  </si>
  <si>
    <t>This study is supported by the U.K. Natural Environment Research Council (NERC) under grant numbers NE/R001391/1 and NE/R001235/1 supporting N. P. Hindley, C. J. Wright, N. J. Mitchell, and T. Moffat-Griffin and by a Royal Society University Research Fellowship UF160545 supporting C. J. W. The authors gratefully acknowledge the BALENA high-performance computing service at the University of Bath, the JURECA high-performance computing service at Forschungszentrum Julich and the ERA5 reanalysis data set available from the Copernicus Climate Data Store (C3S) at the European Centre for Medium-Range Weather Forecasts (ECMWF). We would like to thank Dann Mitchell for helpful discussions on SSWs and Joan Alexander for discussions on the observational filter. Finally, we would like to thank Inna Polichtchouk and one anonymous reviewer for their helpful comments and suggestions.</t>
  </si>
  <si>
    <t>e2020GL089557</t>
  </si>
  <si>
    <t>10.1029/2020GL089557</t>
  </si>
  <si>
    <t>WOS:000595819700077</t>
  </si>
  <si>
    <t>Li, SJ; Cai, WJ; Wu, LX</t>
  </si>
  <si>
    <t>Li, Shujun; Cai, Wenju; Wu, Lixin</t>
  </si>
  <si>
    <t>Attenuated Interannual Variability of Austral Winter Antarctic Sea Ice Over Recent Decades</t>
  </si>
  <si>
    <t>Antarctic sea ice; interannual variability; Antarctic Dipole</t>
  </si>
  <si>
    <t>EL-NINO FLAVORS; ATMOSPHERIC CIRCULATION; 20-1ST-CENTURY SHIFT; CLIMATE; ENSO; OCEAN; IMPACTS; DRIVEN; DIPOLE; EXTENT</t>
  </si>
  <si>
    <t>Changes in Antarctic sea ice modify surface circulation, deep-water formation, and overturning circulation, affecting the ecosystem and the atmosphere-ocean-ice interaction. Recent studies focused on long-term trends of Antarctic sea ice, but whether its variability has changed is less clear. By examining reanalysis data sets, we show an interdecadal attenuation in variability of austral winter Antarctic sea ice since the late 1990s. This mainly arises from declined surface pressure variations in response to a combined effect of El Nino-Southern Oscillation (ENSO) and the Southern Annular Mode (SAM). Compared to the pre-1999 period, ENSO and the SAM have reduced variability in the post-1999 period, and the linkage between them and Antarctic climate has weakened. The decreased level of variability over the 1999-2017 period may facilitate a more sensitive response of Antarctic sea ice to an external forcing, by enhancing the signal-to-noise ratio.</t>
  </si>
  <si>
    <t>[Li, Shujun; Cai, Wenju; Wu, Lixin] Ocean Univ China, Key Lab Phys Oceanog, Inst Adv Ocean Studies, Qingdao, Peoples R China; [Li, Shujun; Cai, Wenju; Wu, Lixin] Qingdao Natl Lab Marine Sci &amp; Technol, Qingdao, Peoples R China; [Li, Shujun; Cai, Wenju] CSIRO Oceans &amp; Atmosphere, Ctr Southern Hemisphere Oceans Res CSHOR, Hobart, Tas, Australia</t>
  </si>
  <si>
    <t>Ocean University of China; Laoshan Laboratory; Commonwealth Scientific &amp; Industrial Research Organisation (CSIRO)</t>
  </si>
  <si>
    <t>Cai, WJ (corresponding author), Ocean Univ China, Key Lab Phys Oceanog, Inst Adv Ocean Studies, Qingdao, Peoples R China.;Cai, WJ (corresponding author), Qingdao Natl Lab Marine Sci &amp; Technol, Qingdao, Peoples R China.;Cai, WJ (corresponding author), CSIRO Oceans &amp; Atmosphere, Ctr Southern Hemisphere Oceans Res CSHOR, Hobart, Tas, Australia.</t>
  </si>
  <si>
    <t>wenju.cai@csiro.au</t>
  </si>
  <si>
    <t>Cai, Wei-Jun/C-1361-2013; cai, wenju/C-2864-2012</t>
  </si>
  <si>
    <t>Li, Shujun/0000-0002-6116-0652; cai, wenju/0000-0001-6520-0829</t>
  </si>
  <si>
    <t>National Key Research and Development Program of China [2018YFA0605700, 2019YFC1509100]; CSHOR</t>
  </si>
  <si>
    <t>National Key Research and Development Program of China; CSHOR</t>
  </si>
  <si>
    <t>We thank professor Xiaojun Yuan and another reviewer for their helpful comments. This work is supported by the National Key Research and Development Program of China (nos. 2018YFA0605700 and 2019YFC1509100). W. C. is supported by CSHOR, a joint research Center for Southern Hemisphere Oceans Research between QNLM and CSIRO.</t>
  </si>
  <si>
    <t>e2020GL090590</t>
  </si>
  <si>
    <t>10.1029/2020GL090590</t>
  </si>
  <si>
    <t>WOS:000595819700089</t>
  </si>
  <si>
    <t>Menking, JA; Brook, EJ; Schilt, A; Shackleton, S; Dyonisius, M; Severinghaus, JP; Petrenko, VV</t>
  </si>
  <si>
    <t>Menking, J. A.; Brook, E. J.; Schilt, A.; Shackleton, S.; Dyonisius, M.; Severinghaus, J. P.; Petrenko, V. V.</t>
  </si>
  <si>
    <t>Millennial-Scale Changes in Terrestrial and Marine Nitrous Oxide Emissions at the Onset and Termination of Marine Isotope Stage 4</t>
  </si>
  <si>
    <t>nitrous oxide; paleoclimatology; ice core</t>
  </si>
  <si>
    <t>ABRUPT CLIMATE-CHANGE; ATMOSPHERIC CO2; ANTARCTIC ICE; CHRONOLOGY AICC2012; OCEAN CIRCULATION; LATE PLEISTOCENE; TAYLOR GLACIER; NORTH PACIFIC; N2O EMISSIONS; LAST</t>
  </si>
  <si>
    <t>Ice core measurements of the concentration and stable isotopic composition of atmospheric nitrous oxide (N2O) 74,000-59,000 years ago constrain marine and terrestrial emissions. The data include two major Dansgaard-Oeschger (D-O) events and the N2O decrease during global cooling at the Marine Isotope Stage (MIS) 5a-4 transition. The N2O increase associated with D-O 19 (similar to 73-71.5 ka) was driven by equal contributions from marine and terrestrial emissions. The N2O decrease during the transition into MIS 4 (similar to 71.5-67.5 ka) was caused by gradual reductions of similar magnitude in both marine and terrestrial sources. A 50 ppb increase in N2O concentration at the end of MIS 4 was caused by gradual increases in marine and terrestrial emissions between similar to 64 and 61 ka, followed by an abrupt increase in marine emissions at the onset of D-O 16/17 (59.5 ka). This suggests that the importance of marine versus terrestrial emissions in controlling millennial-scale N2O fluctuations varied in time. Plain Language Summary Nitrous oxide is a powerful greenhouse gas that is produced naturally in soils and oceans. An important unresolved question is the extent to which anthropogenic warming will stimulate additional emissions from these sources, further adding to the warming. Past variations in the abundance of nitrous oxide have been observed using ice core reconstructions, but the reasons for the variations are not well understood. Nitrous oxide produced in soils is isotopically distinct from nitrous oxide produced in oceans. New measurements of the isotopes of atmospheric nitrous oxide provide constraints on how marine and terrestrial sources must have changed, driving fluctuations in nitrous oxide concentration during two intervals of rapid warming and a prolonged period of global cooling. The reconstructed changes in nitrous oxide sources provide insights into relationships between marine and terrestrial ecosystems and climate.</t>
  </si>
  <si>
    <t>[Menking, J. A.; Brook, E. J.; Schilt, A.] Oregon State Univ, Coll Earth Ocean &amp; Atmospher Sci, Corvallis, OR 97331 USA; [Shackleton, S.] Princeton Univ, Dept Geosci, Princeton, NJ 08544 USA; [Dyonisius, M.; Petrenko, V. V.] Univ Rochester, Dept Earth &amp; Environm Sci, Rochester, NY USA; [Severinghaus, J. P.] Scripps Inst Oceanog, La Jolla, CA USA</t>
  </si>
  <si>
    <t>Oregon State University; Princeton University; University of Rochester; University of California System; University of California San Diego; Scripps Institution of Oceanography</t>
  </si>
  <si>
    <t>Menking, JA (corresponding author), Oregon State Univ, Coll Earth Ocean &amp; Atmospher Sci, Corvallis, OR 97331 USA.</t>
  </si>
  <si>
    <t>james.menking@oregonstate.edu</t>
  </si>
  <si>
    <t>Menking, James Andrew/GPX-8702-2022; Brook, Edward/AAB-7807-2021</t>
  </si>
  <si>
    <t>Menking, James Andrew/0000-0002-5891-6711; Shackleton, Sarah/0000-0001-5927-1954; Severinghaus, Jeffrey/0000-0001-8883-3119</t>
  </si>
  <si>
    <t>National Science Foundation Office of Polar Programs [PLR-1245821, PLR-1245659, PLR-1246148]</t>
  </si>
  <si>
    <t>National Science Foundation Office of Polar Programs(National Science Foundation (NSF)NSF - Directorate for Geosciences (GEO))</t>
  </si>
  <si>
    <t>We thank Mike Jayred for drilling the ice core used for this study, especially on the spur of the moment. We also thank Kathy Schroeder for managing the Taylor Glacier field camp. We thank Peter Sperlich, Isaac Vimont, Peter Neff, Heidi Roop, Bernhard Bereiter, Jake Ward, and Andrew Smith for their help with field logistics and drilling, sampling, and packing ice cores. We thank the United States Antarctic Program, with particular thanks to Science Cargo, the BFC, and Helicopter Operations. This research was supported by the National Science Foundation Office of Polar Programs (grant PLR-1245821, PLR-1245659, and PLR-1246148). We thank Mike Kaplan and one anonymous reviewer for their helpful feedback on the original draft of this manuscript.</t>
  </si>
  <si>
    <t>e2020GL089110</t>
  </si>
  <si>
    <t>10.1029/2020GL089110</t>
  </si>
  <si>
    <t>WOS:000595819700020</t>
  </si>
  <si>
    <t>Montgomery, L; Miège, C; Miller, J; Scambos, TA; Wallin, B; Miller, O; Solomon, DK; Forster, R; Koenig, L</t>
  </si>
  <si>
    <t>Montgomery, Lynn; Miege, Clement; Miller, Julie; Scambos, Ted A.; Wallin, Bruce; Miller, Olivia; Solomon, D. Kip; Forster, Richard; Koenig, Lora</t>
  </si>
  <si>
    <t>Hydrologic Properties of a Highly Permeable Firn Aquifer in the Wilkins Ice Shelf, Antarctica</t>
  </si>
  <si>
    <t>firn aquifer; hydrology; ice shelf; Antarctica; hydraulic conductivity; water flow</t>
  </si>
  <si>
    <t>SURFACE MASS-BALANCE; MELTWATER STORAGE; BREAK-UP; CLIMATE; PENINSULA; FAILURE; DRIVEN; MODEL; FLOW</t>
  </si>
  <si>
    <t>We present measurements of the density, hydraulic conductivity, and specific discharge of a widespread firn aquifer in Antarctica, within the Wilkins Ice Shelf. At the field site, the aquifer is 16.2 m thick, starting at 13.4 m from the snow surface and transitioning from water-saturated firn to ice at 29.6 m. Hydraulic conductivity derived from slug tests show a geometric mean value of 1.4 +/- 1.2 x 10(-4) m s(-1), equivalent to permeability of 2.6 +/- 2.2 x 10(-11) m(2). A borehole dilution test indicates an average specific discharge value of 1.9 +/- 2.8 x 10(-6) m s(-1). Ground-penetrating radar profiles and a groundwater flow model show the aquifer is draining laterally into a large nearby rift. Our findings indicate that the firn aquifer in the vicinity of the field site is likely not in a steady state and its presence likely contributed to past ice shelf instability.</t>
  </si>
  <si>
    <t>[Montgomery, Lynn] Univ Colorado, Dept Atmospher &amp; Ocean Sci, Boulder, CO 80309 USA; [Miege, Clement] Rutgers State Univ, Dept Geog, Piscataway, NJ USA; [Miller, Julie; Scambos, Ted A.] Univ Colorado, Cooperat Inst Res Environm Sci, Boulder, CO 80309 USA; [Miller, Julie; Scambos, Ted A.] Univ Colorado, Earth Sci &amp; Observat Ctr, Boulder, CO 80309 USA; [Wallin, Bruce; Koenig, Lora] Cooperat Inst Res Environm Studies, Natl Snow &amp; Ice Data Ctr, Boulder, CO USA; [Miller, Olivia] US Geol Survey, Utah Water Sci Ctr, Salt Lake City, UT USA; [Solomon, D. Kip] Univ Utah, Dept Geol &amp; Geophys, Salt Lake City, UT 84112 USA; [Forster, Richard] Univ Utah, Geog Dept, Salt Lake City, UT USA</t>
  </si>
  <si>
    <t>University of Colorado System; University of Colorado Boulder; Rutgers University System; Rutgers University New Brunswick; University of Colorado System; University of Colorado Boulder; University of Colorado System; University of Colorado Boulder; United States Department of the Interior; United States Geological Survey; Utah System of Higher Education; University of Utah; Utah System of Higher Education; University of Utah</t>
  </si>
  <si>
    <t>Montgomery, L (corresponding author), Univ Colorado, Dept Atmospher &amp; Ocean Sci, Boulder, CO 80309 USA.</t>
  </si>
  <si>
    <t>lynn.montgomery@colorado.edu</t>
  </si>
  <si>
    <t>; Solomon, Douglas Kip/C-7951-2016</t>
  </si>
  <si>
    <t>KOENIG, LORA/0000-0002-6057-8483; WALLIN, BRUCE/0000-0002-4928-1814; Solomon, Douglas Kip/0000-0001-6370-7124; Miege, Clement/0000-0002-1894-3723; SCAMBOS, Ted A./0000-0003-4268-6322; Miller, Olivia/0000-0002-8846-7048</t>
  </si>
  <si>
    <t>National Science Foundation (NSF) [ANT-1745116]; NSF [ARC-1604058, ACI-1443054, OPP-1739003, IIS-1838230]; NASA [NNX16AH54G, NNX10AN61G]; Polar Geospatial Center under NSF-OPP [1543501, 1810976, 1542736, 15596911, 1043681, 1541332, 0753663, 1548562, 1238993, 1559691]</t>
  </si>
  <si>
    <t>National Science Foundation (NSF)(National Science Foundation (NSF)National Research Foundation of Korea); NSF(National Science Foundation (NSF)); NASA(National Aeronautics &amp; Space Administration (NASA)); Polar Geospatial Center under NSF-OPP</t>
  </si>
  <si>
    <t>This work was supported by a National Science Foundation (NSF) Grant ANT-1745116. C.M. was partly supported by NSF Grant ARC-1604058. We appreciate the constructive and thorough reviews by Elizabeth Case, Jonny Kingslake, Annie Putman, and Baptiste Vandecrux, which greatly improved this manuscript. We thank our Editor Mathieu Morlighem for handling our manuscript. We acknowledge and express our gratitude to the British Antarctic Survey for outstanding field and logistics support, including our exceptional field guide, Tom Lawfield. We also thank Tri Datta, Christoph Kittel, and Brice Noel for providing model output from MAR and RACMO2. We thank Michelle Koutnik for lending us her conductivity probe. We acknowledge UNAVCO for lending us two GPS receivers. We acknowledge the use of data and/or data products from CReSIS generated with support from the University of Kansas, NASA Operation IceBridge grant NNX16AH54G, NSF grants ACI-1443054, OPP-1739003, and IIS-1838230, Lilly Endowment Incorporated, and Indiana METACyt Initiative. REMA DEM (Figure 1) is provided by the Byrd Polar and Climate Research Center and the Polar Geospatial Center under NSF-OPP awards 1543501, 1810976, 1542736, 1559691, 1043681, 1541332, 0753663, 1548562, and 1238993 and NASA award NNX10AN61G. Computer time provided through a Blue Waters Innovation Initiative. DEMs were produced using data from DigitalGlobe, Inc. Geospatial support for this work was provided by the Polar Geospatial Center under NSF-OPP awards 1043681 and 1559691. Any use of trade, firm, or product names is for descriptive purposes only and does not imply endorsement by the U.S. Government.</t>
  </si>
  <si>
    <t>e2020GL089552</t>
  </si>
  <si>
    <t>10.1029/2020GL089552</t>
  </si>
  <si>
    <t>WOS:000595819700092</t>
  </si>
  <si>
    <t>Kelley, JL; Desvignes, T; McGowan, KL; Perez, M; Rodriguez, LA; Brown, AP; Culumber, Z; Tobler, M</t>
  </si>
  <si>
    <t>Kelley, Joanna L.; Desvignes, Thomas; McGowan, Kerry L.; Perez, Marcos; Rodriguez, Lenin Arias; Brown, Anthony P.; Culumber, Zach; Tobler, Michael</t>
  </si>
  <si>
    <t>microRNA expression variation as a potential molecular mechanism contributing to adaptation to hydrogen sulphide</t>
  </si>
  <si>
    <t>JOURNAL OF EVOLUTIONARY BIOLOGY</t>
  </si>
  <si>
    <t>differential expression; ecological genomics; hydrogen sulphide; local adaptation; microRNAs; Poecilia mexicana</t>
  </si>
  <si>
    <t>FISH POECILIA-MEXICANA; GENE-EXPRESSION; EVOLUTIONARY ECOLOGY; NATURAL-POPULATIONS; RNA; CAVE; DIVERSIFICATION; PLASTICITY; PROTEIN; MIRNAS</t>
  </si>
  <si>
    <t>microRNAs (miRNAs) are post-transcriptional regulators of gene expression and can play an important role in modulating organismal development and physiology in response to environmental stress. However, the role of miRNAs in mediating adaptation to diverse environments in natural study systems remains largely unexplored. Here, we characterized miRNAs and their expression in Poecilia mexicana, a species of small fish that inhabits both normal streams and extreme environments in the form of springs rich in toxic hydrogen sulphide (H2S). We found that P. mexicana has a similar number of miRNA genes as other teleosts. In addition, we identified a large population of mature miRNAs that were differentially expressed between locally adapted populations in contrasting habitats, indicating that miRNAs may contribute to P. mexicana adaptation to sulphidic environments. In silico identification of differentially expressed miRNA-mRNA pairs revealed, in the sulphidic environment, the downregulation of miRNAs predicted to target mRNAs involved in sulphide detoxification and cellular homeostasis, which are pathways essential for life in H2S-rich springs. In addition, we found that predicted targets of upregulated miRNAs act in the mitochondria (16.6% of predicted annotated targets), which is the main site of H2S toxicity and detoxification, possibly modulating mitochondrial function. Together, the differential regulation of miRNAs between these natural populations suggests that miRNAs may be involved in H2S adaptation by promoting functions needed for survival and reducing functions affected by H2S. This study lays the groundwork for further research to directly demonstrate the role of miRNAs in adaptation to H2S. Overall, this study provides a critical stepping-stone towards a comprehensive understanding of the regulatory mechanisms underlying the adaptive variation in gene expression in a natural system.</t>
  </si>
  <si>
    <t>[Kelley, Joanna L.; McGowan, Kerry L.; Brown, Anthony P.] Washington State Univ, Sch Biol Sci, 100 Dairy Rd, Pullman, WA 99164 USA; [Desvignes, Thomas] Univ Oregon, Inst Neurosci, Eugene, OR 97403 USA; [Perez, Marcos] Washington State Univ, Sch Mol Biosci, Pullman, WA 99164 USA; [Rodriguez, Lenin Arias] Univ Juarez Autonoma Tabasco UJAT, Div Acad Ciencias Biol, Villahermosa, Tabasco, Mexico; [Culumber, Zach] Univ Alabama Huntsville, Dept Biol Sci, Huntsville, AL USA; [Tobler, Michael] Kansas State Univ, Div Biol, 116 Ackert Hall, Manhattan, KS 66506 USA; [Brown, Anthony P.] Univ Calif Davis, Calif Natl Primate Res Ctr, Davis, CA 95616 USA</t>
  </si>
  <si>
    <t>Washington State University; University of Oregon; Washington State University; University of Alabama System; University of Alabama Huntsville; Kansas State University; University of California System; University of California Davis</t>
  </si>
  <si>
    <t>Kelley, JL (corresponding author), Washington State Univ, Sch Biol Sci, 100 Dairy Rd, Pullman, WA 99164 USA.;Tobler, M (corresponding author), Kansas State Univ, Div Biol, 116 Ackert Hall, Manhattan, KS 66506 USA.</t>
  </si>
  <si>
    <t>joanna.l.kelley@wsu.edu; tobler@ksu.edu</t>
  </si>
  <si>
    <t>Kelley, Joanna L/H-1693-2012; Arias Rodriguez, Lenin/AAE-5577-2022; Thomas, Desvignes/AAX-3526-2020; TOBLER, Michael/A-9141-2008</t>
  </si>
  <si>
    <t>Kelley, Joanna L/0000-0002-7731-605X; Thomas, Desvignes/0000-0001-5126-8785; Perez, Marcos/0000-0003-3867-1902; ARIAS RODRIGUEZ, LENIN/0000-0002-8025-5569; Brown, Anthony/0000-0001-6100-2470; Tobler, Michael/0000-0002-0326-0890</t>
  </si>
  <si>
    <t>Division of Antarctic Sciences [OPP-1543383]; Army Research Office [W911NF-15-1-0175]; Division of Integrative Organismal Systems [IOS-1557795, IOS-1557860, IOS-1931650, IOS-1931657]</t>
  </si>
  <si>
    <t>Division of Antarctic Sciences; Army Research Office; Division of Integrative Organismal Systems(National Science Foundation (NSF)NSF - Directorate for Biological Sciences (BIO)NSF - Division of Integrative Organismal Systems (IOS))</t>
  </si>
  <si>
    <t>Division of Antarctic Sciences, Grant/Award Number: OPP-1543383; Army Research Office, Grant/Award Number: W911NF-15-1-0175; Division of Integrative Organismal Systems, Grant/Award Number: IOS-1557795, IOS-1557860, IOS-1931650 and IOS-1931657</t>
  </si>
  <si>
    <t>1010-061X</t>
  </si>
  <si>
    <t>1420-9101</t>
  </si>
  <si>
    <t>J EVOLUTION BIOL</t>
  </si>
  <si>
    <t>J. Evol. Biol.</t>
  </si>
  <si>
    <t>10.1111/jeb.13727</t>
  </si>
  <si>
    <t>ST8PZ</t>
  </si>
  <si>
    <t>WOS:000593091100001</t>
  </si>
  <si>
    <t>Deanna, R; Wilf, P; Gandolfo, MA</t>
  </si>
  <si>
    <t>Deanna, Rocio; Wilf, Peter; Gandolfo, Maria A.</t>
  </si>
  <si>
    <t>New physaloid fruit-fossil species from early Eocene South America</t>
  </si>
  <si>
    <t>AMERICAN JOURNAL OF BOTANY</t>
  </si>
  <si>
    <t>Argentina; Eocene; fossil; fruiting calyx; Laguna del Hunco; Physalis; Solanaceae</t>
  </si>
  <si>
    <t>LAGUNA DEL HUNCO; PHYLOGENETIC PERSPECTIVE; PLANT DIVERSITY; SOLANACEAE; PATAGONIA; RECORD; PALEOGENE; MIOCENE; DIVERSIFICATION; ARAUCARIACEAE</t>
  </si>
  <si>
    <t>Premise Solanaceae is a scientifically and economically important angiosperm family with a minimal fossil record and an intriguing early evolutionary history. Here, we report a newly discovered fossil lantern fruit with a suite of features characteristic of Physalideae within Solanaceae. The fossil comes from the early Eocene Laguna del Hunco site (ca. 52 Ma) in Chubut, Argentina, which previously yielded the only other physaloid fruit fossil, Physalis infinemundi. Methods The fruit morphology and calyx venation pattern of the new fossil were compared with P. infinemundi and extant species of Solanaceae. Results Physalis hunickenii sp. nov. is clearly distinct from P. infinemundi in its fruiting calyx with wider primary veins, longer and thinner lobes, and especially in its venation pattern with high density, transverse tertiary veins; these features support its placement in a new species. In comparison with extant physaloid genera, the calyx venation pattern and other diagnostic traits reinforce placement of the new fossil, like P. infinemundi, within the tribe Physalideae of Solanaceae. Conclusions Both species of fossil nightshades from Laguna del Hunco represent crown-group Solanaceae but are older than all prior age estimates of the family. Although at least 20 transoceanic dispersals have been proposed as the driver of range expansion of Solanaceae, the Patagonian fossils push back the diversification of the family to Gondwanan times. Thus, overland dispersal across Gondwana is now a likely scenario for at least some biogeographic patterns, in light of the ancient trans-Antarctic land connections between South America and Australia.</t>
  </si>
  <si>
    <t>[Deanna, Rocio] UNC, CONICET, IMBIV, CC 495, RA-5000 Cordoba, Argentina; [Deanna, Rocio] UNC, Fac Ciencias Quim FCQ, Dept Ciencias Farmaceut, Medina Allende S N, RA-5000 Cordoba, Argentina; [Deanna, Rocio] Univ Colorado, Dept Ecol &amp; Evolutionary Biol, Boulder, CO 80305 USA; [Wilf, Peter] Penn State Univ, Dept Geosci, University Pk, PA 16802 USA; [Wilf, Peter] Penn State Univ, Earth &amp; Environm Syst Inst, University Pk, PA 16802 USA; [Gandolfo, Maria A.] Cornell Univ, Sch Integrat Plant Sci, LH Bailey Hortorium Plant Biol Sect, Ithaca, NY 14853 USA</t>
  </si>
  <si>
    <t>Consejo Nacional de Investigaciones Cientificas y Tecnicas (CONICET); National University of Cordoba; National University of Cordoba; University of Colorado System; University of Colorado Boulder; Pennsylvania Commonwealth System of Higher Education (PCSHE); Pennsylvania State University; Pennsylvania State University - University Park; Pennsylvania Commonwealth System of Higher Education (PCSHE); Pennsylvania State University; Pennsylvania State University - University Park; Cornell University</t>
  </si>
  <si>
    <t>Deanna, R (corresponding author), UNC, CONICET, IMBIV, CC 495, RA-5000 Cordoba, Argentina.;Deanna, R (corresponding author), UNC, Fac Ciencias Quim FCQ, Dept Ciencias Farmaceut, Medina Allende S N, RA-5000 Cordoba, Argentina.;Deanna, R (corresponding author), Univ Colorado, Dept Ecol &amp; Evolutionary Biol, Boulder, CO 80305 USA.</t>
  </si>
  <si>
    <t>rociodeanna@gmail.com</t>
  </si>
  <si>
    <t>Gandolfo, Maria/0000-0002-5430-1808; Deanna, Rocio/0000-0001-8753-7596; Wilf, Peter/0000-0001-6813-1937</t>
  </si>
  <si>
    <t>National Science Foundation [DEB-1556666, DEB-1556136, EAR-1925755, EAR1925552, DEB-1557871]; National Council for Scientific Research and Techniques (CONICET); National Agency for Scientific Promotion and Technological grant (FONCyT) [PICT 2017-2370]; Society of Systematic Biologists (Mini-ARTS grant); SECyT (National University of Cordoba, Argentina) [203/14]</t>
  </si>
  <si>
    <t>National Science Foundation(National Science Foundation (NSF)); National Council for Scientific Research and Techniques (CONICET); National Agency for Scientific Promotion and Technological grant (FONCyT); Society of Systematic Biologists (Mini-ARTS grant); SECyT (National University of Cordoba, Argentina)</t>
  </si>
  <si>
    <t>The authors thank staff from the Museo Paleontologico Egidio Feruglio for field and laboratory support, especially P. Puerta, L. Canessa, I. Escapa, E. Ruigomez, and M. Krause; F. De Benedetti, E. Stiles, A. Andruchow-Colombo, C. Davidson, and others for additional field assistance; and Secretaria de Cultura del Chubut for access permits. The first author also gratefully acknowledges support from National Science Foundation grant DEB-1557871, National Council for Scientific Research and Techniques (CONICET), National Agency for Scientific Promotion and Technological grant PICT 2017-2370 (FONCyT), Society of Systematic Biologists (Mini-ARTS grant), and SECyT grant 203/14 (National University of Cordoba, Argentina). Authors P.W. and M.A.G. received support from National Science Foundation grants DEB-1556666, DEB-1556136, EAR-1925755, and EAR1925552. We are also grateful to G. E. Barboza, S. Knapp, S. Leiva Gonzalez, and M. S. Vorontsova for the field photographs (Fig. 5); S. Liu for translations from Chinese of herbarium labels, A. N. Perez (CONICET, Argentina) for her help on the calyx clearings (Fig. 6), and M. Gritti (UNC, Argentina) for his contributions on the photographs of cleared calyces (Fig. 6) and his imaging expertise. We also appreciate the insightful comments provided by S. D. Smith and F. E. Chiarini and reviewers S. Manchester and R. Olmstead.</t>
  </si>
  <si>
    <t>0002-9122</t>
  </si>
  <si>
    <t>1537-2197</t>
  </si>
  <si>
    <t>AM J BOT</t>
  </si>
  <si>
    <t>Am. J. Bot.</t>
  </si>
  <si>
    <t>10.1002/ajb2.1565</t>
  </si>
  <si>
    <t>PK8WR</t>
  </si>
  <si>
    <t>WOS:000593107400001</t>
  </si>
  <si>
    <t>Stål, T; Reading, AM; Halpin, JA; Phipps, SJ; Whittaker, JM</t>
  </si>
  <si>
    <t>Stal, Tobias; Reading, Anya M.; Halpin, Jacqueline A.; Phipps, Steven J.; Whittaker, Joanne M.</t>
  </si>
  <si>
    <t>The Antarctic Crust and Upper Mantle: A Flexible 3D Model and Software Framework for Interdisciplinary Research</t>
  </si>
  <si>
    <t>Antarctica; lithosphere; interdisciplinary; open source software; multivariate methods</t>
  </si>
  <si>
    <t>GLACIAL ISOSTATIC-ADJUSTMENT; RADIOGENIC HEAT-PRODUCTION; ICE-SHEET; EAST ANTARCTICA; HISTORICAL PERSPECTIVES; CONTINENTAL LITHOSPHERE; THERMAL STRUCTURE; STRUCTURE BENEATH; SUBGLACIAL BASIN; TECTONIC EVENTS</t>
  </si>
  <si>
    <t>Interdisciplinary research concerning solid Earth-cryosphere interaction and feedbacks requires a working model of the Antarctic crust and upper mantle. Active areas of interest include the effect of the heterogeneous Earth structure on glacial isostatic adjustment, the distribution of geothermal heat, and the history of erosion and deposition. In response to this research need, we construct an adaptable and updatable 3D grid model in a software framework to contain and process solid Earth data. The computational framework, based on an open source software package agrid, allows different data sources to be combined and jointly analyzed. The grid model is populated with crustal properties from geological observations and geochronology results, where such data exist, and published segmentation from geophysical data in the interior where direct observations are absent. The grid also contains 3D geophysical data such as wave speed and derived temperature from seismic tomographic models, and 2D datasets such as gravity anomalies, surface elevation, subglacial temperature, and ice sheet boundaries. We demonstrate the usage of the framework by computing new estimates of subglacial steady-state heat flow in a continental scale model for east Antarctica and a regional scale model for the Wilkes Basin in Victoria Land. We hope that the 3D model and framework will be used widely across the solid Earth and cryosphere research communities.</t>
  </si>
  <si>
    <t>[Stal, Tobias; Reading, Anya M.] Univ Tasmania, Sch Nat Sci Earth Sci Phys, Hobart, Tas, Australia; [Stal, Tobias; Reading, Anya M.; Halpin, Jacqueline A.; Phipps, Steven J.; Whittaker, Joanne M.] Univ Tasmania, Inst Marine &amp; Antarct Studies, Hobart, Tas, Australia</t>
  </si>
  <si>
    <t>Stål, T (corresponding author), Univ Tasmania, Sch Nat Sci Earth Sci Phys, Hobart, Tas, Australia.;Stål, T (corresponding author), Univ Tasmania, Inst Marine &amp; Antarct Studies, Hobart, Tas, Australia.</t>
  </si>
  <si>
    <t>tobias.staal@utas.edu.au</t>
  </si>
  <si>
    <t>Reading, Anya M/E-6728-2012; Phipps, Steven J/B-3135-2008; Stål, Tobias/AAI-9302-2021; Whittaker, Joanne/B-3695-2010</t>
  </si>
  <si>
    <t>Reading, Anya M/0000-0002-9316-7605; Stål, Tobias/0000-0002-4323-6748; Whittaker, Joanne/0000-0002-3170-3935</t>
  </si>
  <si>
    <t>Australian Research Council's Special Research Initiative for Antarctic Gateway Partnership [SR140300001]; Center for Southern Hemisphere Oceans Research</t>
  </si>
  <si>
    <t>Australian Research Council's Special Research Initiative for Antarctic Gateway Partnership(Australian Research Council); Center for Southern Hemisphere Oceans Research</t>
  </si>
  <si>
    <t>This research was supported under Australian Research Council's Special Research Initiative for Antarctic Gateway Partnership (Project ID SR140300001) and the Center for Southern Hemisphere Oceans Research, a joint research center between QNLM and CSIRO.</t>
  </si>
  <si>
    <t>NOV 27</t>
  </si>
  <si>
    <t>10.3389/feart.2020.577502</t>
  </si>
  <si>
    <t>PG3OP</t>
  </si>
  <si>
    <t>WOS:000599648500001</t>
  </si>
  <si>
    <t>Kochman-Kedziora, N; Olech, M; Van De Vijver, B</t>
  </si>
  <si>
    <t>Kochman-Kedziora, Natalia; Olech, Maria; Van De Vijver, Bart</t>
  </si>
  <si>
    <t>A critical analysis of the type of Navicula skuae with the description of a new Navicula species (Naviculaceae, Bacillariophyta) from the Antarctic Region</t>
  </si>
  <si>
    <t>King George Island; Maritime Antarctic Region; morphology; SEM; soil diatom; taxonomy</t>
  </si>
  <si>
    <t>SOUTH SHETLAND ISLANDS; JAMES-ROSS-ISLAND; GENUS MUELLERIA BACILLARIOPHYTA; LUTICOLA TAXA BACILLARIOPHYTA; KING GEORGE ISLAND; FRESH-WATER; REVISION; DIATOM; LAKES; WEST</t>
  </si>
  <si>
    <t>During a study of the limno-terrestrial diatoms on King George Island (South Shetland Islands), an unknown Navicula taxon was observed. Detailed morphological analysis based on both light and scanning electron microscopy observations revealed a unique set of morphological features, that were not observed in any Navicula taxon known so far. Despite an extensive literature search, it was not possible to identify this taxon and therefore it is described as a new species: Navicula massalskiana sp. nov. At present, the new species has only been observed from its type locality, acid soils influenced by penguin excrements, close to the seashore in the Admiralty Bay Region (King George Island). Navicula massalskiana shows a high similarity with two other Antarctic species: Navicula skuae and Navicula shackletonii. The taxonomic situation of these two taxa is investigated. The type material of Navicula skuae was reinvestigated and compared with the published morphological description of N. shackletonii. Based on this comparison, both taxa are clearly conspecific making N. skuae a later synonym of Navicula shackletonii.</t>
  </si>
  <si>
    <t>[Kochman-Kedziora, Natalia] Univ Rzeszow, Dept Ecol &amp; Environm Protect, Zelwerowicza 4, PL-35601 Rzeszow, Poland; [Olech, Maria] Jagiellonian Univ, Dept Polar Res &amp; Documentat, Inst Bot, Kopernika 27, PL-31501 Krakow, Poland; [Olech, Maria] Polish Acad Sci, Inst Biochem &amp; Biophys, Pawinskiego 5a, PL-02106 Warsaw, Poland; [Van De Vijver, Bart] Meise Bot Garden, Res Dept, Nieuwelaan 38, B-1860 Meise, Belgium; [Van De Vijver, Bart] Univ Antwerp, Dept Biol, ECOBE, Univ Pl 1, B-2610 Antwerp, Belgium</t>
  </si>
  <si>
    <t>University of Rzeszow; Jagiellonian University; Polish Academy of Sciences; Institute of Biochemistry &amp; Biophysics - Polish Academy of Sciences; University of Antwerp</t>
  </si>
  <si>
    <t>Kochman-Kedziora, N (corresponding author), Univ Rzeszow, Dept Ecol &amp; Environm Protect, Zelwerowicza 4, PL-35601 Rzeszow, Poland.</t>
  </si>
  <si>
    <t>kochman_natalia@wp.pl; maria.olech@uj.edu.pl; bart.vandevijver@plantentuinmeise.be</t>
  </si>
  <si>
    <t>Kochman-Kedziora, Natalia/0000-0003-1006-1715</t>
  </si>
  <si>
    <t>Polish Ministry of Science and Higher Education [026/RID/2018/19]</t>
  </si>
  <si>
    <t>Polish Ministry of Science and Higher Education(Ministry of Science and Higher Education, Poland)</t>
  </si>
  <si>
    <t>The authors wish to thank the Erbario Generale in Rome for providing a subsample of the type material of Navicula skuae. Prof. Teresa Noga (University of Rzeszow, Poland) is thanked for her support and valuable help. The study was financially supported by the project, funded under the Polish Ministry of Science and Higher Education under the name of Regional Excellence Initiative in the years 2019-2022 Project No. 026/RID/2018/19.</t>
  </si>
  <si>
    <t>10.11646/phytotaxa.474.1.2</t>
  </si>
  <si>
    <t>OZ9PX</t>
  </si>
  <si>
    <t>WOS:000595252000002</t>
  </si>
  <si>
    <t>Fair, Z; Flanner, M; Brunt, KM; Fricker, HA; Gardner, A</t>
  </si>
  <si>
    <t>Fair, Zachary; Flanner, Mark; Brunt, Kelly M.; Fricker, Helen Amanda; Gardner, Alex</t>
  </si>
  <si>
    <t>Using ICESat-2 and Operation IceBridge altimetry for supraglacial lake depth retrievals</t>
  </si>
  <si>
    <t>GREENLAND ICE-SHEET; WEST GREENLAND; SEASONAL EVOLUTION; SURFACE MELT; LANDSAT 8; MELTWATER; VOLUME; CLOUD; DRAINAGE; IMAGERY</t>
  </si>
  <si>
    <t>Supraglacial lakes and melt ponds occur in the ablation zones of Antarctica and Greenland during the summer months. Detection of lake extent, depth, and temporal evolution is important for understanding glacier dynamics. Previous remote sensing observations of lake depth are limited to estimates from passive satellite imagery, which has inherent uncertainties, and there is little ground truth available. In this study, we use laser altimetry data from the Ice, Cloud, and land Elevation Satellite-2 (ICESat-2) over the Antarctic and Greenland ablation zones and the Airborne Topographic Mapper (ATM) for Hiawatha Glacier (Greenland) to demonstrate retrievals of supraglacial lake depth. Using an algorithm to separate lake surfaces and beds, we present case studies for 12 supraglacial lakes with the ATM lidar and 12 lakes with ICESat-2. Both lidars reliably detect bottom returns for lake beds as deep as 7 m. Lake bed uncertainties for these retrievals are 0.05-0.20m for ATM and 0.12-0.80m for ICESat-2, with the highest uncertainties observed for lakes deeper than 4 m. The bimodal nature of lake returns means that high-confidence photons are often insufficient to fully profile lakes, so lower confidence and buffer photons are required to view the lake bed. Despite challenges in automation, the altimeter results are promising, and we expect them to serve as a benchmark for future studies of surface meltwater depths.</t>
  </si>
  <si>
    <t>[Fair, Zachary; Flanner, Mark] Univ Michigan, Dept Climate &amp; Space Sci &amp; Engn, Ann Arbor, MI 48109 USA; [Brunt, Kelly M.] NASA, Goddard Space Flight Ctr, Greenbelt, MD USA; [Brunt, Kelly M.] Univ Maryland, ESSIC, College Pk, MD 20742 USA; [Fricker, Helen Amanda] Scripps Inst Oceanog, San Diego, CA USA; [Gardner, Alex] NASA, Jet Prop Lab, Pasadena, CA USA</t>
  </si>
  <si>
    <t>University of Michigan System; University of Michigan; National Aeronautics &amp; Space Administration (NASA); NASA Goddard Space Flight Center; University System of Maryland; University of Maryland College Park; University of California System; University of California San Diego; Scripps Institution of Oceanography; National Aeronautics &amp; Space Administration (NASA); NASA Jet Propulsion Laboratory (JPL)</t>
  </si>
  <si>
    <t>Fair, Z (corresponding author), Univ Michigan, Dept Climate &amp; Space Sci &amp; Engn, Ann Arbor, MI 48109 USA.</t>
  </si>
  <si>
    <t>zhfair@umich.edu</t>
  </si>
  <si>
    <t>Flanner, Mark/C-6139-2011</t>
  </si>
  <si>
    <t>Flanner, Mark/0000-0003-4012-174X; Fricker, Helen Amanda/0000-0002-0921-1432; Fair, Zachary/0000-0002-6047-1723; brunt, kelly/0000-0002-6462-6112</t>
  </si>
  <si>
    <t>NASA Earth and Space Science Fellowship [19-EARTH19R-0047]; NASA [80NSSC20K0062]</t>
  </si>
  <si>
    <t>NASA Earth and Space Science Fellowship; NASA(National Aeronautics &amp; Space Administration (NASA))</t>
  </si>
  <si>
    <t>This research was supported by the NASA Earth and Space Science Fellowship (grant no. 19-EARTH19R-0047) and NASA grant 80NSSC20K0062.</t>
  </si>
  <si>
    <t>10.5194/tc-14-4253-2020</t>
  </si>
  <si>
    <t>PA3UR</t>
  </si>
  <si>
    <t>WOS:000595564900001</t>
  </si>
  <si>
    <t>Purdie, H; Bealing, P; Gomez, C; Anderson, B; Marsh, OJ</t>
  </si>
  <si>
    <t>Purdie, Heather; Bealing, Paul; Gomez, Christopher; Anderson, Brian; Marsh, Oliver J.</t>
  </si>
  <si>
    <t>Morphological changes to the terminus of a maritime glacier during advance and retreat phases: Fox Glacier/Te Moeka o Tuawe, New Zealand</t>
  </si>
  <si>
    <t>GEOGRAFISKA ANNALER SERIES A-PHYSICAL GEOGRAPHY</t>
  </si>
  <si>
    <t>Fox glacier; structure-from-motion; ice flux; climate change</t>
  </si>
  <si>
    <t>STRUCTURAL GLACIOLOGY; LENGTH</t>
  </si>
  <si>
    <t>Fox Glacier/Te Moeka o Tuawe is a fast-responding maritime glacier that has undergone multiple advance and retreat phases during recent decades. Here we use a combination of repeat photography, Structure from Motion (SfM), and ice discharge measurement, to identify key morphological differences associated with these repeated phase changes, and assess how much of the current terminus is still dynamically active. Increasing surface-debris cover at the margins and topographic shading result in the asymmetry of the retreating terminus, with central portions receding faster than the margins. In 2019, the glacier is shorter than at any time in recorded history, and ice flux is insufficient to sustain the current glacier length, with a further similar to 300 m of the glacier terminus region potentially vulnerable to retreat. However, due to the high climate sensitivity of this maritime glacier, even a slight shift towards increasing mass flux could see this trend reverse.</t>
  </si>
  <si>
    <t>[Purdie, Heather; Bealing, Paul] Univ Canterbury, Coll Sci, Sch Earth &amp; Environm, Christchurch, New Zealand; [Gomez, Christopher] Kobe Univ, Grad Sch Maritime Sci, Lab Volcan Risks Sea, Kobe, Hyogo, Japan; [Anderson, Brian] Victoria Univ Wellington, Antarctic Res Ctr, Wellington, New Zealand; [Marsh, Oliver J.] British Antarctic Survey, Cambridge, England</t>
  </si>
  <si>
    <t>University of Canterbury; Kobe University; Victoria University Wellington; UK Research &amp; Innovation (UKRI); Natural Environment Research Council (NERC); NERC British Antarctic Survey</t>
  </si>
  <si>
    <t>Purdie, H (corresponding author), Univ Canterbury, Sch Earth &amp; Environm, Private Bag 4800, Christchurch 8140, New Zealand.</t>
  </si>
  <si>
    <t>heather.purdie@canterbury.ac.nz</t>
  </si>
  <si>
    <t>Marsh, Oliver J/K-7436-2014; 神戸ベアー, クリス/Q-8402-2019</t>
  </si>
  <si>
    <t>神戸ベアー, クリス/0000-0002-1738-2434; Marsh, Oliver/0000-0001-7874-514X</t>
  </si>
  <si>
    <t>Brian Mason Science and Technical Trust; NERC [bas0100034] Funding Source: UKRI</t>
  </si>
  <si>
    <t>Brian Mason Science and Technical Trust; NERC(UK Research &amp; Innovation (UKRI)Natural Environment Research Council (NERC))</t>
  </si>
  <si>
    <t>Thanks to Fox Glacier Guiding, the Department of Conservation/Te Papa Atawhai, and the Brian Mason Science and Technical Trust for their support of glaciological research at Fox Glacier/Te Moeka o Tuawe. To the late Trevor Chinn, for sharing his photographic library and engaging with discussions on glacier terminus morphology, and the photographic collection of the late Jane Soons..</t>
  </si>
  <si>
    <t>0435-3676</t>
  </si>
  <si>
    <t>1468-0459</t>
  </si>
  <si>
    <t>GEOGR ANN A</t>
  </si>
  <si>
    <t>Geogr. Ann. Ser. A-Phys. Geogr.</t>
  </si>
  <si>
    <t>10.1080/04353676.2020.1840179</t>
  </si>
  <si>
    <t>Geography, Physical; Geology</t>
  </si>
  <si>
    <t>SL1QT</t>
  </si>
  <si>
    <t>WOS:000594933800001</t>
  </si>
  <si>
    <t>Voermans, JJ; Rabault, J; Filchuk, K; Ryzhov, I; Heil, P; Marchenko, A; Collins, CO; Dabboor, M; Sutherland, G; Babanin, AV</t>
  </si>
  <si>
    <t>Voermans, Joey J.; Rabault, Jean; Filchuk, Kirill; Ryzhov, Ivan; Heil, Petra; Marchenko, Aleksey; Collins, Clarence O., III; Dabboor, Mohammed; Sutherland, Graig; Babanin, Alexander, V</t>
  </si>
  <si>
    <t>Experimental evidence for a universal threshold characterizing wave-induced sea ice break-up</t>
  </si>
  <si>
    <t>FLOE-SIZE; PART 2; MODEL; ATTENUATION; IMPLEMENTATION; PROPAGATION; DISPERSION</t>
  </si>
  <si>
    <t>Waves can drastically transform a sea ice cover by inducing break-up over vast distances in the course of a few hours. However, relatively few detailed studies have described this phenomenon in a quantitative manner, and the process of sea ice break-up by waves needs to be further parameterized and verified before it can be reliably included in forecasting models. In the present work, we discuss sea ice break-up parameterization and demonstrate the existence of an observational threshold separating breaking and non-breaking cases. This threshold is based on information from two recent field campaigns, supplemented with existing observations of sea ice break-up. The data used cover a wide range of scales, from laboratory-grown sea ice to polar field observations. Remarkably, we show that both field and laboratory observations tend to converge to a single quantitative threshold at which the wave-induced sea ice breakup takes place, which opens a promising avenue for robust parametrization in operational forecasting models.</t>
  </si>
  <si>
    <t>[Voermans, Joey J.; Babanin, Alexander, V] Univ Melbourne, Dept Infrastruct Engn, Parkville, Vic, Australia; [Rabault, Jean] Norwegian Meteorol Inst, Oslo, Norway; [Rabault, Jean] Univ Oslo, Dept Math, Oslo, Norway; [Filchuk, Kirill; Ryzhov, Ivan] Arctic &amp; Antarctic Res Inst AARI, St Petersburg, Russia; [Heil, Petra] Univ Tasmania, Australian Antarctic Div, Hobart, Tas, Australia; [Heil, Petra] Univ Tasmania, Australian Antarctic Program Partnership, Hobart, Tas, Australia; [Marchenko, Aleksey] Univ Ctr Svalbard, Longyearbyen, Norway; [Collins, Clarence O., III] US Army Engn Res &amp; Dev Ctr, Coastal &amp; Hydraul Lab, Duck, NC USA; [Dabboor, Mohammed] Environm &amp; Climate Change Canada, Sci &amp; Technol Branch, Dorval, PQ, Canada; [Sutherland, Graig] Environm &amp; Climate Change Canada, Environm Numer Predict Res, Dorval, PQ, Canada; [Babanin, Alexander, V] Natl Lab Marine Sci &amp; Technol, Lab Reg Oceanog &amp; Numer Modeling, Qingdao, Peoples R China</t>
  </si>
  <si>
    <t>University of Melbourne; Norwegian Meteorological Institute; University of Oslo; Arctic &amp; Antarctic Research Institute; University of Tasmania; Australian Antarctic Division; University of Tasmania; University Centre Svalbard (UNIS); United States Department of Defense; United States Army; U.S. Army Corps of Engineers; U.S. Army Engineer Research &amp; Development Center (ERDC); Field Research Facility (FRF); Environment &amp; Climate Change Canada; Environment &amp; Climate Change Canada; Laoshan Laboratory</t>
  </si>
  <si>
    <t>Voermans, JJ (corresponding author), Univ Melbourne, Dept Infrastruct Engn, Parkville, Vic, Australia.</t>
  </si>
  <si>
    <t>jvoermans@unimelb.edu.au</t>
  </si>
  <si>
    <t>Marchenko, Aleksey/GSD-3516-2022; Collins, Clarence O/P-7384-2015</t>
  </si>
  <si>
    <t>Marchenko, Aleksey/0000-0003-4169-0063; Voermans, Joey/0000-0002-2963-3763; Rabault, Jean/0000-0002-7244-6592; Heil, Petra/0000-0003-2078-0342; Sutherland, Graigory/0000-0001-6109-9022</t>
  </si>
  <si>
    <t>Joyce Lambert Antarctic Research Fund [604086]; Australian Antarctic Program [4593, 4506]; Research Council of Norway; University of Oslo [280625]</t>
  </si>
  <si>
    <t>Joyce Lambert Antarctic Research Fund; Australian Antarctic Program; Research Council of Norway(Research Council of Norway); University of Oslo</t>
  </si>
  <si>
    <t>This research has been supported by the Joyce Lambert Antarctic Research Fund (grant no. 604086), the Australian Antarctic Program (grant no. 4593), the Australian Antarctic Program (grant no. 4506), the Research Council of Norway (SFI SIB grant) and the University of Oslo (DOFI project, grant no. 280625).</t>
  </si>
  <si>
    <t>10.5194/tc-14-4265-2020</t>
  </si>
  <si>
    <t>WOS:000595564900002</t>
  </si>
  <si>
    <t>Riccialdelli, L; Becker, YA; Fioramonti, NE; Torres, M; Bruno, DO; Rey, AR; Fernández, DA</t>
  </si>
  <si>
    <t>Riccialdelli, Luciana; Becker, Yamila A.; Fioramonti, Nicolas E.; Torres, Monica; Bruno, Daniel O.; Raya Rey, Andrea; Fernandez, Daniel A.</t>
  </si>
  <si>
    <t>Trophic structure of southern marine ecosystems: a comparative isotopic analysis from the Beagle Channel to the oceanic Burdwood Bank area under a wasp-waist assumption</t>
  </si>
  <si>
    <t>Pelagic food web; Wasp-waist structure; delta C-13; delta N-15; MPA Namuncura-Burdwood Bank; Beagle Channel; Tierra del Fuego</t>
  </si>
  <si>
    <t>FOOD-WEB STRUCTURE; STABLE-ISOTOPES; MUNIDA-GREGARIA; ORGANIC-MATTER; PATAGONOTOTHEN-RAMSAYI; INTERANNUAL VARIATION; ZOOPLANKTON BIOMASS; SPRATTUS-FUEGENSIS; PATAGONIAN SHELF; CLIMATE-CHANGE</t>
  </si>
  <si>
    <t>Understanding the structure and functioning of marine ecosystems has become a critical issue to assess the potential short- and long-term effects of natural and anthropogenic impacts and to determine the knowledge needed to conduct appropriate conservation actions. This goal can be achieved in part by acquiring more detailed food web information and evaluating the processes that shape food web structure and dynamics. Our main objective was to identify large-scale patterns in the organization of pelagic food webs that can be linked to a wasp-waist (WW) structure, proposed for the southwestern South Atlantic Ocean. We evaluated 3 sub-Antarctic marine areas in a regional context: the Beagle Channel (BC), the Atlantic coast of Tierra del Fuego (CA) and the oceanic Burdwood Bank area (BB). We used carbon and nitrogen isotopic information of all functional trophic groups, ranging from primary producers to top predators, and analyzed them through stable isotope-based Bayesian analyses. We found that BC and BB have a more pronounced WW structure compared to CA. We identified species at mid to low trophic positions that play a key role in the trophodynamics of each marine area (e.g. Fuegian sprat Sprattus fuegensis, longtail southern cod Patagonotothen ramsayi and squat lobster Munida gregaria) and considered them as the most plausible WW species. The identification of the most influential species within food webs has become a crucial task for conservation purposes in local and regional contexts to maintain ecosystem integrity and the supply of ecosystem services for the southwestern South Atlantic Ocean.</t>
  </si>
  <si>
    <t>[Riccialdelli, Luciana; Becker, Yamila A.; Fioramonti, Nicolas E.; Torres, Monica; Bruno, Daniel O.; Raya Rey, Andrea; Fernandez, Daniel A.] Consejo Nacl Invest Cient &amp; Tecn, Ctr Austral Invest Cient CADIC, Bernardo A Houssay 200,V9410CAB, Ushuaia, Tierra Del Fueg, Argentina; [Bruno, Daniel O.; Raya Rey, Andrea; Fernandez, Daniel A.] Univ Nacl Tierra del Fuego UNTDF, Inst Ciencias Polares Ambiente &amp; Recursos Nat ICP, Fuegia Basket 251,V9410CAB, Ushuaia, Tierra Del Fueg, Argentina; [Raya Rey, Andrea] Wildlife Conservat Soc WCS, Amenabar 1595,C1526AKC, Buenos Aires, DF, Argentina</t>
  </si>
  <si>
    <t>Consejo Nacional de Investigaciones Cientificas y Tecnicas (CONICET)</t>
  </si>
  <si>
    <t>Riccialdelli, L (corresponding author), Consejo Nacl Invest Cient &amp; Tecn, Ctr Austral Invest Cient CADIC, Bernardo A Houssay 200,V9410CAB, Ushuaia, Tierra Del Fueg, Argentina.</t>
  </si>
  <si>
    <t>lriccialdelli@gmail.com</t>
  </si>
  <si>
    <t>Raya Rey, Andrea/0000-0003-0127-6650</t>
  </si>
  <si>
    <t>MPA Namuncura - Burdwood Bank administration; CONICET; MPA Namuncura [26875]; Agencia Nacional de Promocion Cientifica y Tecnologica [PICT 2012-1832, PICT 20132228, PICT 2016-0195]; CONICET [PIP-440, PUE 2016 CADIC]</t>
  </si>
  <si>
    <t>MPA Namuncura - Burdwood Bank administration; CONICET(Consejo Nacional de Investigaciones Cientificas y Tecnicas (CONICET)); MPA Namuncura; Agencia Nacional de Promocion Cientifica y Tecnologica(ANPCyTSpanish Government); CONICET(Consejo Nacional de Investigaciones Cientificas y Tecnicas (CONICET))</t>
  </si>
  <si>
    <t>We are indebted to the MPA Namuncura - Burdwood Bank administration and CONICET for economic support and logistics. We are grateful to captains and crews of the RVs `Puerto Deseado', 'SB-15 Tango' and `Victor Angelescu', and also to M. Perez, L. Pagnosin and R. Saenz Samaniego, pilots of the CADIC boat 'Don Pedro', for their assistance during the surveys. Special thanks to G. A. Lovrich, Scientific Coordinator of the MPA NamuncuraBurdwood Bank, the whole Burdwood Bank scientific group and the scientific chief of each survey, i.e. G. A. Lovrich (BOPD-Mar2014), N. A. Dellabianca (Tango-Feb2015), D. Roccatagliata (BOPD-Abr2016), G. Colombo and M. J. Diez (VA1418). We also thank M. L. Presta (plankton), M. J. Diez and G. A. Lovrich (Crustacea), S. G. Ceballos and P. A. Villatarco (fish) and N. A. Dellabianca (marine mammals), who provided their expertise on the identification or confirmation of different taxa analyzed. The IMMA Project and RNP Goodall Foundation provided information (date and site of death) for marine mammal specimens. E. Ducos (INGEIS), G. Quiroga, A. Dauverne and A. Gil (LIECA-Mendoza) aided with the isotopic analyses. We especially thank C. B. Anderson who helped revise the English text, as well as Rodrigo Bastos and 2 anonymous referees, who helped with constructive revisions. This study was funded by the MPA Namuncura (Law 26875), the Agencia Nacional de Promocion Cientifica y Tecnologica (PICT 2012-1832, PICT 20132228, PICT 2016-0195) and CONICET (PIP-440, PUE 2016 CADIC). This work is contribution no. 34 of the MPA Namuncura (Law 26875).</t>
  </si>
  <si>
    <t>NOV 26</t>
  </si>
  <si>
    <t>10.3354/meps13524</t>
  </si>
  <si>
    <t>QL7CT</t>
  </si>
  <si>
    <t>WOS:000621241700001</t>
  </si>
  <si>
    <t>Dodino, S; Riccialdelli, L; Polito, MJ; Pütz, K; Rey, AR</t>
  </si>
  <si>
    <t>Dodino, S.; Riccialdelli, L.; Polito, M. J.; Puetz, K.; Raya Rey, A.</t>
  </si>
  <si>
    <t>Inter-annual variation in the trophic niche of Magellanic penguins Spheniscus magellanicus during the pre-molt period in the Beagle Channel</t>
  </si>
  <si>
    <t>Seabirds; Food web; Stable isotopes; Foraging plasticity; Ecosystem monitoring</t>
  </si>
  <si>
    <t>MARINE FOOD-WEB; DIET COMPOSITION; STABLE-ISOTOPES; EUDYPTES-CHRYSOLOPHUS; ROCKHOPPER PENGUINS; DELTA-N-15 VALUES; POPULATION TRENDS; MUNIDA-GREGARIA; VARIABILITY; DELTA-C-13</t>
  </si>
  <si>
    <t>Inter-annual variations in the diets of seabirds are often a reflection of resource availability, with population dynamics and community structure implications. We investigated the trophic niche of Magellanic penguins Spheniscus magellanicus during the pre-molt stage in 6 years (2009 and 2013-2017) at Martillo Island, Beagle Channel, Argentina, using carbon and nitrogen stable isotope analysis of feathers. We found higher values in 2009 compared to the other years for both isotopes and estimated different proportions of prey in the diet of Magellanic penguins throughout the years. In 2009, penguins consumed mainly a mixture of benthic and benthopelagic fish, whereas from 2013 to 2017, the proportion of the pelagic form of squat lobster Munida gregaria, considered a key species in the Beagle Channel, increased over time and nearly dominated diets in 2017. Our results confirm that Magellanic penguins act as sentinels, reflecting shifts in the marine community of the Beagle Channel via inter-annual variation in their trophic niche and diet composition.</t>
  </si>
  <si>
    <t>[Dodino, S.; Riccialdelli, L.; Raya Rey, A.] Consejo Nacl Invest Cient &amp; Tecn, Ctr Austral Invest Cient, Ecol &amp; Conservat Vida Silvestre, Bernardo A Houssay 200,V9410CAB, Ushuaia, Tierra Del Fueg, Argentina; [Polito, M. J.] Louisiana State Univ, Dept Oceanog &amp; Coastal Sci, Baton Rouge, LA 70803 USA; [Puetz, K.] Antarctic Res Trust, Oste Hamme Kanal 10, D-27432 Bremervorde, Germany; [Raya Rey, A.] Univ Nacl Tierra del Fuego, Inst Ciencias Padres Ambiente &amp; Recursos Nat, Fuegia Basket 251,V9410BXE, Ushuaia, Argentina; [Raya Rey, A.] Wildlife Conservat Soc, Amenabar 1595,Off 19,C1426AKC CABA, Buenos Aires, DF, Argentina</t>
  </si>
  <si>
    <t>Consejo Nacional de Investigaciones Cientificas y Tecnicas (CONICET); Louisiana State University System; Louisiana State University</t>
  </si>
  <si>
    <t>Dodino, S (corresponding author), Consejo Nacl Invest Cient &amp; Tecn, Ctr Austral Invest Cient, Ecol &amp; Conservat Vida Silvestre, Bernardo A Houssay 200,V9410CAB, Ushuaia, Tierra Del Fueg, Argentina.</t>
  </si>
  <si>
    <t>Dodino, Samanta/HHS-1916-2022; Polito, Michael/G-9118-2012</t>
  </si>
  <si>
    <t>Dodino, Samanta/0000-0002-5091-6063; Polito, Michael/0000-0001-8639-4431; Raya Rey, Andrea/0000-0003-0127-6650</t>
  </si>
  <si>
    <t>Agencia Nacional de Promocion Cientifica y Tecnologica [PICT 2012-1832, PICT 2014-1870]; Wildlife Conservation Society; Consejo Nacional de Investigaciones Cientificas y Tecnicas (CONICET); Antarctic Research Trust; AMP Namuncura-Banco Burdwood; CONICET; [PICT 2013-2228]; [PICT 2016-0195]</t>
  </si>
  <si>
    <t>Agencia Nacional de Promocion Cientifica y Tecnologica(ANPCyTSpanish Government); Wildlife Conservation Society; Consejo Nacional de Investigaciones Cientificas y Tecnicas (CONICET)(Consejo Nacional de Investigaciones Cientificas y Tecnicas (CONICET)); Antarctic Research Trust; AMP Namuncura-Banco Burdwood; CONICET(Consejo Nacional de Investigaciones Cientificas y Tecnicas (CONICET)); ;</t>
  </si>
  <si>
    <t>This study was financially supported by the Agencia Nacional de Promocion Cientifica y Tecnologica (PICT 2012-1832, PICT 2014-1870), Wildlife Conservation Society, Consejo Nacional de Investigaciones Cientificas y Tecnicas (CONICET), and the Antarctic Research Trust. Prey samples were collected and analyzed by L.R. with the financial support of PICT 2013-2228, PICT 2016-0195, and AMP Namuncura-Banco Burdwood. We thank Hayat Bennadji for helpful assistance with stable isotope analysis; Andres and Alejandro Greco from Piratur SA for transportation to Martillo Island; and the Centro Austral de Investigaciones Cientificas (CADIC), Museo Acatushun de Aves y Mamiferos Marinos Australes, and Ea. Harberton, which provided logistical support. Research by S.D. was carried out under a PhD fellowship from CONICET.</t>
  </si>
  <si>
    <t>10.3354/meps13518</t>
  </si>
  <si>
    <t>WOS:000621241700014</t>
  </si>
  <si>
    <t>Gomez, N; Weber, ME; Clark, PU; Mitrovica, JX; Han, HK</t>
  </si>
  <si>
    <t>Gomez, Natalya; Weber, Michael E.; Clark, Peter U.; Mitrovica, Jerry X.; Han, Holly K.</t>
  </si>
  <si>
    <t>Antarctic ice dynamics amplified by Northern Hemisphere sea-level forcing</t>
  </si>
  <si>
    <t>MELTWATER PULSE 1B; GLACIAL ISOSTATIC-ADJUSTMENT; CHRONOLOGY AICC2012; SHEET; MODEL; DEGLACIATION; SURFACE; EARTH; TIMESCALES; GREENLAND</t>
  </si>
  <si>
    <t>Sea-level rise due to ice loss in the Northern Hemisphere in response to insolation and greenhouse gas forcing is thought to have caused grounding-line retreat of marine-based sectors of the Antarctic Ice Sheet (AIS)(1-3.) Such interhemispheric sea-level forcing may explain the synchronous evolution of global ice sheets over ice-age cycles. Recent studies that indicate that the AIS experienced substantial millennial-scale variability during and after the last deglaciation(4-7) (roughly 20,000 to 9,000 years ago) provide further evidence of this sea-level forcing. However, global sea-level change as a result of mass loss from ice sheets is strongly nonuniform, owing to gravitational, deformational and Earth rotational effects(8), suggesting that the response of AIS grounding lines to Northern Hemisphere sea-level forcing is more complicated than previously modelled(1,2,6). Here, using an ice-sheet model coupled to a global sea-level model, we show that AIS dynamics are amplified by Northern Hemisphere sea-level forcing. As a result of this interhemispheric interaction, a large or rapid Northern Hemisphere sea-level forcing enhances grounding-line advance and associated mass gain of the AIS during glaciation, and grounding-line retreat and mass loss during deglaciation. Relative to models without these interactions, the inclusion of Northern Hemisphere sea-level forcing in our model increases the volume of the AIS during the Last Glacial Maximum (about 26,000 to 20,000 years ago), triggers an earlier retreat of the grounding line and leads to millennial-scale variability throughout the last deglaciation. These findings are consistent with geologic reconstructions of the extent of the AIS during the Last Glacial Maximum and subsequent ice-sheet retreat, and with relative sea-level change in Antarctica(3-7,9,10).</t>
  </si>
  <si>
    <t>[Gomez, Natalya; Han, Holly K.] McGill Univ, Dept Earth &amp; Planetary Sci, Montreal, PQ, Canada; [Weber, Michael E.] Univ Bonn, Inst Geosci, Dept Geochem &amp; Petrol, Bonn, Germany; [Clark, Peter U.] Oregon State Univ, Coll Earth Ocean &amp; Atmospher Sci, Corvallis, OR 97331 USA; [Clark, Peter U.] Univ Ulster, Sch Geog &amp; Environm Sci, Coleraine, Londonderry, North Ireland; [Mitrovica, Jerry X.] Harvard Univ, Dept Earth &amp; Planetary Sci, 20 Oxford St, Cambridge, MA 02138 USA</t>
  </si>
  <si>
    <t>McGill University; University of Bonn; Oregon State University; Ulster University; Harvard University</t>
  </si>
  <si>
    <t>Gomez, N (corresponding author), McGill Univ, Dept Earth &amp; Planetary Sci, Montreal, PQ, Canada.</t>
  </si>
  <si>
    <t>natalya.gomez@mcgill.ca</t>
  </si>
  <si>
    <t>Weber, Michael E/G-8707-2012</t>
  </si>
  <si>
    <t>Weber, Michael E/0000-0003-2175-8980</t>
  </si>
  <si>
    <t>Natural Sciences and Engineering Research Council (NSERC); Canada Research Chair's programme; Canadian Foundation for Innovation; Deutsche Forschungsgemeinschaft (DFG) [We2039/8-1, We 2039/17-1]; NASA [NNX17AE17G]; Harvard University; NASA [NNX17AE17G, 1002858] Funding Source: Federal RePORTER</t>
  </si>
  <si>
    <t>Natural Sciences and Engineering Research Council (NSERC)(Natural Sciences and Engineering Research Council of Canada (NSERC)); Canada Research Chair's programme(Canada Research Chairs); Canadian Foundation for Innovation(Canada Foundation for Innovation); Deutsche Forschungsgemeinschaft (DFG)(German Research Foundation (DFG)); NASA(National Aeronautics &amp; Space Administration (NASA)); Harvard University; NASA(National Aeronautics &amp; Space Administration (NASA))</t>
  </si>
  <si>
    <t>N.G. and H.K.H. were supported by the Natural Sciences and Engineering Research Council (NSERC), the Canada Research Chair's programme and the Canadian Foundation for Innovation, M.E.W. by the Deutsche Forschungsgemeinschaft (DFG; grant numbers We2039/8-1 and We 2039/17-1), and J.X.M. by NASA grant NNX17AE17G and Harvard University. We thank G. Tseng for assistance with exploratory research that informed this study, and D. Pollard for insight on and use of the PSU ice-sheet model.</t>
  </si>
  <si>
    <t>10.1038/s41586-020-2916-2</t>
  </si>
  <si>
    <t>PL3XR</t>
  </si>
  <si>
    <t>WOS:000603059500015</t>
  </si>
  <si>
    <t>Strycker, N; Borowicz, A; Wethington, M; Forrest, S; Shah, V; Liu, Y; Singh, H; Lynch, HJ</t>
  </si>
  <si>
    <t>Strycker, Noah; Borowicz, Alex; Wethington, Michael; Forrest, Steven; Shah, Vikrant; Liu, Yang; Singh, Hanumant; Lynch, Heather J.</t>
  </si>
  <si>
    <t>Fifty-year change in penguin abundance on Elephant Island, South Shetland Islands, Antarctica: results of the 2019-20 census</t>
  </si>
  <si>
    <t>Chinstrap Penguin; Gentoo Penguin; Adé lie Penguin; Macaroni Penguin; King Penguin; South Shetland Islands; Antarctic Peninsula; Scotia Arc; Unmanned aerial vehicle</t>
  </si>
  <si>
    <t>KING-GEORGE-ISLAND; PYGOSCELIS-ANTARCTICA; CHINSTRAP PENGUINS; POPULATIONS; ADELIE; REVEALS; MANAGEMENT; DYNAMICS</t>
  </si>
  <si>
    <t>Elephant Island sits on the front lines of ecological change in the Scotia Arc region, but most of the island has remained unsurveyed for nearly 50 years. As a result, there has been no way to establish whether changes on the island reflect those to the south along the Western Antarctic Peninsula or whether, in contrast, populations have remained stable, as on the more northerly South Sandwich Islands. At the core of the Chinstrap Penguin (Pygoscelis antarcticus) breeding range, at the southern edge of the Macaroni Penguin (Eudyptes chrysolophus) and (very recently) King Penguin (Aptenodytes patagonicus) ranges, at the northern limit of the Adelie Penguin (Pygoscelis adeliae) range, and in an area where Gentoo Penguin (Pygoscelis papua) populations are expanding southward, Elephant Island is situated at a unique ecological crossroads, hosting both sub-Antarctic and Antarctic seabirds, the former of which may be responding favorably to the very same climate changes that imperil the latter. Fortunately, an exhaustive census of the island in 1970-71 provides a rigorous baseline against which to document ecological change. Here, we report on the first complete survey of the island since 1970-71, conducted from January 9-20, 2020. Results indicate a decrease in Chinstrap Penguin populations, a doubling of Gentoo Penguins, a stable number of Macaroni Penguins, continuing occupancy by a few Adelie Penguins, and evidence of King Penguin breeding expansion. Our findings demonstrate that Elephant Island's seabird community has changed dramatically over the past five decades and that these changes appear to be ongoing.</t>
  </si>
  <si>
    <t>[Strycker, Noah] SUNY Stony Brook, Sch Marine &amp; Atmospher Sci, Stony Brook, NY 11794 USA; [Borowicz, Alex; Wethington, Michael; Lynch, Heather J.] SUNY Stony Brook, Dept Ecol &amp; Evolut, Stony Brook, NY 11794 USA; [Forrest, Steven] Antarctic Resource, Truckee, CA USA; [Shah, Vikrant; Liu, Yang; Singh, Hanumant] Northeastern Univ, Dept Elect &amp; Comp Engn, Boston, MA 02115 USA; [Lynch, Heather J.] SUNY Stony Brook, Inst Adv Computat Sci, Stony Brook, NY 11794 USA</t>
  </si>
  <si>
    <t>State University of New York (SUNY) System; State University of New York (SUNY) Stony Brook; State University of New York (SUNY) System; State University of New York (SUNY) Stony Brook; Northeastern University; State University of New York (SUNY) System; State University of New York (SUNY) Stony Brook</t>
  </si>
  <si>
    <t>Strycker, N (corresponding author), SUNY Stony Brook, Sch Marine &amp; Atmospher Sci, Stony Brook, NY 11794 USA.</t>
  </si>
  <si>
    <t>noah.strycker@gmail.com</t>
  </si>
  <si>
    <t>Borowicz, Alex/AAW-9390-2021; Michael, Wethington/JHT-8992-2023</t>
  </si>
  <si>
    <t>Borowicz, Alex/0000-0001-5888-5137;</t>
  </si>
  <si>
    <t>Pew Charitable Trusts</t>
  </si>
  <si>
    <t>This study was funded by the Pew Charitable Trusts with logistical support provided by Greenpeace International.</t>
  </si>
  <si>
    <t>10.1007/s00300-020-02774-4</t>
  </si>
  <si>
    <t>WOS:000592976600001</t>
  </si>
  <si>
    <t>Pavankumar, TL; Mittal, P; Hallsworth, JE</t>
  </si>
  <si>
    <t>Pavankumar, Theetha L.; Mittal, Pragya; Hallsworth, John E.</t>
  </si>
  <si>
    <t>Molecular insights into the ecology of a psychrotolerant Pseudomonas syringae</t>
  </si>
  <si>
    <t>ENVIRONMENTAL MICROBIOLOGY</t>
  </si>
  <si>
    <t>WATER-ACTIVITY LIMIT; ESCHERICHIA-COLI; LOW-TEMPERATURE; RNASE-R; ASPARTATE-AMINOTRANSFERASE; TRANSCRIPTIONAL ACTIVITY; RECOMBINATION HOTSPOT; MEMBRANE-PROTEINS; EXORIBONUCLEASE-R; RECBCD ENZYME</t>
  </si>
  <si>
    <t>Low temperatures constrain cellular life due to reductions in nutrient uptake, enzyme kinetics, membrane permeability, and function of other biomacromolecules. This has implications for the biophysical limits of life on Earth, and the plausibility of life in extraterrestrial locations. Although most pseudomonads are mesophilic in nature, isolates such as the Antarctic Pseudomonas syringae Lz4W exhibit considerable psychrotolerance, with an ability to grow even between 4 and 0 degrees C. In this review, we explore the molecular traits and characteristic phenotypes of P. syringae Lz4W that enable life at low temperatures. We describe adaptations that enhance membrane fluidity; examine genes involved in cellular function and survival in the cold; assess capability for energy generation at low temperature; and detail the mechanics of DNA repair and RNA processing at low temperature, and speculate that P. syringae Lz4W can also synthesize glycerol to maintain flexibility of macromolecular systems. In the range 4 to 0oC, there are considerable changes in the properties and behaviour of water. Specifically, density can have adverse impacts on plasma-membrane functions, cytoplasmic viscosity, protein behaviour, and other essential properties of cellular system. We identified a combination of adaptations that may be peculiar to cold-tolerant P. syringae, including increase of unsaturated fatty acids in the plasma membrane; a RNA polymerase able to function at 0 degrees C; RecBCD- and RuvAB-dependent reestablishment of replication fork; and efficiencies of degradosome machinery and RNA processing by RNaseR at low temperature. Several unresolved questions are discussed in the context of astrobiology, and further work needed on the psychrotolerance of P. syringae.</t>
  </si>
  <si>
    <t>[Pavankumar, Theetha L.] Univ Calif Davis, Dept Microbiol &amp; Mol Genet, Briggs Hall,One Shields Ave, Davis, CA 95616 USA; [Mittal, Pragya] Univ Edinburgh, Inst Genet &amp; Mol Med, MRC Human Genet Unit, Crewe Rd South, Edinburgh EH4 2XU, Midlothian, Scotland; [Hallsworth, John E.] Queens Univ Belfast, Sch Biol Sci, Inst Global Food Secur, 19 Chlorine Gardens, Belfast BT9 5DL, Antrim, North Ireland</t>
  </si>
  <si>
    <t>University of California System; University of California Davis; University of Edinburgh; Queens University Belfast</t>
  </si>
  <si>
    <t>Pavankumar, TL (corresponding author), Univ Calif Davis, Dept Microbiol &amp; Mol Genet, Briggs Hall,One Shields Ave, Davis, CA 95616 USA.</t>
  </si>
  <si>
    <t>pavan@ucdavis.edu</t>
  </si>
  <si>
    <t>Pavankumar, Theetha L/R-6118-2017; Hallsworth, John E./K-7876-2013</t>
  </si>
  <si>
    <t>Pavankumar, Theetha L/0000-0003-1845-9592; Hallsworth, John E./0000-0001-6797-9362; Mittal, Pragya/0000-0002-5881-3739</t>
  </si>
  <si>
    <t>1462-2912</t>
  </si>
  <si>
    <t>1462-2920</t>
  </si>
  <si>
    <t>ENVIRON MICROBIOL</t>
  </si>
  <si>
    <t>Environ. Microbiol.</t>
  </si>
  <si>
    <t>10.1111/1462-2920.15304</t>
  </si>
  <si>
    <t>TR8GX</t>
  </si>
  <si>
    <t>WOS:000592207500001</t>
  </si>
  <si>
    <t>Foo, D; McMahon, C; Hindell, M; Goldsworthy, S</t>
  </si>
  <si>
    <t>Foo, Dahlia; McMahon, Clive; Hindell, Mark; Goldsworthy, Simon</t>
  </si>
  <si>
    <t>Shelf-oceanic dynamics of surface environmental parameters in the Kangaroo Island-Bonney Coast region</t>
  </si>
  <si>
    <t>MARINE AND FRESHWATER RESEARCH</t>
  </si>
  <si>
    <t>ecology; marine mammals; oceanography; pelagic zone</t>
  </si>
  <si>
    <t>GREAT AUSTRALIAN BIGHT; UPWELLING SYSTEMS; SUBTROPICAL FRONT; EL-NINO; VARIABILITY; SOUTH; EDDIES; CHLOROPHYLL; BENGUELA; LEEUWIN</t>
  </si>
  <si>
    <t>The shelf and oceanic waters of the Kangaroo Island-Bonney Coast region are important foraging habitats for top marine predators in the ecosystem; however, the dynamics between the two distinct water types have not been investigated. This study examined the spatial and temporal variability of oceanographic parameters in the southern waters of Australia (36-43 degrees S, 136-141 degrees E) associated with the Bonney Upwelling (shelf) and subtropical front (STF; oceanic). Using satellite data from 1997 to 2016, we found that productive oceanic waters were associated with the STF and eddy activity; they were generally furthest from the shelf break in spring-summer (upwelling season on the shelf) and closest to the shelf break in winter-autumn (downwelling season on the shelf). Inter-annual variabilities of chlorophyll-a concentration (Chl-a), sea-surface temperature and sea surface-height anomaly were generally higher in summer than in winter for both shelf and oceanic waters. El Nino-Southern Oscillation, Southern Annular Mode and Indian Ocean Dipole were cross-correlated with anomalous shelf and oceanic Chl-a at various lagged times (range = 15-0 months). This study provides a regional perspective of the spatial and temporal oceanographic variability in southern Australian waters, which may help with understanding apex-predator ecology in the ecosystem.</t>
  </si>
  <si>
    <t>[Foo, Dahlia; Hindell, Mark] Univ Tasmania, Inst Marine &amp; Antarctic Studies, 20 Castray Esplanade, Battery Point, Tas 7004, Australia; [McMahon, Clive] Sydney Inst Marine Sci, 19 Chowder Bay Rd, Mosman, NSW 2088, Australia; [Goldsworthy, Simon] South Australian Res &amp; Dev Inst Aquat Sci, 2 Hamra Ave, West Beach, SA 5024, Australia</t>
  </si>
  <si>
    <t>University of Tasmania; Sydney Institute of Marine Science</t>
  </si>
  <si>
    <t>Foo, D (corresponding author), Univ Tasmania, Inst Marine &amp; Antarctic Studies, 20 Castray Esplanade, Battery Point, Tas 7004, Australia.</t>
  </si>
  <si>
    <t>dahlia.foo@utas.edu.au</t>
  </si>
  <si>
    <t>Hindell, Mark A/K-1131-2013</t>
  </si>
  <si>
    <t>Goldsworthy, Simon/0000-0003-4988-9085; Foo, Dahlia/0000-0002-4983-9208</t>
  </si>
  <si>
    <t>University of Tasmania Ph.D. scholarship</t>
  </si>
  <si>
    <t>D. Foo is supported by the University of Tasmania Ph.D. scholarship and stipend.</t>
  </si>
  <si>
    <t>CSIRO PUBLISHING</t>
  </si>
  <si>
    <t>CLAYTON</t>
  </si>
  <si>
    <t>UNIPARK, BLDG 1, LEVEL 1, 195 WELLINGTON RD, LOCKED BAG 10, CLAYTON, VIC 3168, AUSTRALIA</t>
  </si>
  <si>
    <t>1323-1650</t>
  </si>
  <si>
    <t>1448-6059</t>
  </si>
  <si>
    <t>MAR FRESHWATER RES</t>
  </si>
  <si>
    <t>Mar. Freshw. Res.</t>
  </si>
  <si>
    <t>10.1071/MF20100</t>
  </si>
  <si>
    <t>Fisheries; Limnology; Marine &amp; Freshwater Biology; Oceanography</t>
  </si>
  <si>
    <t>RQ0AC</t>
  </si>
  <si>
    <t>WOS:000592282400001</t>
  </si>
  <si>
    <t>Shah, E; Jayaprasad, P; James, ME; Putrevu, D; Misra, A</t>
  </si>
  <si>
    <t>Shah, Esha; Jayaprasad, P.; James, M. E.; Putrevu, Deepak; Misra, Arundhati</t>
  </si>
  <si>
    <t>Changes in Antarctic ice-shelf margins between 1997 and 2019 using Sentinel and RADARSAT data</t>
  </si>
  <si>
    <t>Climate change; change detection; satellite; ice-shelf calving; remote sensing</t>
  </si>
  <si>
    <t>RETREAT</t>
  </si>
  <si>
    <t>We have monitored the changes that have occurred over nine Antarctic ice shelves between 1997 and 2019 using Sentinel-1 and RADARSAT-1 images of Antarctica using change detection technique. The net loss of Antarctic ice shelves during the period was about 14,723 sq. km in surface area, corresponding to 1.21% area of ice shelves. The Ross and Filchner-Ronne ice shelves retreated significantly in terms of total area, while shelves in that Antarctic Peninsula, namely Wilkins and Larsen C retreated drastically in terms of percentage change.</t>
  </si>
  <si>
    <t>[Shah, Esha; James, M. E.] Gujarat Univ, Phys Dept, Ahmadabad 380009, Gujarat, India; [Jayaprasad, P.; Putrevu, Deepak; Misra, Arundhati] Space Applicat Ctr ISRO, Ahmadabad 380015, Gujarat, India</t>
  </si>
  <si>
    <t>Gujarat University; Department of Space (DoS), Government of India; Indian Space Research Organisation (ISRO); Space Applications Centre (SAC)</t>
  </si>
  <si>
    <t>Shah, E (corresponding author), Gujarat Univ, Phys Dept, Ahmadabad 380009, Gujarat, India.</t>
  </si>
  <si>
    <t>eshu7456@gmail.com</t>
  </si>
  <si>
    <t>Space Applications Centre (SAC; ISRO), Ahmedabad under the MOP-III programme; DST under UGC programme; UGC under SAP programme</t>
  </si>
  <si>
    <t>We thank the Space Applications Centre (SAC; ISRO), Ahmedabad for providing a research grant under the MOP-III programme and DST and UGC for financial assistance to the Physics Department, Gujarat University, Ahmedabad under FIST and SAP programmes respectively. We also thank Director (SAC) and Dr Raj Kumar (SAC) for their keen interest in this study, and the anonymous reviewer for useful suggestions.</t>
  </si>
  <si>
    <t>NOV 25</t>
  </si>
  <si>
    <t>10.18520/cs/v119/i10/1633-1640</t>
  </si>
  <si>
    <t>OW0JT</t>
  </si>
  <si>
    <t>WOS:000592585300019</t>
  </si>
  <si>
    <t>Kennedy, F; Martin, A; Castrisios, K; Cimoli, E; McMinn, A; Ryan, KG</t>
  </si>
  <si>
    <t>Kennedy, Fraser; Martin, Andrew; Castrisios, Katerina; Cimoli, Emiliano; McMinn, Andrew; Ryan, Ken G.</t>
  </si>
  <si>
    <t>Rapid Manipulation in Irradiance Induces Oxidative Free-Radical Release in a Fast-Ice Algal Community (McMurdo Sound, Antarctica)</t>
  </si>
  <si>
    <t>FRONTIERS IN PLANT SCIENCE</t>
  </si>
  <si>
    <t>oxidative stress; Antarctica; sea-ice algae; hydrogen peroxide (H2O2); nitric oxide (NO); microelectrodes; snow; photophysiology</t>
  </si>
  <si>
    <t>SOUTHERN-OCEAN PHYTOPLANKTON; SEA-ICE; HYDROGEN-PEROXIDE; MICROBIAL COMMUNITIES; DARK SURVIVAL; PACK ICE; GROWTH; PHOTOSYNTHESIS; VARIABILITY; MICROALGAE</t>
  </si>
  <si>
    <t>Sea ice supports a unique assemblage of microorganisms that underpin Antarctic coastal food-webs, but reduced ice thickness coupled with increased snow cover will modify energy flow and could lead to photodamage in ice-associated microalgae. In this study, microsensors were used to examine the influence of rapid shifts in irradiance on extracellular oxidative free radicals produced by sea-ice algae. Bottom-ice algal communities were exposed to one of three levels of incident light for 10 days: low (0.5 mu mol photons m(-2) s(-1), 30 cm snow cover), mid-range (5 mu mol photons m(-2) s(-1), 10 cm snow), or high light (13 mu mol photons m(-2) s(-1), no snow). After 10 days, the snow cover was reversed (either removed or added), resulting in a rapid change in irradiance at the ice-water interface. In treatments acclimated to low light, the subsequent exposure to high irradiance resulted in a similar to 400x increase in the production of hydrogen peroxide (H2O2) and a 10x increase in nitric oxide (NO) concentration after 24 h. The observed increase in oxidative free radicals also resulted in significant changes in photosynthetic electron flow, RNA-oxidative damage, and community structural dynamics. In contrast, there was no significant response in sea-ice algae acclimated to high light and then exposed to a significantly lower irradiance at either 24 or 72 h. Our results demonstrate that microsensors can be used to track real-time in-situ stress in sea-ice microbial communities. Extrapolating to ecologically relevant spatiotemporal scales remains a significant challenge, but this approach offers a fundamentally enhanced level of resolution for quantifying the microbial response to global change.</t>
  </si>
  <si>
    <t>[Kennedy, Fraser; Martin, Andrew; Castrisios, Katerina; Cimoli, Emiliano; McMinn, Andrew] Univ Tasmania, Inst Marine &amp; Antarctic Studies, Hobart, Tas, Australia; [Cimoli, Emiliano] Sch Technol, Geog &amp; Spatial Sci, Hobart, Tas, Australia; [Ryan, Ken G.] Victoria Univ Wellington, Sch Biol Sci, Wellington, New Zealand</t>
  </si>
  <si>
    <t>University of Tasmania; Victoria University Wellington</t>
  </si>
  <si>
    <t>Kennedy, F (corresponding author), Univ Tasmania, Inst Marine &amp; Antarctic Studies, Hobart, Tas, Australia.</t>
  </si>
  <si>
    <t>f.c.kennedy@utas.edu.au</t>
  </si>
  <si>
    <t>McMinn, Andrew/A-9910-2008; Kennedy, Fraser/M-5145-2019; Cimoli, Emiliano/H-1862-2018</t>
  </si>
  <si>
    <t>Kennedy, Fraser/0000-0003-1796-0764; Cimoli, Emiliano/0000-0001-7964-2716</t>
  </si>
  <si>
    <t>New Zealand Antarctic Research Institute (NZARI) [2017-1-4]; Australian Research Council's Special Research Initiative for Antarctic Gateway Partnership [SR140300001]</t>
  </si>
  <si>
    <t>New Zealand Antarctic Research Institute (NZARI); Australian Research Council's Special Research Initiative for Antarctic Gateway Partnership(Australian Research Council)</t>
  </si>
  <si>
    <t>This research was supported by the New Zealand Antarctic Research Institute (NZARI grant 2017-1-4) and the Australian Research Council's Special Research Initiative for Antarctic Gateway Partnership (project ID SR140300001).</t>
  </si>
  <si>
    <t>1664-462X</t>
  </si>
  <si>
    <t>FRONT PLANT SCI</t>
  </si>
  <si>
    <t>Front. Plant Sci.</t>
  </si>
  <si>
    <t>10.3389/fpls.2020.588005</t>
  </si>
  <si>
    <t>PB8GW</t>
  </si>
  <si>
    <t>WOS:000596554000001</t>
  </si>
  <si>
    <t>Walters, SJ; Forbes, LK; Reading, AM</t>
  </si>
  <si>
    <t>Walters, S. J.; Forbes, L. K.; Reading, A. M.</t>
  </si>
  <si>
    <t>Analytic and numerical solutions to the seismic wave equation in continuous media</t>
  </si>
  <si>
    <t>PROCEEDINGS OF THE ROYAL SOCIETY A-MATHEMATICAL PHYSICAL AND ENGINEERING SCIENCES</t>
  </si>
  <si>
    <t>seismology; wave propagation; spectral method</t>
  </si>
  <si>
    <t>This paper presents two approaches to mathematical modelling of a synthetic seismic pulse, and a comparison between them. First, a new analytical model is developed in two-dimensional Cartesian coordinates. Combined with an initial condition of sufficient symmetry, this provides a valuable check for the validity of the numerical method that follows. A particular initial condition is found which allows for a new closed-form solution. A numerical scheme is then presented which combines a spectral (Fourier) representation for displacement components and wave-speed parameters, a fourth-order Runge-Kutta integration method, and an absorbing boundary layer. The resulting large system of differential equations is solved in parallel on suitable enhanced performance desktop hardware in a new software implementation. This provides an alternative approach to forward modelling of waves within isotropic media which is efficient, and tailored to rapid and flexible developments in modelling seismic structure, for example, shallow depth environmental applications. Visual comparisons of the analytic solution and the numerical scheme are presented.</t>
  </si>
  <si>
    <t>[Walters, S. J.; Forbes, L. K.; Reading, A. M.] Univ Tasmania, Math &amp; Phys, Hobart, Tas, Australia</t>
  </si>
  <si>
    <t>Walters, SJ (corresponding author), Univ Tasmania, Math &amp; Phys, Hobart, Tas, Australia.</t>
  </si>
  <si>
    <t>sjw1@utas.edu.au</t>
  </si>
  <si>
    <t>Reading, Anya M/E-6728-2012</t>
  </si>
  <si>
    <t>Reading, Anya M/0000-0002-9316-7605; Walters, Stephen/0000-0002-4480-767X</t>
  </si>
  <si>
    <t>Australian Research Council [SR140300001, DP190100418]; Australian Research Council [SR140300001] Funding Source: Australian Research Council</t>
  </si>
  <si>
    <t>This research was supported under Australian Research Council's Special Research Initiative for Antarctic Gateway Partnership (Project ID SR140300001), and Discovery Program (DP190100418).</t>
  </si>
  <si>
    <t>1364-5021</t>
  </si>
  <si>
    <t>1471-2946</t>
  </si>
  <si>
    <t>P ROY SOC A-MATH PHY</t>
  </si>
  <si>
    <t>Proc. R. Soc. A-Math. Phys. Eng. Sci.</t>
  </si>
  <si>
    <t>10.1098/rspa.2020.0636</t>
  </si>
  <si>
    <t>PA6ST</t>
  </si>
  <si>
    <t>WOS:000595763500001</t>
  </si>
  <si>
    <t>Huai, BJ; van den Broeke, MR; Reijmer, CH</t>
  </si>
  <si>
    <t>Huai, Baojuan; van den Broeke, Michiel R.; Reijmer, Carleen H.</t>
  </si>
  <si>
    <t>Long-term surface energy balance of the western Greenland Ice Sheet and the role of large-scale circulation variability</t>
  </si>
  <si>
    <t>AERODYNAMIC ROUGHNESS LENGTH; NORTH-ATLANTIC OSCILLATION; DRONNING MAUD LAND; MASS-BALANCE; ABLATION ZONE; ANTARCTIC SNOW; CLIMATE; MELT; TEMPERATURE; MODEL</t>
  </si>
  <si>
    <t>We present the surface energy balance (SEB) of the western Greenland Ice Sheet (GrIS) using an energy balance model forced with hourly observations from nine automatic weather stations (AWSs) along two transects: the Kangerlussuaq (K) transect with seven AWSs in the southwest and the Thule (T) transect with two AWSs in the northwest. Modeled and observed surface temperatures for non-melting conditions agree well with RMSEs of 1.1-1.6 K, while reasonable agreement is found between modeled and observed 10 d cumulative ice melt. Absorbed short-wave radiation (S-net) is the main energy source for melting (M), followed by the sensible heat flux (Q(h)). The multiyear average seasonal cycle of SEB components shows that S net and M peak in July at all AWSs. The turbulent fluxes of sensible (Q(h)) and latent heat (Q(l)) decrease significantly with elevation, and the latter becomes negative at higher elevations, partly offsetting Q(h). Average June, July and August (JJA) albedo values are &lt; 0.6 for stations below 1000 ma.s.l. and &gt; 0.7 for the higher stations. The nearsurface climate variables and surface energy fluxes from re-analysis products ERA-Interim, ERA5 and the regional climate model RACMO2.3 were compared to the AWS values. The newer ERA5 product only significantly improves ERA-Interim for albedo. The regional model RACMO2.3, which has higher resolution (5.5 km) and a dedicated snow/ice module, unsurprisingly outperforms the reanalyses for (near)surface climate variables, but the reanalyses are indispensable in detecting dependencies of west Greenland climate and melt on large-scale circulation variability. We correlate ERA5 with the AWS data to show a significant positive correlation of western GrIS summer surface temperature and melt with the Greenland Blocking Index (GBI) and weaker and opposite correlations with the North Atlantic Oscillation (NAO). This analysis may further help to explain melting patterns on the western GrIS from the perspective of circulation anomalies.</t>
  </si>
  <si>
    <t>[Huai, Baojuan] Shandong Normal Univ, Coll Geog &amp; Environm, Jinan, Peoples R China; [van den Broeke, Michiel R.; Reijmer, Carleen H.] Univ Utrecht, Inst Marine &amp; Atmospher Res, Utrecht, Netherlands</t>
  </si>
  <si>
    <t>Shandong Normal University; Utrecht University</t>
  </si>
  <si>
    <t>Huai, BJ (corresponding author), Shandong Normal Univ, Coll Geog &amp; Environm, Jinan, Peoples R China.</t>
  </si>
  <si>
    <t>b.j.huai@uu.nl</t>
  </si>
  <si>
    <t>Reijmer, Carleen H/G-8736-2011; Van den Broeke, Michiel R./F-7867-2011</t>
  </si>
  <si>
    <t>Reijmer, Carleen H/0000-0001-8299-3883; Van den Broeke, Michiel R./0000-0003-4662-7565</t>
  </si>
  <si>
    <t>PROTECT from the European Union's Horizon 2020 Research and Innovation program [869304]; National Natural Science Foundation of China [41701059]; Postdoctoral Science Foundation of China [40411594]</t>
  </si>
  <si>
    <t>PROTECT from the European Union's Horizon 2020 Research and Innovation program; National Natural Science Foundation of China(National Natural Science Foundation of China (NSFC)); Postdoctoral Science Foundation of China(China Postdoctoral Science Foundation)</t>
  </si>
  <si>
    <t>This publication was supported by PROTECT, this project has received funding from the European Union's Horizon 2020 Research and Innovation program (grant no. 869304), PROTECT contribution number 2, the National Natural Science Foundation of China (grant no. 41701059), and the Postdoctoral Science Foundation of China (grant no. 40411594).</t>
  </si>
  <si>
    <t>10.5194/tc-14-4181-2020</t>
  </si>
  <si>
    <t>PA3HW</t>
  </si>
  <si>
    <t>WOS:000595529500001</t>
  </si>
  <si>
    <t>Rainville, L; Wilkinson, J; Durley, MEJ; Harper, S; DiLeo, J; Doble, MJ; Fleming, A; Forcucci, D; Graber, H; Hargrove, JT; Haverlack, J; Hughes, N; Hembrough, B; Jeffries, MO; Lee, CM; Mendenhall, B; McCormmick, D; Montalvo, S; Stenseth, A; Shilling, GB; Simmons, HL; Toomey, JE; Woods, J</t>
  </si>
  <si>
    <t>Rainville, Luc; Wilkinson, Jeremy; Durley, Mary Ellen J.; Harper, Scott; DiLeo, Julia; Doble, Martin J.; Fleming, Andrew; Forcucci, David; Graber, Hans; Hargrove, John T.; Haverlack, John; Hughes, Nick; Hembrough, Brett; Jeffries, Martin O.; Lee, Craig M.; Mendenhall, Brendon; McCormmick, David; Montalvo, Sofia; Stenseth, Adam; Shilling, Geoffrey B.; Simmons, Harper L.; Toomey, James E.; Woods, John</t>
  </si>
  <si>
    <t>Improving Situational Awareness in the Arctic Ocean</t>
  </si>
  <si>
    <t>situational awareness; Arctic; SAR; navigation; communication; visualization</t>
  </si>
  <si>
    <t>To successfully operate in a harsh environment like the Arctic Ocean, one must be able to understand and predict how that environment will evolve over different spatial and temporal scales. This is particularly challenging given the on-going and significant environmental changes that are occurring in the region. Access to the most recent environmental information provides timely knowledge that enables ship-based operations to proceed efficiently, effectively and safely in this difficult arena. Knowledge of the evolving environmental conditions during a field campaign is critical for effective planning, optimal execution of sampling strategies, and to provide a broader context to data collected at specific times and places. We describe the collaborations and processes that enabled an operational system to be developed to provide a remote field-team, located on USCGC Healy in the Beaufort Sea, with near real-time situational awareness information regarding the weather, sea ice conditions, and oceanographic processes. The developed system included the punctual throughput of near real-time products such as satellite imagery, meteorological forecasts, ice charts, model outputs, and up to date locations of key sea ice and ocean-based assets. Science and operational users, as well as onshore personnel, used this system for real-time practical considerations such as ship navigation, and to time scientific operations to ensure the appropriate sea ice and weather conditions prevailed. By presenting the outputs of the system within the context of case studies our results clearly demonstrate the benefits that improved situational awareness brings to ship-based operations in the Arctic Ocean, both today and in the future.</t>
  </si>
  <si>
    <t>[Rainville, Luc; Lee, Craig M.; Shilling, Geoffrey B.] Univ Washington, Appl Phys Lab, Seattle, WA 98105 USA; [Wilkinson, Jeremy; Fleming, Andrew] British Antarctic Survey, Cambridge, England; [Durley, Mary Ellen J.; Forcucci, David; Stenseth, Adam; Toomey, James E.] US Coast Guard USCGC Healy, WAGB 20, Seattle, WA USA; [Harper, Scott; Jeffries, Martin O.; Woods, John] Off Naval Res, Arlington, VA 22217 USA; [DiLeo, Julia; Graber, Hans; Hargrove, John T.] Univ Miami, Ctr Southeastern Trop Adv Remote Sensing, Miami, FL USA; [Doble, Martin J.] Polar Sci Inc, Appin, England; [Haverlack, John; Simmons, Harper L.] Univ Alaska, Coll Fisheries &amp; Ocean Sci, Fairbanks, AK 99701 USA; [Hughes, Nick] Norwegian Meteorol Inst, Tromso, Norway; [Hembrough, Brett; Mendenhall, Brendon] Univ Calif San Diego, Scripps Inst Oceanog, La Jolla, CA 92093 USA; [Hembrough, Brett] Oregon State Univ, Marine Operat, Corvallis, OR 97331 USA; [Jeffries, Martin O.] Cold Reg Res &amp; Engn Lab, Hanover, NH USA; [McCormmick, David; Montalvo, Sofia; Woods, John] US Natl Ice Ctr, Suitland, MD USA</t>
  </si>
  <si>
    <t>University of Washington; University of Washington Seattle; UK Research &amp; Innovation (UKRI); Natural Environment Research Council (NERC); NERC British Antarctic Survey; United States Department of Defense; United States Navy; University of Miami; University of Alaska System; University of Alaska Fairbanks; Norwegian Meteorological Institute; University of California System; University of California San Diego; Scripps Institution of Oceanography; Oregon State University; United States Department of Defense; United States Army; U.S. Army Corps of Engineers; U.S. Army Engineer Research &amp; Development Center (ERDC); Cold Regions Research &amp; Engineering Laboratory (CRREL)</t>
  </si>
  <si>
    <t>Rainville, L (corresponding author), Univ Washington, Appl Phys Lab, Seattle, WA 98105 USA.</t>
  </si>
  <si>
    <t>lucrain@uw.edu</t>
  </si>
  <si>
    <t>Hughes, Nicholas/AAI-1595-2021; Doble, Martin J/A-9915-2012</t>
  </si>
  <si>
    <t>Hughes, Nicholas/0000-0002-3510-0656;</t>
  </si>
  <si>
    <t>ONR; United States Coast Guard; National Oceanic and Atmospheric Administration (NOAA); European Space Agency; EU funded KEPLER programme [821984]; NERC [bas0100032, bas010011] Funding Source: UKRI</t>
  </si>
  <si>
    <t>ONR(Office of Naval Research); United States Coast Guard; National Oceanic and Atmospheric Administration (NOAA)(National Oceanic Atmospheric Admin (NOAA) - USA); European Space Agency(European Space Agency); EU funded KEPLER programme; NERC(UK Research &amp; Innovation (UKRI)Natural Environment Research Council (NERC))</t>
  </si>
  <si>
    <t>The work presented here was supported by multiple ONR grants, with important additional contributions from the United States Coast Guard, National Oceanic and Atmospheric Administration (NOAA), European Space Agency, as well as multiple other international agencies. In additional, JeW and NH acknowledge the contribution of the EU funded KEPLER programme (Grant Agreement No. 821984).</t>
  </si>
  <si>
    <t>10.3389/fmars.2020.581139</t>
  </si>
  <si>
    <t>PB8MD</t>
  </si>
  <si>
    <t>WOS:000596567700001</t>
  </si>
  <si>
    <t>Yan, JP; Jung, JY; Lin, Q; Zhang, MM; Xu, SQ; Zhao, SH</t>
  </si>
  <si>
    <t>Yan, Jinpei; Jung, Jinyoung; Lin, Qi; Zhang, Miming; Xu, Suqing; Zhao, Shuhui</t>
  </si>
  <si>
    <t>Effect of sea ice retreat on marine aerosol emissions in the Southern Ocean, Antarctica</t>
  </si>
  <si>
    <t>Sea ice; Sea salt aerosols; Methane sulfonic acid (MSA); Nss-SO42-; Climate</t>
  </si>
  <si>
    <t>DIMETHYL SULFIDE; ARCTIC SUMMER; SALT; SULFATE; STATION; SULFOXIDE; PARTICLES; PLANKTON; SULFUR; BLOOMS</t>
  </si>
  <si>
    <t>Sea ice retreat in the polar region is expected to increase the emissions of sea salt aerosols and biogenic gases, which may significantly impact the climate by increasing cloud condensation nuclei (CCN) population and changing solar radiation. In this study, aerosol compositions were measured at high-time-resolution (1 h) with an in-situ gas and aerosol composition monitoring system in polynya regions of the Southern Ocean (SO) to access the effects of sea ice concentrations on the sea salt aerosol (SSA) and secondary biogenic aerosol (SBA) in the SO. SSA emissions increased by more than 30% as sea ice concentration decreased from 85% to 29%. However, SSA emissions did not increase monotonically as the sea ice concentration decreased. The highest SSA concentration occurred in drifting sea ice region. Sea ice melting increased SBA concentrations by enhancing the air-sea exchanges of SBA precursor gases and the release of algae from sea ice. Positive correlations between SSA and wind speed were present in different sea ice regions, while SBA didn't reveal an obvious correlation with wind speed in the SO. The impact of wind speed on the SSA emissions were very different, Higher slope value of 41.83 and 35.81 were present in the DSI and SIP region, while the value was only about 16.74 in the SIC region. The results extended the knowledge of the effect of future sea ice retreat on marine aerosol emissions and potential climate changes in the polar region. (C) 2020 Elsevier B.V. All rights reserved.</t>
  </si>
  <si>
    <t>[Yan, Jinpei; Lin, Qi; Zhang, Miming; Xu, Suqing; Zhao, Shuhui] Minist Nat Resources, Key Lab Global Change &amp; Marine Atmospher Chem, Xiamen 361005, Peoples R China; [Yan, Jinpei; Lin, Qi; Zhang, Miming; Xu, Suqing; Zhao, Shuhui] Minist Nat Resources, Inst Oceanog 3, Xiamen 361005, Peoples R China; [Jung, Jinyoung] Korea Polar Res Inst, 26 Songdomirae Ro, Incheon 21990, South Korea</t>
  </si>
  <si>
    <t>Ministry of Natural Resources of the People's Republic of China; Ministry of Natural Resources of the People's Republic of China; Third Institute of Oceanography, Ministry of Natural Resources; Korea Polar Research Institute (KOPRI)</t>
  </si>
  <si>
    <t>Yan, JP (corresponding author), MNR, Inst Oceanog 3, 178 Daxue Rd, Xiamen 361005, Peoples R China.</t>
  </si>
  <si>
    <t>jpyan@tio.org.cn</t>
  </si>
  <si>
    <t>Yan, Jin Pei/0000-0002-1273-9422</t>
  </si>
  <si>
    <t>Qingdao National Laboratory forMarine Science and Technology [QNLM2016ORP0109]; Natural Science Foundation of Fujian Province, China [2019 J01120]; Response and Feedback of the Southern Ocean to Climate Change (RFSOCC2020-2025); Chinese Projects for Investigations and Assessments of the Arctic and Antarctic (CHINARE2017-2020); National Natural Science Foundation of China [41941014]; NSFC [41911540471]; Korea Polar Research Institute (KOPRI) [PE20140]; National Research Foundation of Korea [NRF-2019K2A9A2A06025329]; Korea Polar Research Institute of Marine Research Placement (KOPRI) [PE20140] Funding Source: Korea Institute of Science &amp; Technology Information (KISTI), National Science &amp; Technology Information Service (NTIS)</t>
  </si>
  <si>
    <t>Qingdao National Laboratory forMarine Science and Technology; Natural Science Foundation of Fujian Province, China(Natural Science Foundation of Fujian Province); Response and Feedback of the Southern Ocean to Climate Change (RFSOCC2020-2025); Chinese Projects for Investigations and Assessments of the Arctic and Antarctic (CHINARE2017-2020); National Natural Science Foundation of China(National Natural Science Foundation of China (NSFC)); NSFC(National Natural Science Foundation of China (NSFC)); Korea Polar Research Institute (KOPRI)(Korea Polar Research Institute of Marine Research Placement (KOPRI)); National Research Foundation of Korea(National Research Foundation of Korea); Korea Polar Research Institute of Marine Research Placement (KOPRI)(Korea Polar Research Institute of Marine Research Placement (KOPRI))</t>
  </si>
  <si>
    <t>This study is financially supported by Qingdao National Laboratory forMarine Science and Technology (No. QNLM2016ORP0109), the Natural Science Foundation of Fujian Province, China (No. 2019 J01120), the Response and Feedback of the Southern Ocean to Climate Change (RFSOCC2020-2025), the Chinese Projects for Investigations and Assessments of the Arctic and Antarctic (CHINARE2017-2020), the National Natural Science Foundation of China (No. 41941014), the international cooperation program managed by the National Research Foundation of Korea (NRF-2019K2A9A2A06025329) and NSFC (41911540471). Jinyoung Jungwas supported by grants fromKorea Polar Research Institute (KOPRI) (PE20140). The authors gratefully acknowledge Guangzhou Hexin Analytical Instrument Company Limited for the on-board observation technical assistance, and Zhangjia Instrument Company Limited for the IGAC technical assistance and data analysis.</t>
  </si>
  <si>
    <t>10.1016/j.scitotenv.2020.140773</t>
  </si>
  <si>
    <t>OC7VL</t>
  </si>
  <si>
    <t>WOS:000579365600024</t>
  </si>
  <si>
    <t>Turton, JV; Kirchgaessner, A; Ross, AN; King, JC; Munneke, PK</t>
  </si>
  <si>
    <t>Turton, Jenny, V; Kirchgaessner, Amelie; Ross, Andrew N.; King, John C.; Munneke, Peter Kuipers</t>
  </si>
  <si>
    <t>The influence of fohn winds on annual and seasonal surface melt on the Larsen C Ice Shelf, Antarctica</t>
  </si>
  <si>
    <t>ENERGY BUDGET; PENINSULA; CLIMATE; IMPACTS</t>
  </si>
  <si>
    <t>Warm, dry fohn winds are observed over the Larsen C Ice Shelf year-round and are thought to contribute to the continuing weakening and collapse of ice shelves on the eastern Antarctic Peninsula (AP). We use a surface energy balance (SEB) model, driven by observations from two locations on the Larsen C Ice Shelf and one on the remnants of Larsen B, in combination with output from the Antarctic Mesoscale Prediction System (AMPS), to investigate the year-round impact of fohn winds on the SEB and melt from 2009 to 2012. Fohn winds have an impact on the individual components of the surface energy balance in all seasons and lead to an increase in surface melt in spring, summer and autumn up to 100 km away from the foot of the AP. When fohn winds occur in spring they increase surface melt, extend the melt season and increase the number of melt days within a year. Whilst AMPS is able to simulate the percentage of melt days associated with fohn with high skill, it overestimates the total amount of melting during fohn events and non-fohn events. This study extends previous attempts to quantify the impact of fohn on the Larsen C Ice Shelf by including a 4-year study period and a wider area of interest and provides evidence for fohn-related melting on both the Larsen C and Larsen B ice shelves.</t>
  </si>
  <si>
    <t>[Turton, Jenny, V; Kirchgaessner, Amelie; King, John C.] British Antarctic Survey, Cambridge CB3 0ET, England; [Turton, Jenny, V; Ross, Andrew N.] Univ Leeds, Sch Earth &amp; Environm, Leeds LS2 9JT, W Yorkshire, England; [Turton, Jenny, V] Friedrich Alexander Univ, Inst Geog, D-91058 Erlangen, Germany; [Munneke, Peter Kuipers] Univ Utrecht, Inst Marine &amp; Atmospher Res Utrecht, NL-3508 Utrecht, Netherlands</t>
  </si>
  <si>
    <t>UK Research &amp; Innovation (UKRI); Natural Environment Research Council (NERC); NERC British Antarctic Survey; University of Leeds; University of Erlangen Nuremberg; Utrecht University</t>
  </si>
  <si>
    <t>Turton, JV (corresponding author), British Antarctic Survey, Cambridge CB3 0ET, England.;Turton, JV (corresponding author), Univ Leeds, Sch Earth &amp; Environm, Leeds LS2 9JT, W Yorkshire, England.;Turton, JV (corresponding author), Friedrich Alexander Univ, Inst Geog, D-91058 Erlangen, Germany.</t>
  </si>
  <si>
    <t>jenny.turton@fau.de</t>
  </si>
  <si>
    <t>Ross, Andrew N/D-9312-2011; Kirchgaessner, Amelie/JGL-9010-2023</t>
  </si>
  <si>
    <t>Ross, Andrew N/0000-0002-8631-3512; Kirchgaessner, Amelie/0000-0001-7483-3652; King, John/0000-0003-3315-7568; Turton, Jenny/0000-0003-0581-8293</t>
  </si>
  <si>
    <t>Natural Environment Research Council [NE/L501633/1, NE/G014124/1]; NERC [bas0100032, NE/G014124/1, NE/L501633/1] Funding Source: UKRI</t>
  </si>
  <si>
    <t>This research has been supported by the Natural Environment Research Council (grant nos. NE/L501633/1 and NE/G014124/1).</t>
  </si>
  <si>
    <t>NOV 24</t>
  </si>
  <si>
    <t>10.5194/tc-14-4165-2020</t>
  </si>
  <si>
    <t>PA3CR</t>
  </si>
  <si>
    <t>WOS:000595510400001</t>
  </si>
  <si>
    <t>Soens, B; Suttle, MD; Maeda, R; Vanhaecke, F; Yamaguchi, A; Van Ginneken, M; Debaille, V; Claeys, P; Goderis, S</t>
  </si>
  <si>
    <t>Soens, Bastien; Suttle, Martin D.; Maeda, Ryoga; Vanhaecke, Frank; Yamaguchi, Akira; Van Ginneken, Matthias; Debaille, Vinciane; Claeys, Philippe; Goderis, Steven</t>
  </si>
  <si>
    <t>Evidence for the presence of chondrule- and CAI-derived material in an isotopically anomalous Antarctic micrometeorite</t>
  </si>
  <si>
    <t>ALUMINUM-RICH INCLUSIONS; SOR RONDANE MOUNTAINS; COSMIC SPHERULES; COMPOSITIONAL CLASSIFICATION; CARBONACEOUS CHONDRITE; OXYGEN ISOTOPES; AQUEOUS ALTERATION; ATMOSPHERIC ENTRY; INTERPLANETARY DUST; TRACE-ELEMENT</t>
  </si>
  <si>
    <t>We report the discovery of a unique, refractory phase-bearing micrometeorite (WF1202A-001) from the Sor Rondane Mountains, East Antarctica. A silicate-rich cosmic spherule (similar to 400 mu m) displays a microporphyritic texture containing Ca-Al-rich inclusion (CAI)-derived material (similar to 5-10 area%), including high-Mg forsterite (Fo(98-99)) and enstatite (En(98-99), Wo(0-1)). The micrometeorite also hosts a spherical inclusion (similar to 209 mu m), reminiscent of chondrules, displaying a barred olivine texture. Oxygen isotopic compositions of the micrometeorite groundmass (delta O-17 = -3.46 parts per thousand, delta O-18 = 10.43 parts per thousand, increment O-17 = -1.96 parts per thousand) are consistent with a carbonaceous chondrite precursor body. Yet, a relict forsterite grain is characterized by delta O-17 = -45.8 parts per thousand, delta O-18 = -43.7 parts per thousand, increment O-17 = -23.1 parts per thousand, compatible with CAIs. In contrast, a relict low-Ca pyroxene grain (delta O-17 = -4.96 parts per thousand, delta O-18 = -4.32 parts per thousand, increment O-17 = -2.71 parts per thousand) presumably represents a first-generation silicate grain that accreted O-18-rich gas or dust in a transient melting scenario. The spherical inclusion displays anomalous oxygen isotope ratios (delta O-17 = -0.98 parts per thousand, delta O-18 = -2.16 parts per thousand, increment O-17 = 0.15 parts per thousand), comparable to anhydrous interplanetary dust particles (IDPs) and fragments from Comet 81P/Wild2. Based on its major element geochemistry, the chondrule size, and oxygen isotope systematics, micrometeorite WF1202A-001 likely sampled a carbonaceous chondrite parent body similar to, but distinct from CM, CO, or CV chondrites. This observation may suggest that some carbonaceous chondrite bodies can be linked to comets. The reconstructed atmospheric entry parameters of micrometeorite WF1202A-001 suggest that the precursor particle originated from a low-inclination, low-eccentricity source region, most likely either the main belt asteroids or Jupiter family comets (JFCs).</t>
  </si>
  <si>
    <t>[Soens, Bastien; Maeda, Ryoga; Claeys, Philippe; Goderis, Steven] Vrije Univ Brussel, Analyt Environm &amp; Geochem, Pl Laan 2, B-1050 Brussels, Belgium; [Soens, Bastien; Debaille, Vinciane] Univ Libre Bruxelles 50, Lab G Time, 50 Av FD Roosevelt CP 160-02, B-1050 Brussels, Belgium; [Suttle, Martin D.] Univ Pisa, Dipartimento Sci Terra, Via S Maria 53, I-56126 Pisa, Italy; [Suttle, Martin D.] Nat Hist Museum, Dept Earth Sci, Planetary Mat Grp, Cromwell Rd, London SW7 5BD, England; [Vanhaecke, Frank] Univ Ghent, Dept Chem, Atom &amp; Mass Spectrometry &amp; MS Res Grp, Krijgslaan 218-S12, B-9000 Ghent, Belgium; [Yamaguchi, Akira] Natl Inst Polar Res, 10-3 Midori Cho, Tachikawa, Tokyo 1908518, Japan; [Van Ginneken, Matthias] Univ Kent, Ctr Astrophys &amp; Planetary Sci, Canterbury CT2 7NZ, Kent, England</t>
  </si>
  <si>
    <t>Vrije Universiteit Brussel; University of Pisa; Natural History Museum London; Ghent University; Research Organization of Information &amp; Systems (ROIS); National Institute of Polar Research (NIPR) - Japan; University of Kent</t>
  </si>
  <si>
    <t>Soens, B (corresponding author), Vrije Univ Brussel, Analyt Environm &amp; Geochem, Pl Laan 2, B-1050 Brussels, Belgium.;Soens, B (corresponding author), Univ Libre Bruxelles 50, Lab G Time, 50 Av FD Roosevelt CP 160-02, B-1050 Brussels, Belgium.</t>
  </si>
  <si>
    <t>Bastien.Soens@vub.be</t>
  </si>
  <si>
    <t>Van Ginneken, Matthias/AFQ-5594-2022; (VUB), VRIJE UNIVERSITEIT BRUSSEL/B-4895-2008; Goderis, Steven/F-9908-2011; Vanhaecke, Frank/AAO-4582-2020</t>
  </si>
  <si>
    <t>Van Ginneken, Matthias/0000-0002-2508-7021; (VUB), VRIJE UNIVERSITEIT BRUSSEL/0000-0002-4585-7687; Goderis, Steven/0000-0002-6666-7153; Vanhaecke, Frank/0000-0002-1884-3853; Maeda, Ryoga/0000-0003-4791-630X; Suttle, Martin/0000-0001-7165-2215; Soens, Bastien/0000-0002-7695-6629</t>
  </si>
  <si>
    <t>Fonds voor Wetenschappelijk Onderzoek (FWO) Vlaanderen; Excellence of Science (EoS) project ET-HoME; UGent; Teledyne Cetac Technologies; ERC StG ISoSyC; FRS-FNRS; VUB Strategic Research Program; UK's Science and Technology Facilities Council (STFC) [ST/R000727/1]; STFC [ST/R000727/1] Funding Source: UKRI</t>
  </si>
  <si>
    <t>Fonds voor Wetenschappelijk Onderzoek (FWO) Vlaanderen(FWO); Excellence of Science (EoS) project ET-HoME; UGent; Teledyne Cetac Technologies; ERC StG ISoSyC; FRS-FNRS(Fonds de la Recherche Scientifique - FNRS); VUB Strategic Research Program; UK's Science and Technology Facilities Council (STFC)(UK Research &amp; Innovation (UKRI)Science &amp; Technology Facilities Council (STFC)); STFC(UK Research &amp; Innovation (UKRI)Science &amp; Technology Facilities Council (STFC))</t>
  </si>
  <si>
    <t>This study was funded by the Fonds voor Wetenschappelijk Onderzoek (FWO) Vlaanderen as part of a PhD Fellowship, and carried out using the facilities of the National Institute of Polar Research (NIPR). We specifically like to thank Rei Kanemaru for his assistance during the EPMA analysis. We also like to thank Johan Villeneuve (CRPG) for his assistance during the SIMS measurement time. RM, FV, VD, PhC, and SG acknowledge funding from the Excellence of Science (EoS) project ET-HoME. FV also acknowledges UGent for GOA funding and Teledyne Cetac Technologies for financial and logistic support. VD thanks the ERC StG ISoSyC and FRS-FNRS for funding. MvG, VD, and PhC thank the Belgian Science Policy (Belspo) Brain-be Amundsen project. PhC acknowledges the support of the VUB Strategic Research Program. MDS is supported by the UK's Science and Technology Facilities Council (STFC) on grant no. ST/R000727/1. Finally, we thank Matthew Genge for his insightful comments during the review of this manuscript.</t>
  </si>
  <si>
    <t>10.1111/maps.13599</t>
  </si>
  <si>
    <t>WOS:000591660900001</t>
  </si>
  <si>
    <t>Barenie, MJ; Freemas, JA; Baranauskas, MN; Goss, CS; Freeman, KL; Chen, XW; Dickinson, SL; Fly, AD; Kawata, K; Chapman, RF; Mickleborough, TD</t>
  </si>
  <si>
    <t>Barenie, Matthew J.; Freemas, Jessica A.; Baranauskas, Marissa N.; Goss, Curtis S.; Freeman, Kadie L.; Chen, Xiwei; Dickinson, Stephanie L.; Fly, Alyce D.; Kawata, Keisuke; Chapman, Robert F.; Mickleborough, Timothy D.</t>
  </si>
  <si>
    <t>Effectiveness of a combined New Zealand green-lipped mussel and Antarctic krill oil supplement on markers of exercise-induced muscle damage and inflammation in untrained men</t>
  </si>
  <si>
    <t>JOURNAL OF DIETARY SUPPLEMENTS</t>
  </si>
  <si>
    <t>Omega-3 fatty acids; delayed onset muscle soreness; eccentric; green-lipped mussel oil; krill oil</t>
  </si>
  <si>
    <t>Green-lipped mussel oil (PCSO-524(R)) has been shown to attenuate signs and symptoms of exercise-induced muscle damage (EIMD), and krill oil has been shown to have a protective effect against cytokine-induced tissue degradation. The purpose of this study was to compare the effects of PCSO-524(R) and ESPO-572(R) (75% PCSO-524(R) and 25% krill oil) on signs and symptoms of EIMD. Fifty-one untrained men consumed 600 mg/d of PCSO-524(R) (n = 24) or ESPO-572(R) (n = 27) for 26 d prior to and 72 h following a downhill running bout. Delayed onset muscle soreness (DOMS), pressure pain threshold, limb swelling, range of motion (ROM), isometric torque, and blood markers of inflammation and muscle damage were assessed at baseline, 24, 48 and 72 h post-eccentric exercise. ESPO-572(R) was 'at least as good as' PCSO-524(R) and both blends were superior (p &lt; 0.05) to placebo in lessening the increase in DOMS at 24, 48, 72 h. ESPO-572(R) and PCSO-524(R) were protective against joint ROM loss compared to placebo (p &lt; 0.05) at 48 and 72 h. Notably, at 24 and 48 h, joint ROM was higher in the ESPO-572(R) compared to the PCSO-524(R) group (p &lt; 0.05). No differences between the two blends for the other markers were found. ESPO-572(R) is 'at least as good' as PCSO-524(R) in reducing markers of muscle damage and soreness following eccentric exercise and was superior to PCSO-524(R) in protecting against the loss in joint ROM during recovery. Our data support the use of ESPO-572(R), a combination of green-lipped mussel and krill oil, in mitigating the deleterious effects of EIMD.</t>
  </si>
  <si>
    <t>[Barenie, Matthew J.; Freemas, Jessica A.; Baranauskas, Marissa N.; Goss, Curtis S.; Freeman, Kadie L.; Kawata, Keisuke; Chapman, Robert F.; Mickleborough, Timothy D.] Sch Publ Hlth, Dept Kinesiol, Human Performance &amp; Exercise Biochem Lab, Bloomington, IN USA; [Chen, Xiwei; Dickinson, Stephanie L.] Indiana Univ, Sch Publ Hlth Epidemiol &amp; Biostat, Bloomington, IN 47405 USA; [Fly, Alyce D.] Indiana Univ, Sch Publ Hlth, Dept Appl Hlth Sci, Nutr Sci Lab, Bloomington, IN 47405 USA</t>
  </si>
  <si>
    <t>Indiana University System; Indiana University Bloomington; Indiana University System; Indiana University Bloomington</t>
  </si>
  <si>
    <t>Mickleborough, TD (corresponding author), Indiana Univ, Sch Publ Hlth, Dept Kinesiol, 1025 E Seventh St,SPH 112, Bloomington, IN 47405 USA.</t>
  </si>
  <si>
    <t>tmickleb@indiana.edu</t>
  </si>
  <si>
    <t>Mickleborough, Timothy/0000-0002-5118-268X; Barenie, Matthew/0000-0002-9082-0373; Dickinson, Stephanie/0000-0002-2998-4467; Chapman, Robert/0000-0001-7173-1976</t>
  </si>
  <si>
    <t>Pharmalink International Ltd, Hong Kong</t>
  </si>
  <si>
    <t>This work was supported by a grant from Pharmalink International Ltd, Hong Kong. The funders had no role in study design, data collection and analysis, in writing the manuscript, or decision to publish.</t>
  </si>
  <si>
    <t>1939-0211</t>
  </si>
  <si>
    <t>1939-022X</t>
  </si>
  <si>
    <t>J DIET SUPPL</t>
  </si>
  <si>
    <t>J. Diet. Suppl.</t>
  </si>
  <si>
    <t>MAR 4</t>
  </si>
  <si>
    <t>10.1080/19390211.2020.1853649</t>
  </si>
  <si>
    <t>Nutrition &amp; Dietetics; Pharmacology &amp; Pharmacy</t>
  </si>
  <si>
    <t>ZE8YR</t>
  </si>
  <si>
    <t>WOS:000597020900001</t>
  </si>
  <si>
    <t>Eldoy, SH; Davidsen, JG; Vignon, M; Power, M</t>
  </si>
  <si>
    <t>Eldoy, Sindre H.; Davidsen, Jan G.; Vignon, Matthias; Power, Michael</t>
  </si>
  <si>
    <t>The biology and feeding ecology of Arctic charr in the Kerguelen Islands</t>
  </si>
  <si>
    <t>JOURNAL OF FISH BIOLOGY</t>
  </si>
  <si>
    <t>SALVELINUS-ALPINUS L.; TOTAL MERCURY CONCENTRATIONS; SALMO-TRUTTA L.; BROWN TROUT; LIFE-HISTORY; POPULATION-STRUCTURE; THERMAL ADAPTATION; TROPHIC POSITION; ATLANTIC SALMON; STABLE ISOTOPES</t>
  </si>
  <si>
    <t>Subsequent to their introduction in the 1950s, Arctic charr Salvelinus alpinus have been able to establish a self-sustaining population that has adapted to the unique conditions of the sub-Antarctic Kerguelen Islands. Here, 48 individuals (198-415 mm) were caught with gillnets and their basic biology and feeding ecology were examined using stable isotope analysis. The Lac des Fougeres population split use of littoral and pelagic resources evenly, although larger fish relied more heavily on littoral production and appear to follow the size-dependent life history habitat template seen in many Scandinavian lakes where smaller sized individuals occupy the pelagic zone and larger individuals dominate the littoral habitat. In Kerguelen, Arctic charr mature at the same ages (5.6 years) as Arctic charr in both sub-Arctic and Arctic lakes. Although mortality was average in comparison to comparator sub-Arctic lakes, it was high in comparison to Arctic lakes. Maximal age (&gt;7+) was at the lower end of the range typically seen in sub-Arctic lakes. Although they inhabit a resource-poor environment, Kerguelen Arctic charr showed no evidence of cannibalism. Thus, while Arctic charr can survive and reproduce in the relatively unproductive Kerguelen lake environments, survival and growth nevertheless appear to be traded off against survival and longevity. The uniqueness of the population location and the recency of its introduction suggest that further monitoring of the population has the potential to yield valuable insights into both the adaptability of the species and its likely responses to ongoing large-scale environmental change as represented by climate change.</t>
  </si>
  <si>
    <t>[Eldoy, Sindre H.; Davidsen, Jan G.] Norwegian Univ Sci &amp; Technol, NTNU Univ Museum, Dept Nat Hist, Trondheim, Norway; [Vignon, Matthias] INRA, ECOBIOP, St Pee Sur Nivelle, France; [Power, Michael] Univ Waterloo, Dept Biol, Waterloo, ON, Canada</t>
  </si>
  <si>
    <t>Norwegian University of Science &amp; Technology (NTNU); Universite de Pau et des Pays de l'Adour; INRAE; University of Waterloo</t>
  </si>
  <si>
    <t>Power, M (corresponding author), Dept Biol, 200 Univ Ave West, Waterloo, ON N2L 3G1, Canada.</t>
  </si>
  <si>
    <t>m3power@uwaterloo.ca</t>
  </si>
  <si>
    <t>Vignon, Matthias/N-1122-2019; Davidsen, Jan Grimsrud/KFC-1539-2024; Davidsen, Jan Grimsrud/AAN-5974-2020; Vignon, Matthias/A-8520-2010</t>
  </si>
  <si>
    <t>Davidsen, Jan Grimsrud/0000-0002-7253-2327; Vignon, Matthias/0000-0001-9222-8966; Eldoy, Sindre Havarstein/0000-0002-7992-4921</t>
  </si>
  <si>
    <t>Natural Sciences and Engineering Research Council of Canada; NTNU University Museum; French Polar Institute (IPEV, Institut Polaire Paul-Emile Victor)</t>
  </si>
  <si>
    <t>Natural Sciences and Engineering Research Council of Canada(Natural Sciences and Engineering Research Council of Canada (NSERC)CGIAR); NTNU University Museum; French Polar Institute (IPEV, Institut Polaire Paul-Emile Victor)</t>
  </si>
  <si>
    <t>Natural Sciences and Engineering Research Council of Canada; NTNU University Museum; French Polar Institute (IPEV, Institut Polaire Paul-Emile Victor) as a part of the SALMEVOL and LTSER programs</t>
  </si>
  <si>
    <t>0022-1112</t>
  </si>
  <si>
    <t>1095-8649</t>
  </si>
  <si>
    <t>J FISH BIOL</t>
  </si>
  <si>
    <t>J. Fish Biol.</t>
  </si>
  <si>
    <t>10.1111/jfb.14596</t>
  </si>
  <si>
    <t>QF5YB</t>
  </si>
  <si>
    <t>WOS:000591685300001</t>
  </si>
  <si>
    <t>Hermes, AL; Wainwright, HM; Wigmore, O; Falco, N; Molotch, NP; Hinckley, ELS</t>
  </si>
  <si>
    <t>Hermes, Anna L.; Wainwright, Haruko M.; Wigmore, Oliver; Falco, Nicola; Molotch, Noah P.; Hinckley, Eve-Lyn S.</t>
  </si>
  <si>
    <t>From Patch to Catchment: A Statistical Framework to Identify and Map Soil Moisture Patterns Across Complex Alpine Terrain</t>
  </si>
  <si>
    <t>FRONTIERS IN WATER</t>
  </si>
  <si>
    <t>hydrology; critical zone; topography; random forest; Niwot Ridge LTER; Rocky Mountains; Colorado</t>
  </si>
  <si>
    <t>CLIMATE-CHANGE IMPACTS; COLORADO FRONT RANGE; RAIN-SNOW TRANSITION; GREEN LAKES VALLEY; POTENTIAL IMPACTS; UNITED-STATES; TUNDRA; NITROGEN; SUBSURFACE; ECOSYSTEMS</t>
  </si>
  <si>
    <t>Climate warming in alpine regions is changing patterns of water storage, a primary control on alpine plant ecology, biogeochemistry, and water supplies to lower elevations. There is an outstanding need to determine how the interacting drivers of precipitation and the critical zone (CZ) dictate the spatial pattern and time evolution of soil water storage. In this study, we developed an analytical framework that combines intensive hydrologic measurements and extensive remotely-sensed observations with statistical modeling to identify areas with similar temporal trends in soil water storage within, and predict their relationships across, a 0.26 km(2) alpine catchment in the Colorado Rocky Mountains, U.S.A. Repeat measurements of soil moisture were used to drive an unsupervised clustering algorithm, which identified six unique groups of locations ranging from predominantly dry to persistently very wet within the catchment. We then explored relationships between these hydrologic groups and multiple CZ-related indices, including snow depth, plant productivity, macro- (10(2)-&gt;10(3) m) and microtopography (&lt;10(0)-10(2) m), and hydrological flow paths. Finally, we used a supervised machine learning random forest algorithm to map each of the six hydrologic groups across the catchment based on distributed CZ properties and evaluated their aggregate relationships at the catchment scale. Our analysis indicated that similar to 40-50% of the catchment is hydrologically connected to the stream channel, lending insight into the portions of the catchment that likely dominate stream water and solute fluxes. This research expands our understanding of patch-to-catchment-scale physical controls on hydrologic and biogeochemical processes, as well as their relationships across space and time, which will inform predictive models aimed at determining future changes to alpine ecosystems.</t>
  </si>
  <si>
    <t>[Hermes, Anna L.; Hinckley, Eve-Lyn S.] Univ Colorado, Environm Studies Program, Boulder, CO 80309 USA; [Hermes, Anna L.; Wigmore, Oliver; Molotch, Noah P.; Hinckley, Eve-Lyn S.] Univ Colorado, Inst Arctic &amp; Alpine Res, Boulder, CO 80309 USA; [Wainwright, Haruko M.; Falco, Nicola] Lawrence Berkeley Natl Lab, Earth &amp; Environm Sci Div, Berkeley, CA USA; [Wigmore, Oliver] Victoria Univ Wellington, Antarctic Res Ctr, Wellington, New Zealand; [Wigmore, Oliver] Univ Colorado, Earth Lab, Cooperat Inst Res Environm Sci, Boulder, CO 80309 USA; [Molotch, Noah P.] Univ Colorado, Dept Geog, Boulder, CO 80309 USA</t>
  </si>
  <si>
    <t>University of Colorado System; University of Colorado Boulder; University of Colorado System; University of Colorado Boulder; United States Department of Energy (DOE); Lawrence Berkeley National Laboratory; Victoria University Wellington; University of Colorado System; University of Colorado Boulder; University of Colorado System; University of Colorado Boulder</t>
  </si>
  <si>
    <t>Hermes, AL (corresponding author), Univ Colorado, Environm Studies Program, Boulder, CO 80309 USA.;Hermes, AL (corresponding author), Univ Colorado, Inst Arctic &amp; Alpine Res, Boulder, CO 80309 USA.</t>
  </si>
  <si>
    <t>anna.hermes@colorado.edu</t>
  </si>
  <si>
    <t>Wainwright, Haruko/AAE-2776-2022; Falco, Nicola/K-5459-2016</t>
  </si>
  <si>
    <t>Wainwright, Haruko/0000-0002-2140-6072; Falco, Nicola/0000-0003-3307-6098; Wigmore, Oliver/0000-0002-6813-3884</t>
  </si>
  <si>
    <t>Niwot Ridge LTER program [NSF DEB-1637686]; U.S. Department of Energy, Office of Science, Office of Biological and Environmental Research, Earth and Environmental Systems Sciences Division, Watershed Function Scientific Focus Area [DE-AC02-05CH11231]; University of Colorado; University of Colorado Earth Lab Grand Challenge; National Science Foundation [EAR-1724794]; National Aeronautics and Space Administration under NSF [EAR-1724794]</t>
  </si>
  <si>
    <t>Niwot Ridge LTER program; U.S. Department of Energy, Office of Science, Office of Biological and Environmental Research, Earth and Environmental Systems Sciences Division, Watershed Function Scientific Focus Area(United States Department of Energy (DOE)); University of Colorado; University of Colorado Earth Lab Grand Challenge; National Science Foundation(National Science Foundation (NSF)); National Aeronautics and Space Administration under NSF</t>
  </si>
  <si>
    <t>This research was supported by the Niwot Ridge LTER program (NSF DEB-1637686). HW and NF were supported by the U.S. Department of Energy, Office of Science, Office of Biological and Environmental Research, Earth and Environmental Systems Sciences Division under Award Number DE-AC02-05CH11231, as part of the Watershed Function Scientific Focus Area. OW was supported in part through funding from the University of Colorado 2016 Innovative Seed Grant, and the University of Colorado Earth Lab Grand Challenge, in association with NM. GNSS survey equipment was provided by the GAGE Facility, operated by UNAVCO, Inc. with support from the National Science Foundation and the National Aeronautics and Space Administration under NSF Cooperative Agreement EAR-1724794.</t>
  </si>
  <si>
    <t>2624-9375</t>
  </si>
  <si>
    <t>FRONT WATER</t>
  </si>
  <si>
    <t>Front. Water</t>
  </si>
  <si>
    <t>NOV 23</t>
  </si>
  <si>
    <t>10.3389/frwa.2020.578602</t>
  </si>
  <si>
    <t>SP1GJ</t>
  </si>
  <si>
    <t>WOS:000659419400001</t>
  </si>
  <si>
    <t>Kim, BH; Seo, KW; Eom, J; Chen, JL; Wilson, CR</t>
  </si>
  <si>
    <t>Kim, Byeong-Hoon; Seo, Ki-Weon; Eom, Jooyoung; Chen, Jianli; Wilson, Clark R.</t>
  </si>
  <si>
    <t>Antarctic ice mass variations from 1979 to 2017 driven by anomalous precipitation accumulation</t>
  </si>
  <si>
    <t>ACCELERATION; BALANCE; TRENDS</t>
  </si>
  <si>
    <t>Antarctic ice mass balance is determined by precipitation and ice discharge, and understanding their relative contributions to contemporary Antarctic ice mass change is important to project future ice mass loss and resulting sea level rise. There has been evidence that anomalous precipitation affects Antarctic ice mass loss estimates, and thus the precipitation contribution should be understood and considered in future projections. In this study, we revisit changes in Antarctic ice mass over recent decades and examine precipitation contributions over this period. We show that accumulated (time-integrated) precipitation explains most inter-annual anomalies of Antarctic ice mass change during the GRACE period (2003-2017). From 1979 to 2017, accumulated Antarctic precipitation contributes to significant ice mass loss acceleration in the Pacific sector and deceleration in the Atlantic-Indian Sectors, forming a bi-polar spatial pattern. Principal component analysis reveals that such a bi-polar pattern is likely modulated by the Southern Annular Mode (SAM). We also find that recent ice mass loss acceleration in 2007 is related to a variation in precipitation accumulation. Overall ice discharge has accelerated at a steady rate since 1992, but has not seen a recent abrupt increase.</t>
  </si>
  <si>
    <t>[Kim, Byeong-Hoon] Korea Polar Res Inst, Div Glacial Environm Res, Incheon 21190, South Korea; [Kim, Byeong-Hoon; Seo, Ki-Weon] Seoul Natl Univ, Dept Earth Sci Educ, Seoul 08826, South Korea; [Eom, Jooyoung] Kyungpook Natl Univ, Dept Earth Sci Educ, Daegu 41556, South Korea; [Chen, Jianli; Wilson, Clark R.] Univ Texas Austin, Ctr Space Res, Austin, TX 78759 USA; [Wilson, Clark R.] Univ Texas Austin, Jackson Sch Geosci, Dept Geol Sci, Austin, TX 78712 USA</t>
  </si>
  <si>
    <t>Korea Polar Research Institute (KOPRI); Seoul National University (SNU); Kyungpook National University; University of Texas System; University of Texas Austin; University of Texas System; University of Texas Austin</t>
  </si>
  <si>
    <t>Seo, KW (corresponding author), Seoul Natl Univ, Dept Earth Sci Educ, Seoul 08826, South Korea.</t>
  </si>
  <si>
    <t>seokiweon@snu.ac.kr</t>
  </si>
  <si>
    <t>Seo, Ki-weon/AAH-7729-2021</t>
  </si>
  <si>
    <t>Seo, Ki-weon/0000-0001-5523-4996; Chen, Jianli/0000-0001-5405-8441</t>
  </si>
  <si>
    <t>Korea Institute of Marine Science and Technology Promotion (KIMST) [KIMST20190361, PM20020]; KOPRI research grant [PE20230]; National Research Foundation of Korea (NRF) [2020R1A2C2006857]; National Research Foundation of Korea (NRF) - Korea government (MSIT) [NRF-2018R1C1B5086283]; NASA [NNL14AA00C, 1478584]; NASA Earth Surface and Interior Program [NNX17AG96G]; National Geospatial Intelligence Agency</t>
  </si>
  <si>
    <t>Korea Institute of Marine Science and Technology Promotion (KIMST)(Korea Institute of Marine Science &amp; Technology Promotion (KIMST)); KOPRI research grant(Korea Polar Research Institute of Marine Research Placement (KOPRI)); National Research Foundation of Korea (NRF)(National Research Foundation of Korea); National Research Foundation of Korea (NRF) - Korea government (MSIT)(National Research Foundation of KoreaMinistry of Science, ICT &amp; Future Planning, Republic of KoreaMinistry of Science &amp; ICT (MSIT), Republic of Korea); NASA(National Aeronautics &amp; Space Administration (NASA)); NASA Earth Surface and Interior Program(National Aeronautics &amp; Space Administration (NASA)); National Geospatial Intelligence Agency</t>
  </si>
  <si>
    <t>This study was supported by the Korea Institute of Marine Science and Technology Promotion (KIMST) research grant (KIMST20190361; PM20020), KOPRI research grant (PE20230), and National Research Foundation of Korea (NRF) grant (NO. 2020R1A2C2006857). J. E. was supported by the National Research Foundation of Korea (NRF) grant funded by the Korea government (MSIT) NRF-2018R1C1B5086283. J.C. was support by NASA GRACE and GRACE Follow-On Projects (under contract # NNL14AA00C and JPL subcontract # 1478584), and NASA Earth Surface and Interior Program (NNX17AG96G), and C.W. was support by the National Geospatial Intelligence Agency and NASA Earth Surface and Interior Program (NNX17AG96G) We thank Duane Waliser, Baijun Tian and two anonymous reviewers for their helpful comments on the manuscript.</t>
  </si>
  <si>
    <t>10.1038/s41598-020-77403-5</t>
  </si>
  <si>
    <t>PA7YD</t>
  </si>
  <si>
    <t>WOS:000595845100009</t>
  </si>
  <si>
    <t>Potter, ER; Orr, A; Willis, IC; Bannister, D; Wagnon, P</t>
  </si>
  <si>
    <t>Potter, Emily R.; Orr, Andrew; Willis, Ian C.; Bannister, Daniel; Wagnon, Patrick</t>
  </si>
  <si>
    <t>Meteorological impacts of a novel debris-covered glacier category in a regional climate model across a Himalayan catchment</t>
  </si>
  <si>
    <t>ATMOSPHERIC SCIENCE LETTERS</t>
  </si>
  <si>
    <t>debris‐ covered glaciers; Himalaya; mountain meteorology; WRF</t>
  </si>
  <si>
    <t>SUPRAGLACIAL DEBRIS; ABLATION; VARIABILITY; THICKNESS; SCHEMES; FLUXES</t>
  </si>
  <si>
    <t>Many of the glaciers in the Nepalese Himalaya are partially covered in a layer of loose rock known as debris cover. In the Dudh Koshi River Basin, Nepal, approximately 25% of glaciers are debris-covered. Debris-covered glaciers have been shown to have a substantial impact on near-surface meteorological variables and the surface energy balance, in comparison to clean-ice glaciers. The Weather Research and Forecasting (WRF) model is often used for high-resolution weather and climate modelling, however representation of debris-covered glaciers is not included in the standard land cover and soil categories. Here we include a simple representation of thick debris-covered glaciers in the WRF model, and investigate the impact on the near-surface atmosphere over the Dudh Koshi River Basin for July 2013. Inclusion of this new category is found to improve the model representation of near-surface temperature and relative humidity, in comparison with a simulation using the default category of clean-ice glaciers, when compared to observations. The addition of the new debris-cover category in the model warms the near-surface air over the debris-covered portion of the glacier, and the wind continues further up the valley, compared to the simulation using clean-ice. This has consequent effects on water vapour and column-integrated total water path, over both the portions of the glacier with and without debris cover. Correctly simulating meteorological variables such as these is vital for accurate precipitation forecasts over glacierized regions, and therefore estimating future glacier melt and river runoff in the Himalaya. These results highlight the need for debris cover to be included in high-resolution regional climate models over debris-covered glaciers.</t>
  </si>
  <si>
    <t>[Potter, Emily R.; Orr, Andrew; Bannister, Daniel] British Antarctic Survey, Cambridge, England; [Potter, Emily R.; Willis, Ian C.] Univ Cambridge, Scott Polar Res Inst, Cambridge, England; [Wagnon, Patrick] Univ Grenoble Alpes, CNRS, IRD, IGE, Grenoble, France</t>
  </si>
  <si>
    <t>UK Research &amp; Innovation (UKRI); Natural Environment Research Council (NERC); NERC British Antarctic Survey; University of Cambridge; Communaute Universite Grenoble Alpes; Universite Grenoble Alpes (UGA); Institut de Recherche pour le Developpement (IRD); Centre National de la Recherche Scientifique (CNRS)</t>
  </si>
  <si>
    <t>Potter, ER (corresponding author), Univ Leeds, Seminary St,Woodhouse, Leeds LS2 9JT, W Yorkshire, England.</t>
  </si>
  <si>
    <t>e.r.potter@leeds.ac.uk</t>
  </si>
  <si>
    <t>Potter, Emily/0000-0001-5273-1292</t>
  </si>
  <si>
    <t>National Environmental Research Council [NE/L002507/1]; Labex OSUG@2020; French National Research Agency (ANR) [ANR-13-SENV-0005-04-PRESHINE]; French Observatory CRYOBS-CLIM; NERC [bas0100032] Funding Source: UKRI</t>
  </si>
  <si>
    <t>National Environmental Research Council(UK Research &amp; Innovation (UKRI)Natural Environment Research Council (NERC)); Labex OSUG@2020; French National Research Agency (ANR)(Agence Nationale de la Recherche (ANR)Norwegian Agency for Development Cooperation - NORAD); French Observatory CRYOBS-CLIM; NERC(UK Research &amp; Innovation (UKRI)Natural Environment Research Council (NERC))</t>
  </si>
  <si>
    <t>National Environmental Research Council, Grant/Award Number: NE/L002507/1; Labex OSUG@2020; French National Research Agency (ANR) through ANR-13-SENV-0005-04-PRESHINE; French Observatory CRYOBS-CLIM</t>
  </si>
  <si>
    <t>1530-261X</t>
  </si>
  <si>
    <t>ATMOS SCI LETT</t>
  </si>
  <si>
    <t>Atmos. Sci. Lett.</t>
  </si>
  <si>
    <t>e1018</t>
  </si>
  <si>
    <t>10.1002/asl.1018</t>
  </si>
  <si>
    <t>QR6QZ</t>
  </si>
  <si>
    <t>WOS:000591219200001</t>
  </si>
  <si>
    <t>Coleine, C; Stajich, JE; de los Ríos, A; Selbmann, L</t>
  </si>
  <si>
    <t>Coleine, Claudia; Stajich, Jason E.; de los Rios, Asuncion; Selbmann, Laura</t>
  </si>
  <si>
    <t>Beyond the extremes: Rocks as ultimate refuge for fungi in drylands</t>
  </si>
  <si>
    <t>MYCOLOGIA</t>
  </si>
  <si>
    <t>Antarctica; climate change; dry limits of life; drylands; endolithic communities; extreme environments; fungi; rocks</t>
  </si>
  <si>
    <t>CRYPTOENDOLITHIC ANTARCTIC FUNGUS; ENDOLITHIC MICROBIAL COMMUNITIES; LICHEN BUELLIA-FRIGIDA; MCMURDO DRY VALLEYS; HYPER-ARID ZONE; ATACAMA DESERT; BLACK FUNGI; INHABITING FUNGI; SIMULATED SPACE; VICTORIA-LAND</t>
  </si>
  <si>
    <t>In an era of rapid climate change and expansion of desertification, the extremely harsh conditions of drylands are a true challenge for microbial life. Under drought conditions, where most life forms cannot survive, rocks represent the main refuge for life. Indeed, the endolithic habitat provides thermal buffering, physical stability, and protection against incident ultraviolet (UV) radiation and solar radiation and, to some extent, ensures water retention to microorganisms. The study of these highly specialized extreme-tolerant and extremophiles may provide tools for understanding microbial interactions and processes that allow them to keep their metabolic machinery active under conditions of dryness and oligotrophy that are typically incompatible with active life, up to the dry limits for life. Despite lithobiontic communities being studied all over the world, a comprehensive understanding of their ecology, evolution, and adaptation is still nascent. Herein, we survey the fungal component of these microbial ecosystems. We first provide an overview of the main defined groups (i.e., lichen-forming fungi, black fungi, and yeasts) of the most known and studied Antarctic endolithic communities that are almost the only life forms ensuring ecosystem functionality in the ice-free areas of the continent. For each group, we discuss their main traits and their diversity. Then, we focus on the fungal taxonomy and ecology of other worldwide endolithic communities. Finally, we highlight the utmost importance of a global rock survey in order to have a comprehensive view of the diversity, distribution, and functionality of these fungi in drylands, to obtain tools in desert area management, and as early alarm systems to climate change.</t>
  </si>
  <si>
    <t>[Coleine, Claudia; Selbmann, Laura] Univ Tuscia, Dept Ecol &amp; Biol Sci, Largo Univ Sn, I-01100 Viterbo, Italy; [Stajich, Jason E.] Univ Calif Riverside, Dept Microbiol &amp; Plant Pathol, 900 Univ Ave, Riverside, CA 92521 USA; [de los Rios, Asuncion] Spanish Natl Resource Council, Museo Nacl Ciencias Nat, Dept Biogeochem &amp; Microbial Ecol, Madrid, Spain; [Selbmann, Laura] Italian Natl Antarctic Museum, Mycol Sect, Genoa, Italy</t>
  </si>
  <si>
    <t>Tuscia University; University of California System; University of California Riverside; Consejo Superior de Investigaciones Cientificas (CSIC); CSIC - Museo Nacional de Ciencias Naturales (MNCN)</t>
  </si>
  <si>
    <t>Coleine, C (corresponding author), Univ Tuscia, Dept Ecol &amp; Biol Sci, Largo Univ Sn, I-01100 Viterbo, Italy.</t>
  </si>
  <si>
    <t>coleine@unitus.it; jason.stajich@ucr.edu</t>
  </si>
  <si>
    <t>Selbmann, Laura/L-3056-2013; Stajich, Jason Eric/C-7297-2008; de los Rios, Asuncion/L-3694-2014; Coleine, Claudia/AAE-1889-2020</t>
  </si>
  <si>
    <t>Selbmann, Laura/0000-0002-8967-3329; Stajich, Jason Eric/0000-0002-7591-0020; de los Rios, Asuncion/0000-0002-0266-3516; Coleine, Claudia/0000-0002-9289-6179</t>
  </si>
  <si>
    <t>Italian National Program for Antarctic Research; Italian Antarctic National Museum (MNA); MINECO/FEDER, UE [CTM2015-64728-C2 -2-R]</t>
  </si>
  <si>
    <t>Italian National Program for Antarctic Research; Italian Antarctic National Museum (MNA); MINECO/FEDER, UE(Spanish Government)</t>
  </si>
  <si>
    <t>C.C. and L.S. wish to thank the Italian National Program for Antarctic Research for funding sampling campaigns and research activities in Italy in the framework of Italian National Program for Antarctic Researches (PNRA) projects. The Italian Antarctic National Museum (MNA) is acknowledged for financial support to the Mycological Section of the MNA and for providing rock samples used in the investigations and stored in the Culture Collection of Fungi from Extreme Environments (MNA-FCC), University of Tuscia, Italy. J.E.S. is a CIFAR fellow in the Fungal Kingdom: Threats and Opportunities program. A.d.l.R. acknowledges financial support of the grant CTM2015-64728-C2 -2-R (MINECO/FEDER, UE) for microscopy analysis.</t>
  </si>
  <si>
    <t>0027-5514</t>
  </si>
  <si>
    <t>1557-2536</t>
  </si>
  <si>
    <t>Mycologia</t>
  </si>
  <si>
    <t>10.1080/00275514.2020.1816761</t>
  </si>
  <si>
    <t>QF5XW</t>
  </si>
  <si>
    <t>WOS:000592028800001</t>
  </si>
  <si>
    <t>Nielsen, OJ; Bilde, M</t>
  </si>
  <si>
    <t>Nielsen, Ole John; Bilde, Merete</t>
  </si>
  <si>
    <t>Reflection on two Ambio papers by P. J. Crutzen on ozone in the upper atmosphere This article belongs to Ambio's 50th Anniversary Collection. Theme: Ozone Layer</t>
  </si>
  <si>
    <t>AMBIO</t>
  </si>
  <si>
    <t>Chloro-fluoro-carbons; Nitrous oxide; Nuclear explosions; P; J; Crutzen; Stratospheric ozone depletion; Supersonic transport</t>
  </si>
  <si>
    <t>We here reflect on two important articles on stratospheric ozone depletion written by P. J. Crutzen (1974) and P. J. Crutzen and D. H. Ehhalt (1977) in the early 1970s. These articles provide a clear description of the stratosphere and the most important chemical reactions involved in stratospheric ozone depletion. They present modeling results and provide recommendations for future research on stratospheric ozone depletion caused by chloro-fluoro-carbons, supersonic transport, nitrous oxide, and nuclear explosions. These two articles represent the beginning of a scientific era, which led to discovery of the Antarctic ozone hole and political action in the form of the Montreal Protocol and its amendments.</t>
  </si>
  <si>
    <t>[Nielsen, Ole John] Univ Copenhagen, Dept Chem, Univ Pk 5, DK-2100 Copenhagen, Denmark; [Bilde, Merete] Aarhus Univ, Dept Chem, Langelandsgade 140, DK-8000 Aarhus C, Denmark</t>
  </si>
  <si>
    <t>University of Copenhagen; Aarhus University</t>
  </si>
  <si>
    <t>Bilde, M (corresponding author), Aarhus Univ, Dept Chem, Langelandsgade 140, DK-8000 Aarhus C, Denmark.</t>
  </si>
  <si>
    <t>ojn@chem.ku.dk; bilde@chem.au.dk</t>
  </si>
  <si>
    <t>Bilde, Merete/H-8469-2016; Nielsen, Ole John/B-9988-2011</t>
  </si>
  <si>
    <t>Bilde, Merete/0000-0002-2112-514X; Nielsen, Ole John/0000-0002-0088-3937</t>
  </si>
  <si>
    <t>0044-7447</t>
  </si>
  <si>
    <t>1654-7209</t>
  </si>
  <si>
    <t>Ambio</t>
  </si>
  <si>
    <t>10.1007/s13280-020-01425-6</t>
  </si>
  <si>
    <t>PE5PJ</t>
  </si>
  <si>
    <t>WOS:000591257200005</t>
  </si>
  <si>
    <t>Telesca, L; Peck, LS; Backeljau, T; Heinig, MF; Harper, EM</t>
  </si>
  <si>
    <t>Telesca, Luca; Peck, Lloyd S.; Backeljau, Thierry; Heinig, Mario F.; Harper, Elizabeth M.</t>
  </si>
  <si>
    <t>A century of coping with environmental and ecological changes via compensatory biomineralization in mussels</t>
  </si>
  <si>
    <t>biomineralization; climate change; compensatory mechanisms; foundation species; multiple stressors; museum collections; Mytilus; resistance</t>
  </si>
  <si>
    <t>MYTILUS-EDULIS; OCEAN ACIDIFICATION; NORTH-SEA; TROPHIC AMPLIFICATION; CARBONATE CHEMISTRY; INDUCED DEFENSES; ECOSYSTEM; CLIMATE; EUTROPHICATION; CALCIFICATION</t>
  </si>
  <si>
    <t>Accurate biological models are critical to predict biotic responses to climate change and human-caused disturbances. Current understanding of organismal responses to change stems from studies over relatively short timescales. However, most projections lack long-term observations incorporating the potential for transgenerational phenotypic plasticity and genetic adaption, the keys to resistance. Here, we describe unexpected temporal compensatory responses in biomineralization as a mechanism for resistance to altered environmental conditions and predation impacts in a calcifying foundation species. We evaluated exceptional archival specimens of the blue mussel Mytilus edulis collected regularly between 1904 and 2016 along 15 km of Belgian coastline, along with records of key environmental descriptors and predators. Contrary to global-scale predictions, shell production increased over the last century, highlighting a protective capacity of mussels for qualitative and quantitative trade-offs in biomineralization as compensatory responses to altered environments. We also demonstrated the role of changes in predator communities in stimulating unanticipated biological trends that run contrary to experimental predictive models under future climate scenarios. Analysis of archival records has a key role for anticipating emergent impacts of climate change.</t>
  </si>
  <si>
    <t>[Telesca, Luca; Harper, Elizabeth M.] Univ Cambridge, Dept Earth Sci, Cambridge CB2 3EQ, England; [Telesca, Luca; Peck, Lloyd S.] British Antarctic Survey, Cambridge, England; [Backeljau, Thierry] Royal Belgian Inst Nat Sci, Brussels, Belgium; [Backeljau, Thierry] Univ Antwerp, Evolutionary Ecol Grp, Antwerp, Belgium; [Heinig, Mario F.] Tech Univ Denmark, DTU Nanolab, Natl Ctr Nano Fabricat &amp; Characterizat, Lyngby, Denmark</t>
  </si>
  <si>
    <t>University of Cambridge; UK Research &amp; Innovation (UKRI); Natural Environment Research Council (NERC); NERC British Antarctic Survey; Royal Belgian Institute of Natural Sciences; University of Antwerp; Technical University of Denmark</t>
  </si>
  <si>
    <t>Telesca, L; Harper, EM (corresponding author), Univ Cambridge, Dept Earth Sci, Cambridge CB2 3EQ, England.</t>
  </si>
  <si>
    <t>lt401@cantab.ac.uk; emh21@cam.ac.uk</t>
  </si>
  <si>
    <t>Harper, Elizabeth M/B-3890-2008</t>
  </si>
  <si>
    <t>Telesca, Luca/0000-0002-9060-2261</t>
  </si>
  <si>
    <t>European Union [605051]; NERC [bas0100036] Funding Source: UKRI</t>
  </si>
  <si>
    <t>European Union(European Union (EU)); NERC(UK Research &amp; Innovation (UKRI)Natural Environment Research Council (NERC))</t>
  </si>
  <si>
    <t>European Union, Grant/Award Number: 605051</t>
  </si>
  <si>
    <t>10.1111/gcb.15417</t>
  </si>
  <si>
    <t>PO8GI</t>
  </si>
  <si>
    <t>WOS:000591075300001</t>
  </si>
  <si>
    <t>Li, Y; Wang, ZB; Zhang, XY; Dang, YR; Sun, LL; Zhang, WP; Fu, HH; Yang, GP; Wang, M; McMinn, A; Chen, XL; Chen, Y; Wang, S; Zhang, YZ; Qin, QL</t>
  </si>
  <si>
    <t>Li, Yi; Wang, Zhi-Bin; Zhang, Xi-Ying; Dang, Yan-Ru; Sun, Lin-Lin; Zhang, Wei-Peng; Fu, Hui-Hui; Yang, Gui-Peng; Wang, Min; McMinn, Andrew; Chen, Xiu-Lan; Chen, Yin; Wang, Shi; Zhang, Yu-Zhong; Qin, Qi-Long</t>
  </si>
  <si>
    <t>Experimental evidence for long-term coexistence of copiotrophic and oligotrophic bacteria in pelagic surface seawater</t>
  </si>
  <si>
    <t>EXTRACELLULAR ENZYMES; CARBON; COOPERATION; SUBSTRATE; OCEAN; STRATEGIES; EVOLUTION; CONFLICT; PROTEIN</t>
  </si>
  <si>
    <t>Most marine copiotrophic bacteria can produce extracellular enzymes to degrade biopolymers into bio-available smaller solutes, while oligotrophic bacteria usually cannot. Bacterial extracellular enzymes and enzymatic products can be a common resource that could be utilized by both copiotrophs and oligotrophs; when present, oligotrophs may outcompete the enzyme-producing copiotrophs. However, copiotrophs and oligotrophs consistently coexist in the ocean. How they maintain coexistence has still not been experimentally studied. In this study, the interaction and coexistence of a copiotroph and an oligotroph, isolated from the same surface seawater sample and utilizing the same proteinaceous substrate, were experimentally investigated. The copiotroph could secrete extracellular proteases to degrade and then utilize the proteinaceous substrate. The oligotroph was unable to utilize the proteinaceous substrate by itself, but could grow by using the hydrolysate amino acids. The copiotroph outcompeted the oligotroph by adsorbing the amino acids quickly and having a higher growth rate in the rich medium. The oligotroph survived by adapting to low concentration of nutrients. The copiotroph and oligotroph were able to maintain long-term (up to 142 days) coexistence in the laboratory. This study indicates that differences in the utilization of different concentrations of nutrients can drive the coexistence of marine copiotrophs and oligotrophs.</t>
  </si>
  <si>
    <t>[Li, Yi; Zhang, Wei-Peng; Fu, Hui-Hui; Wang, Min; McMinn, Andrew; Wang, Shi; Zhang, Yu-Zhong; Qin, Qi-Long] Ocean Univ China, Frontiers Sci Ctr Deep Ocean Multispheres &amp; Earth, Coll Marine Life Sci, Qingdao 266003, Peoples R China; [Li, Yi; Wang, Zhi-Bin; Zhang, Xi-Ying; Dang, Yan-Ru; Sun, Lin-Lin; Chen, Xiu-Lan; Zhang, Yu-Zhong; Qin, Qi-Long] Shandong Univ, Marine Biotechnol Res Ctr, State Key Lab Microbial Technol, Qingdao 266237, Peoples R China; [Zhang, Xi-Ying; Chen, Xiu-Lan; Zhang, Yu-Zhong] Pilot Natl Lab Marine Sci &amp; Technol Qingdao, Lab Marine Biol &amp; Biotechnol, Qingdao 266373, Peoples R China; [Yang, Gui-Peng] Ocean Univ China, Minist Educ, Frontiers Sci Ctr Deep Ocean Multispheres &amp; Earth, Key Lab Marine Chem Theory &amp; Technol, Qingdao, Peoples R China; [McMinn, Andrew] Univ Tasmania, Inst Marine &amp; Antarctic Studies, Hobart, Tas, Australia; [Chen, Yin] Univ Warwick, Sch Life Sci, Coventry CV4 7AL, W Midlands, England</t>
  </si>
  <si>
    <t>Ocean University of China; Shandong University; Laoshan Laboratory; Ocean University of China; University of Tasmania; University of Warwick</t>
  </si>
  <si>
    <t>Qin, QL (corresponding author), Ocean Univ China, Frontiers Sci Ctr Deep Ocean Multispheres &amp; Earth, Coll Marine Life Sci, Qingdao 266003, Peoples R China.;Qin, QL (corresponding author), Shandong Univ, Marine Biotechnol Res Ctr, State Key Lab Microbial Technol, Qingdao 266237, Peoples R China.</t>
  </si>
  <si>
    <t>qinqilong@sdu.edu.cn</t>
  </si>
  <si>
    <t>Wang, zijun/JNS-5435-2023; wang, zhibin/GLQ-7995-2022; yan, xiao/JVP-0766-2024; sun, jiamin/JPY-2155-2023; liu, peiyao/KFT-1810-2024; Wang, Min/AFR-9645-2022; Yang, Gui-Peng/GZG-6468-2022; zheng, xin/JNS-5523-2023; Zhang, Xi/HJH-1211-2023; Wang, Zhibin/AAD-5283-2021</t>
  </si>
  <si>
    <t>wang, zhibin/0000-0001-9805-0310; Wang, Min/0000-0002-2357-589X; Yang, Gui-Peng/0000-0002-0107-4568; Wang, Zhibin/0000-0001-9805-0310; Chen, Yin/0000-0002-0367-4276; Zhang, Yu-Zhong/0000-0002-2017-1005</t>
  </si>
  <si>
    <t>National Science Foundation of China; National Key R &amp; D Program of China [2016YFA0601303, 2018YFC1406700, 2018YFC1406504, 2018YFC1406702, 42076151, 31630012, U1706207, 31728001, 91851205, 31870101, 31770412]; Major Scientific and Technological Innovation Project (MSTIP) of Shandong Province [2019JZZY010817]; Natural Science Foundation of Shandong Province [ZR2018ZB0211]; Pilot National Laboratory for Marine Science and Technology (Qingdao), China [2017ASTCP-OS14]; Taishan Scholars Program of Shandong Province, China [tspd20181203]; Young Scholars Program of Shandong University [2016WLJH36]; AoShan Talents Cultivation Program</t>
  </si>
  <si>
    <t>National Science Foundation of China(National Natural Science Foundation of China (NSFC)); National Key R &amp; D Program of China; Major Scientific and Technological Innovation Project (MSTIP) of Shandong Province; Natural Science Foundation of Shandong Province(Natural Science Foundation of Shandong Province); Pilot National Laboratory for Marine Science and Technology (Qingdao), China; Taishan Scholars Program of Shandong Province, China; Young Scholars Program of Shandong University; AoShan Talents Cultivation Program</t>
  </si>
  <si>
    <t>This work was supported by the National Science Foundation of China and the National Key R &amp; D Program of China (2016YFA0601303, 2018YFC1406700, 2018YFC1406504, 2018YFC1406702; 42076151, 31630012, U1706207, 31728001, 91851205, 31870101, 31770412), Major Scientific and Technological Innovation Project (MSTIP) of Shandong Province (2019JZZY010817), Natural Science Foundation of Shandong Province (ZR2018ZB0211), the AoShan Talents Cultivation Program Supported by Pilot National Laboratory for Marine Science and Technology (Qingdao), China (2017ASTCP-OS14), the Taishan Scholars Program of Shandong Province, China (tspd20181203), the Young Scholars Program of Shandong University (2016WLJH36).</t>
  </si>
  <si>
    <t>10.1111/1462-2920.15321</t>
  </si>
  <si>
    <t>QL5NP</t>
  </si>
  <si>
    <t>WOS:000590847800001</t>
  </si>
  <si>
    <t>Hobday, AJ; Boschetti, F; Moeseneder, C; Stephenson, RL; Bessey, C; Bulman, CM; Contardo, S; Cvitanovic, C; Dambacher, JM; Dutra, LXC; Fulton, EA; Lenton, A; Little, LR; Mapstone, B; McDonald, KS; Plagányi, EE; Pethybridge, H; Rothlisberg, P; Strzelecki, J; Thompson, PA; van Putten, I</t>
  </si>
  <si>
    <t>Hobday, Alistair J.; Boschetti, Fabio; Moeseneder, Christian; Stephenson, Robert L.; Bessey, Cindy; Bulman, Catherine M.; Contardo, Stephanie; Cvitanovic, Christopher; Dambacher, Jeffery M.; Dutra, Leo X. C.; Fulton, Elizabeth A.; Lenton, Andrew; Little, L. Richard; Mapstone, Bruce; McDonald, Karlie S.; Plaganyi, Eva E.; Pethybridge, Heidi; Rothlisberg, Peter; Strzelecki, Joanna; Thompson, Peter A.; van Putten, Ingrid</t>
  </si>
  <si>
    <t>Quantitative Foresighting as a Means of Improving Anticipatory Scientific Capacity and Strategic Planning</t>
  </si>
  <si>
    <t>ECOLOGICAL INDICATORS; SCENARIO DEVELOPMENT; SCIENCE; FRAMEWORK; FUTURE; MANAGEMENT; DYNAMICS; IMPACTS; LESSONS</t>
  </si>
  <si>
    <t>In a rapidly changing world, scientists and research institutions need to plan for the infrastructure, skills, and policy engagement that will help society navigate social-ecological challenges. Foresighting draws on approaches used in strategic and long-range (&gt;10 years) planning and participatory futures studies. Here, we describe a new quantitative approach to develop and rank 14 foresight scenarios across a range of general and marine-relevant science domains. Indicators for each foresight were used to assess the time-specific probability of each scenario being realized. Assessments by scientists in 2 consecutive years showed foresight scoring consistency and revealed surprises. Despite high variation among scientists in scoring the year that each indicator would occur, there was overall consistency across the foresights between years. We show that foresighting can be quantitative and that individual performance and changes in likelihood can be evaluated. This approach can motivate and guide strategic planning and investment decisions by scientific institutions in response to different anticipated futures and build skills in futures thinking.</t>
  </si>
  <si>
    <t>[Hobday, Alistair J.; Bulman, Catherine M.; Cvitanovic, Christopher; Fulton, Elizabeth A.; Lenton, Andrew; Little, L. Richard; Mapstone, Bruce; McDonald, Karlie S.; Pethybridge, Heidi; Thompson, Peter A.; van Putten, Ingrid] CSIRO Oceans &amp; Atmosphere, Hobart, Tas, Australia; [Boschetti, Fabio; Bessey, Cindy; Contardo, Stephanie; Strzelecki, Joanna] CSIRO Oceans &amp; Atmosphere, Perth, WA, Australia; [Moeseneder, Christian; Dutra, Leo X. C.; Plaganyi, Eva E.; Rothlisberg, Peter] CSIRO Oceans &amp; Atmosphere, Brisbane, Qld, Australia; [Moeseneder, Christian] Australian Museum, Sydney, NSW, Australia; [Stephenson, Robert L.] Fisheries &amp; Oceans Canada, Canadian Fisheries Res Network, St Andrews, NB E5B 0E4, Canada; [Stephenson, Robert L.] Univ New Brunswick, St Andrews Biol Stn, St Andrews, NB E5B 0E4, Canada; [Cvitanovic, Christopher; Fulton, Elizabeth A.] Univ Tasmania, Ctr Marine Socioecol, Private Bag 49, Hobart, Tas 7001, Australia; [Cvitanovic, Christopher] Australian Natl Univ, Australian Natl Ctr Publ Awareness Sci, Canberra, ACT 0200, Australia; [Dambacher, Jeffery M.] CSIRO Data61, Hobart, Tas, Australia; [Dutra, Leo X. C.] Univ South Pacific, Sch Marine Studies, Laucala Campus, Suva, Fiji; [McDonald, Karlie S.] Univ Tasmania, Inst Marine &amp; Antarctic Studies, 15-21 Nubeena Crescent, Taroona, Tas 7053, Australia</t>
  </si>
  <si>
    <t>Commonwealth Scientific &amp; Industrial Research Organisation (CSIRO); Commonwealth Scientific &amp; Industrial Research Organisation (CSIRO); Commonwealth Scientific &amp; Industrial Research Organisation (CSIRO); Australian Museum; Fisheries &amp; Oceans Canada; University of New Brunswick; Fisheries &amp; Oceans Canada; University of Tasmania; Australian National University; Commonwealth Scientific &amp; Industrial Research Organisation (CSIRO); University of the South Pacific; University of Tasmania</t>
  </si>
  <si>
    <t>Lenton, Andrew/D-2077-2012; Thompson, Peter A/A-2361-2012; Hobday, Alistair/A-1460-2012; Pethybridge, Heidi/AEO-8594-2022; Plaganyi, Eva E/C-5130-2011; Moeseneder, Christian H/O-6844-2014; Fulton, Beth/A-2871-2008; Bessey, Cindy/AAS-7158-2021; van putten, ingrid/AAV-1301-2021</t>
  </si>
  <si>
    <t>Pethybridge, Heidi/0000-0002-7291-5766; Plaganyi, Eva E/0000-0002-4740-4200; Moeseneder, Christian H/0000-0002-6718-1913; Bessey, Cindy/0000-0002-4081-0214; van putten, ingrid/0000-0001-8397-9768; Stephenson, Robert/0000-0002-1207-1063; Contardo, Stephanie/0000-0003-2994-8789; McDonald, Karlie S./0000-0002-9455-9897; Cvitanovic, Christopher/0000-0002-2565-3396</t>
  </si>
  <si>
    <t>NOV 20</t>
  </si>
  <si>
    <t>10.1016/j.oneear.2020.10.015</t>
  </si>
  <si>
    <t>RW3NJ</t>
  </si>
  <si>
    <t>WOS:000646432300019</t>
  </si>
  <si>
    <t>Morcillo, G; Faria, SH; Kipfstuhl, S</t>
  </si>
  <si>
    <t>Morcillo, Gonzalo; Henrique Faria, Sergio; Kipfstuhl, Sepp</t>
  </si>
  <si>
    <t>Unravelling Antarctica's past through the stratigraphy of a deep ice core: an image-analysis study of the EPICA-DML line-scan images</t>
  </si>
  <si>
    <t>Antarctica; Image analysis; Ice cores; EDML</t>
  </si>
  <si>
    <t>DRONNING MAUD LAND; DOME FUJI; AIR BUBBLES; POLAR ICE; MICROSTRUCTURE; GREENLAND; CYCLES; SHEET; SIZE</t>
  </si>
  <si>
    <t>Polar ice research has undergone great progress in the last six decades. One of its recent technological achievements has been the development of new techniques for digital image recording and analysis of ice-core stratigraphy and microstructure. In this work we investigate one such image records, namely the line-scan image records of the EPICA-DML (European Project for Ice Coring in Antarctica, Dronning Maud Land) deep ice core. These images provide a multiscale depiction of the stratigraphy and structure of the Antarctic Ice Sheet. While previous studies have focused on the ice-core optical stratigraphy on the microand mesoscale (&lt;1 mm and 10(-3)-1 m, respectively), in this work we present several methods to obtain fast and reliable information on the ice-core stratigraphy on the macroscale (1-10(3) m), including the full ice-sheet thickness. The paleoclimatic relevance of the ice-core optical stratigraphy on the macroscale is demonstrated through the comparison of the line-scan grey-value record of the EPICA-DML deep ice core with its mineral dust record, which is used as a proxy for microinclusions and for several other types of climate proxies. Additionally, we introduce a novel method to estimate the macroscopic air-bubble concentration (including number and size of bubbles) in ice cores, which is simpler, faster, and almost as reliable as painstaking microscopic studies. After a brief excursion on the relation between macroscopic and mesoscopic measures of optical stratigraphy, we close this work by making the case for a multi-measure analysis of ice-core line scan images, which enables us to obtain a broad perspective of the optical stratigraphy of the whole ice core, with relevance for paleoclimate and ice-sheet-flow studies.</t>
  </si>
  <si>
    <t>[Morcillo, Gonzalo; Henrique Faria, Sergio] Basque Ctr Climate Change BC3, Leioa 48940, Spain; [Henrique Faria, Sergio] Basque Fdn Sci, Ikerbasque, Bilbao 48011, Spain; [Kipfstuhl, Sepp] Helmholtz Ctr Polar &amp; Marine Res AWI, Alfred Wegener Inst, D-27568 Bremerhaven, Germany; [Kipfstuhl, Sepp] Univ Copenhagen, Phys Ice Climate &amp; Earth Niels Bohr Inst, Copenhagen, Denmark</t>
  </si>
  <si>
    <t>Basque Centre for Climate Change (BC3); Basque Foundation for Science; Helmholtz Association; Alfred Wegener Institute, Helmholtz Centre for Polar &amp; Marine Research; University of Copenhagen</t>
  </si>
  <si>
    <t>Faria, SH (corresponding author), Basque Ctr Climate Change BC3, Leioa 48940, Spain.</t>
  </si>
  <si>
    <t>sh.faria@bc3research.org</t>
  </si>
  <si>
    <t>Faria, Sergio Henrique/K-9454-2013</t>
  </si>
  <si>
    <t>Faria, Sergio Henrique/0000-0002-8825-7518</t>
  </si>
  <si>
    <t>EU; Spanish Government through the Maria de Maeztu excellence accreditation 2018-2022 [MDM-2017-0714]; Basque Government through the BERC 2018-2021 programme; Spanish Ministry of Science, Innovation, and Universities (MCIU) through the project iMechPro [RTI2018-100696 B I00]; Spanish Ministry of Economy, Industry and Competitiveness (MINECO) [RYC-2012-12167]</t>
  </si>
  <si>
    <t>EU(European Union (EU)); Spanish Government through the Maria de Maeztu excellence accreditation 2018-2022; Basque Government through the BERC 2018-2021 programme(Basque Government); Spanish Ministry of Science, Innovation, and Universities (MCIU) through the project iMechPro; Spanish Ministry of Economy, Industry and Competitiveness (MINECO)(Spanish Government)</t>
  </si>
  <si>
    <t>The authors are grateful to Anders Svensson and an anonymous reviewer for valuable comments and suggestions to the manuscript, as well as to Thijs van Kolfschoten and Alejandro Cearreta for the editorial work. SHF thanks also the whole glaciology section of AWI for hosting him at the EPICA-DML drilling site (Kohnen Station) to participate in the EDML 2003-2004 and 2005-2006 drilling campaigns. 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UK. The main logistic support was provided by IPEV and PNRA (at Dome C) and AWI (at Dronning Maud Land). This is EPICA publication no. 314. This research is supported by the Spanish Government through the Maria de Maeztu excellence accreditation 2018-2022 (Ref. MDM-2017-0714), and by the Basque Government through the BERC 2018-2021 programme. SHF acknowledges support from the Spanish Ministry of Science, Innovation, and Universities (MCIU) through the project iMechPro (RTI2018-100696 B I00), and from the Ramon y Cajal grant RYC-2012-12167 of the Spanish Ministry of Economy, Industry and Competitiveness (MINECO).</t>
  </si>
  <si>
    <t>566-567</t>
  </si>
  <si>
    <t>10.1016/j.quaint.2020.07.011</t>
  </si>
  <si>
    <t>PH3JX</t>
  </si>
  <si>
    <t>WOS:000600314600002</t>
  </si>
  <si>
    <t>Fernandes, M; Oliva, M; Vieira, G</t>
  </si>
  <si>
    <t>Fernandes, M.; Oliva, M.; Vieira, G.</t>
  </si>
  <si>
    <t>Paraglacial slope failures in the Aran valley (Central Pyrenees)</t>
  </si>
  <si>
    <t>Aran valley; Central pyrenees; Glaciation; Paraglacial dynamics; Slope failures</t>
  </si>
  <si>
    <t>LATE PLEISTOCENE DEGLACIATION; GLACIAL ACTIVITY; LAST DEGLACIATION; SIERRA-NEVADA; ICE; MOUNTAINS; PERMAFROST; FEATURES; SACKUNG; SPAIN</t>
  </si>
  <si>
    <t>Slope failures are widespread phenomena in mid-latitude mountain environments that were glaciated during the Last Glacial Cycle. This is the case of the Aran valley, in the Upper Garonne catchment, Central Pyrenees, that included glaciers several hundred meters thick. Following postglacial warming and ice thinning, the recently deglaciated slopes were subject to intense stress readjustments the so-called paraglacial dynamics. We have identified up to 135 major slope failures in the Aran valley, with only 10 units occurring outside the glaciated domain of the maximum ice extent of the Last Glacial. The presence of polished bedrock surfaces, till and moraine ridges next to some of these features evidence a close connection between glacial and slope processes. We have detected different types of slope failures affecting both bedrock (12 large catastrophic rock slope failures, 16 rock-slope deformation, 34 rockfalls, and 49 rockslides) and unconsolidated glacial sediments (14 slope readjustments on drift-mantled slopes). The average altitude of rock slope failures oscillates between 1551 and 1991 m, with a mean length ranging from 147 to 905 m and a width between 247 and 513 m. The affected surface is also highly variable, oscillating between 0.02 and 126.2 ha. Slope failures occur in different lithological settings, but they are most frequent in slate, lutite and limestone bedrocks. We conclude that most of the failures show a paraglacial origin, though other factors (i.e. lithology and topography) promoted slope instability.</t>
  </si>
  <si>
    <t>[Fernandes, M.; Vieira, G.] Univ Lisbon, Ctr Geog Studies IGOT, Rua Branca Edmee Marques, P-1600276 Lisbon, Portugal; [Oliva, M.] Univ Barcelona, Dept Geog, Barcelona, Spain</t>
  </si>
  <si>
    <t>Universidade de Lisboa; University of Barcelona</t>
  </si>
  <si>
    <t>Fernandes, M (corresponding author), Univ Lisbon, Ctr Geog Studies IGOT, Rua Branca Edmee Marques, P-1600276 Lisbon, Portugal.</t>
  </si>
  <si>
    <t>marcelo.fernandes@campus.ul.pt</t>
  </si>
  <si>
    <t>Vieira, Goncalo/G-5958-2010; Oliva, Marc/K-5423-2014</t>
  </si>
  <si>
    <t>Vieira, Goncalo/0000-0001-7611-3464; Oliva, Marc/0000-0001-6521-6388; Fernandes, Marcelo/0000-0001-6840-4317</t>
  </si>
  <si>
    <t>Fundacao para a Ciencia e Tecnologia of Portugal [SFRH/139569/2018]; Centro de Estudos Geograficos - University of Lisbon [FCT - UIDB/00295/2020]; Ramon y Cajal Program [RYC-2015-17597]; Research Group ANTALP (Antarctic, Arctic, Alpine Environments) - Government of Catalonia through the AGAUR agency [2017-SGR-1102]; Ministry of Economy of Spain [CTM2017-87976-P]</t>
  </si>
  <si>
    <t>Fundacao para a Ciencia e Tecnologia of Portugal(Fundacao para a Ciencia e a Tecnologia (FCT)); Centro de Estudos Geograficos - University of Lisbon; Ramon y Cajal Program(Spanish Government); Research Group ANTALP (Antarctic, Arctic, Alpine Environments) - Government of Catalonia through the AGAUR agency; Ministry of Economy of Spain(Spanish Government)</t>
  </si>
  <si>
    <t>Marcelo Fernandes is funded by a PhD fellowship (SFRH/139569/2018) from the Fundacao para a Ciencia e Tecnologia of Portugal. Marcelo Fernandes and Goncalo Vieira are funded also by the Centro de Estudos Geograficos - University of Lisbon (FCT - UIDB/00295/2020). Marc Oliva is supported by the Ramon y Cajal Program (RYC-2015-17597) and the Research Group ANTALP (Antarctic, Arctic, Alpine Environments; 2017-SGR-1102) funded by the Government of Catalonia through the AGAUR agency. This work complements the PALEOGREEN (CTM2017-87976-P) project of the Ministry of Economy of Spain.</t>
  </si>
  <si>
    <t>10.1016/j.quaint.2020.07.045</t>
  </si>
  <si>
    <t>WOS:000600314600004</t>
  </si>
  <si>
    <t>Janout, MA; Hölemann, J; Laukert, G; Smirnov, A; Krumpen, T; Bauch, D; Timokhov, L</t>
  </si>
  <si>
    <t>Janout, Markus A.; Hoelemann, Jens; Laukert, Georgi; Smirnov, Alexander; Krumpen, Thomas; Bauch, Dorothea; Timokhov, Leonid</t>
  </si>
  <si>
    <t>On the Variability of Stratification in the Freshwater-Influenced Laptev Sea Region (vol 7, 543489, 2020)</t>
  </si>
  <si>
    <t>Arctic Ocean; Siberian shelves; Laptev Sea; freshwater; stratification; sea ice</t>
  </si>
  <si>
    <t>[Janout, Markus A.; Hoelemann, Jens; Krumpen, Thomas] Helmholtz Ctr Polar &amp; Marine Res, Alfred Wegener Inst, Bremerhaven, Germany; [Laukert, Georgi; Bauch, Dorothea] Geomar Helmholtz Ctr Ocean Res, Kiel, Germany; [Smirnov, Alexander; Timokhov, Leonid] Arctic &amp; Antarctic Res Inst, St Petersburg, Russia; [Bauch, Dorothea] Univ Kiel, Leibniz Lab, Kiel, Germany</t>
  </si>
  <si>
    <t>Helmholtz Association; Alfred Wegener Institute, Helmholtz Centre for Polar &amp; Marine Research; Helmholtz Association; GEOMAR Helmholtz Center for Ocean Research Kiel; Arctic &amp; Antarctic Research Institute; University of Kiel</t>
  </si>
  <si>
    <t>Janout, MA (corresponding author), Helmholtz Ctr Polar &amp; Marine Res, Alfred Wegener Inst, Bremerhaven, Germany.</t>
  </si>
  <si>
    <t>markus.janout@awi.de</t>
  </si>
  <si>
    <t>Hoelemann, Jens/N-3608-2016; Krumpen, Thomas/D-5163-2011</t>
  </si>
  <si>
    <t>Krumpen, Thomas/0000-0001-6234-8756</t>
  </si>
  <si>
    <t>10.3389/fmars.2020.622416</t>
  </si>
  <si>
    <t>PA0OU</t>
  </si>
  <si>
    <t>WOS:000595317100001</t>
  </si>
  <si>
    <t>Villanueva, R; Laptikhovsky, VV; Piertney, SB; Fernández-Alvarez, FA; Collins, MA; Ablett, JD; Escánez, A</t>
  </si>
  <si>
    <t>Villanueva, Roger; Laptikhovsky, Vladimir V.; Piertney, Stuart B.; Fernandez-Alvarez, Fernando Angel; Collins, Martin A.; Ablett, Jonathan D.; Escanez, Alejandro</t>
  </si>
  <si>
    <t>Extended Pelagic Life in a Bathybenthic Octopus</t>
  </si>
  <si>
    <t>Mollusca; Cephalopoda; Octopoda; planktonic larvae; mesopelagic zone</t>
  </si>
  <si>
    <t>PYROSOMA-ATLANTICUM TUNICATA; THALIACEA; CEPHALOPODA; PARALARVA; BEHAVIOR; RECORDS</t>
  </si>
  <si>
    <t>Planktonic stages of benthic octopuses can reach relatively large sizes in some species, usually in oceanic, epipelagic waters while living as part of the macroplankton. These young octopuses appear to delay settlement on the seabed for an undetermined period of time that is probably longer than for those octopus paralarvae living in coastal, neritic waters. The reason for this delay is unknown and existing information about their biology is very scarce. Here we report on the presence of juvenile and subadult forms of the bathybenthic octopus Pteroctopus tetracirrhus in oceanic waters of the South and North Atlantic and its association with the pyrosomid species Pyrosoma atlanticum, apparently used by the octopus as a refuge or shelter. The relatively large size of the P. tetracirrhus living in oceanic waters as the individuals reported here, together with the morphological characteristics of this bathybenthic species including its gelatinous body, minute suckers embedded in swollen skin and the deep interbrachial web, indicates that P. tetracirrhus may be considered a model of a transitional octopus species that is colonizing the pelagic environment by avoiding descending to the bathyal benthos. This process seems to occur in the same way as in the supposed origin of the ctenoglossan holopelagic octopods of the families Amphitretidae, Bolitaenidae, and Vitreledonellidae, which have arisen via neoteny from the planktonic paralarval stages of benthic octopuses.</t>
  </si>
  <si>
    <t>[Villanueva, Roger; Fernandez-Alvarez, Fernando Angel] CSIC, Inst Ciencies Mar, Barcelona, Spain; [Laptikhovsky, Vladimir V.] Cefas, Lowestoft, Suffolk, England; [Piertney, Stuart B.] Univ Aberdeen, Sch Biol Sci, Aberdeen, Scotland; [Fernandez-Alvarez, Fernando Angel] Natl Univ Ireland, Ryan Inst, Galway, Ireland; [Fernandez-Alvarez, Fernando Angel] Natl Univ Ireland, Sch Nat Sci, Galway, Ireland; [Collins, Martin A.] NERC, British Antarctic Survey, Cambridge, England; [Ablett, Jonathan D.] Nat Hist Museum, Dept Life Sci, London, England; [Escanez, Alejandro] Univ La Laguna, Fac Biol, Dept Biol Anim Edafol &amp; Geol, Tenerife, Spain</t>
  </si>
  <si>
    <t>Consejo Superior de Investigaciones Cientificas (CSIC); CSIC - Centro Mediterraneo de Investigaciones Marinas y Ambientales (CMIMA); CSIC - Instituto de Ciencias del Mar (ICM); Centre for Environment Fisheries &amp; Aquaculture Science; University of Aberdeen; Ollscoil na Gaillimhe-University of Galway; Ollscoil na Gaillimhe-University of Galway; UK Research &amp; Innovation (UKRI); Natural Environment Research Council (NERC); NERC British Antarctic Survey; Natural History Museum London; Universidad de la Laguna</t>
  </si>
  <si>
    <t>Villanueva, R (corresponding author), CSIC, Inst Ciencies Mar, Barcelona, Spain.</t>
  </si>
  <si>
    <t>roger@icm.csic.es</t>
  </si>
  <si>
    <t>Piertney, Stuart B/I-3144-2012; , Martin/ABE-6728-2020; Villanueva, Roger/D-6911-2011; Escanez, Alejandro/AAG-8892-2019; Fernández-Álvarez, Fernando Ángel/B-6196-2014</t>
  </si>
  <si>
    <t>, Martin/0000-0001-7132-8650; Villanueva, Roger/0000-0001-8122-3449; Escanez, Alejandro/0000-0001-6956-2974; Fernández-Álvarez, Fernando Ángel/0000-0002-8679-7377; Ablett, Jonathan/0000-0002-7277-1934</t>
  </si>
  <si>
    <t>Spanish Ministry of Economy and Competitiveness (MINECO/FEDER/EU) [CTM2012-39587-C04-03]; Spanish Ministry of Science, Innovation and Universities (OCTOSET project, MCIU/AEI/FEDER, EU) [RTI2018-097908-B-I00]; European Commission (SUMMER project) [GA-817806]; United Kingdom Government through the Blue Belt Programme; Irish Research Council-Government of Ireland Postdoctoral Fellowship Award [GOIPD/2019/460]; NERC [bas0100035] Funding Source: UKRI</t>
  </si>
  <si>
    <t>Spanish Ministry of Economy and Competitiveness (MINECO/FEDER/EU); Spanish Ministry of Science, Innovation and Universities (OCTOSET project, MCIU/AEI/FEDER, EU); European Commission (SUMMER project); United Kingdom Government through the Blue Belt Programme; Irish Research Council-Government of Ireland Postdoctoral Fellowship Award; NERC(UK Research &amp; Innovation (UKRI)Natural Environment Research Council (NERC))</t>
  </si>
  <si>
    <t>Project funding and support was provided by the Spanish Ministry of Economy and Competitiveness (CTM2012-39587-C04-03, MINECO/FEDER/EU), Spanish Ministry of Science, Innovation and Universities (OCTOSET project, RTI2018-097908-B-I00, MCIU/AEI/FEDER, EU), the European Commission (SUMMER project, GA-817806) and the United Kingdom Government through the Blue Belt Programme (https://www.gov.uk/government/publications/the-blue-beltprogramme). FF-A was supported by an Irish Research Council-Government of Ireland Postdoctoral Fellowship Award (Ref. GOIPD/2019/460).</t>
  </si>
  <si>
    <t>10.3389/fmars.2020.561125</t>
  </si>
  <si>
    <t>PA0NZ</t>
  </si>
  <si>
    <t>WOS:000595315000001</t>
  </si>
  <si>
    <t>Fraser, AD; Massom, RA; Ohshima, KI; Willmes, S; Kappes, PJ; Cartwright, J; Porter-Smith, R</t>
  </si>
  <si>
    <t>Fraser, Alexander D.; Massom, Robert A.; Ohshima, Kay, I; Willmes, Sascha; Kappes, Peter J.; Cartwright, Jessica; Porter-Smith, Richard</t>
  </si>
  <si>
    <t>High-resolution mapping of circum-Antarctic landfast sea ice distribution, 2000-2018</t>
  </si>
  <si>
    <t>LUTZOW-HOLM BAY; EAST ANTARCTICA; VARIABILITY; EDGE</t>
  </si>
  <si>
    <t>Landfast sea ice (fast ice) is an important component of the Antarctic nearshore marine environment, where it strongly modulates ice sheet-ocean-atmosphere interactions and biological and biogeochemical processes, forms a key habitat, and affects logistical operations. Given the wide-ranging importance of Antarctic fast ice and its sensitivity to climate change, improved knowledge of its change and variability in its distribution is a high priority. Antarctic fast-ice mapping to date has been limited to regional studies and a time series covering East Antarctica from 2000 to 2008. Here, we present the first continuous, high-spatio-temporal resolution (1 km, 15 d) time series of circum-Antarctic fast-ice extent; this covers the period March 2000 to March 2018, with future updates planned. This dataset was derived by compositing cloud-free satellite visible and thermal infrared imagery using an existing methodology, modified to enhance automation and reduce subjectivity in defining the fast-ice edge. This new dataset (Fraser et al., 2020) has wide applicability and is available at https://doi.org/10.26179/5d267d1ceb60c. The new algorithm presented here will enable continuous large-scale fast-ice mapping and monitoring into the future.</t>
  </si>
  <si>
    <t>[Fraser, Alexander D.] Univ Tasmania, Inst Marine &amp; Antarctic Studies, Hobart, Tas, Australia; [Fraser, Alexander D.; Massom, Robert A.; Porter-Smith, Richard] Antarctic Climate &amp; Ecosyst Cooperat Res Ctr, Hobart, Tas, Australia; [Massom, Robert A.] Australian Antarctic Div, Kingston, Tas, Australia; [Ohshima, Kay, I] Hokkaido Univ, Inst Low Temp Sci, Sapporo, Hokkaido, Japan; [Willmes, Sascha] Univ Trier, Dept Environm Meteorol, Trier, Germany; [Kappes, Peter J.] Oregon State Univ, Dept Fisheries &amp; Wildlife, Oregon Cooperat Fish &amp; Wildlife Res Unit, Corvallis, OR USA; [Cartwright, Jessica] Natl Oceanog Ctr, Southampton, Hants, England; [Cartwright, Jessica] Univ Southampton, Natl Oceanog Ctr Southampton, Ocean &amp; Earth Sci, Southampton, Hants, England</t>
  </si>
  <si>
    <t>University of Tasmania; Antarctic Climate &amp; Ecosystems Cooperative Research Centre (ACE CRC); Australian Antarctic Division; Hokkaido University; Universitat Trier; Oregon State University; NERC National Oceanography Centre; University of Southampton; NERC National Oceanography Centre</t>
  </si>
  <si>
    <t>Fraser, AD (corresponding author), Univ Tasmania, Inst Marine &amp; Antarctic Studies, Hobart, Tas, Australia.;Fraser, AD (corresponding author), Antarctic Climate &amp; Ecosyst Cooperat Res Ctr, Hobart, Tas, Australia.</t>
  </si>
  <si>
    <t>alexander.fraser@utas.edu.au</t>
  </si>
  <si>
    <t>Fraser, Alexander/AFO-7186-2022; Ohshima, Kay I/D-6909-2012; Kappes, Peter/AGT-9289-2022; Willmes, Sascha/J-5796-2012</t>
  </si>
  <si>
    <t>Fraser, Alexander/0000-0003-1924-0015; Cartwright, Jessica/0000-0002-7569-9974; Massom, Robert/0000-0003-1533-5084</t>
  </si>
  <si>
    <t>Australian Government (grant Antarctic Climate AMP; Ecosystems Cooperative Research Centre); Japan Society for the Promotion of Science [25.03748, 24.810030, 25.241001, 26.740007, 17H01157]; Natural Environment Research Council [NE/L002531/1]; Australian Research Council [SR140300001]; Grants-in-Aid for Scientific Research [20H05707] Funding Source: KAKEN</t>
  </si>
  <si>
    <t>Australian Government (grant Antarctic Climate AMP; Ecosystems Cooperative Research Centre)(Australian Government); Japan Society for the Promotion of Science(Ministry of Education, Culture, Sports, Science and Technology, Japan (MEXT)Japan Society for the Promotion of Science); Natural Environment Research Council(UK Research &amp; Innovation (UKRI)Natural Environment Research Council (NERC)); Australian Research Council(Australian Research Council); Grants-in-Aid for Scientific Research(Ministry of Education, Culture, Sports, Science and Technology, Japan (MEXT)Japan Society for the Promotion of ScienceGrants-in-Aid for Scientific Research (KAKENHI))</t>
  </si>
  <si>
    <t>This research has been supported by the Australian Government (grant Antarctic Climate &amp; Ecosystems Cooperative Research Centre), the Japan Society for the Promotion of Science (grant nos. 25.03748, 24.810030, 25.241001, 26.740007, and 17H01157), the Natural Environment Research Council (grant no. NE/L002531/1), and the Australian Research Council (grant no. SR140300001).</t>
  </si>
  <si>
    <t>10.5194/essd-12-2987-2020</t>
  </si>
  <si>
    <t>OW5SY</t>
  </si>
  <si>
    <t>WOS:000592947300002</t>
  </si>
  <si>
    <t>Haase, S; Fricke, J; Kruschke, T; Wahl, S; Matthes, K</t>
  </si>
  <si>
    <t>Haase, Sabine; Fricke, Jaika; Kruschke, Tim; Wahl, Sebastian; Matthes, Katja</t>
  </si>
  <si>
    <t>Sensitivity of the Southern Hemisphere circumpolar jet response to Antarctic ozone depletion: prescribed versus interactive chemistry</t>
  </si>
  <si>
    <t>STRATOSPHERIC TEMPERATURE TRENDS; ANNULAR MODE; RECOVERY; OCEAN; PARAMETERIZATION; VARIABILITY; CIRCULATION; IMPACT</t>
  </si>
  <si>
    <t>Southern Hemisphere lower-stratospheric ozone depletion has been shown to lead to a poleward shift of the tropospheric jet stream during austral summer, influencing surface atmosphere and ocean conditions, such as surface temperatures and sea ice extent. The characteristics of stratospheric and tropospheric responses to ozone depletion, however, differ among climate models depending on the representation of ozone in the models. The most appropriate way to represent ozone in a model is to calculate it interactively. However, due to computational costs, in particular for long-term coupled ocean-atmosphere model integrations, the more common way is to prescribe ozone from observations or calculated model fields. Here, we investigate the difference between an interactive and a specified chemistry version of the same atmospheric model in a fully coupled setup using a nine-member chemistry-climate model ensemble. In the specified chemistry version of the model the ozone fields are prescribed using the output from the interactive chemistry model version. We use daily resolved ozone fields in the specified chemistry simulations to achieve a very good comparability between the ozone forcing with and without interactive chemistry. We find that although the shortwave heating rate trend in response to ozone depletion is the same in the different chemistry settings, the interactive chemistry ensemble shows a stronger trend in polar cap stratospheric temperatures (by about 0.7K decade(-1)) and circumpolar stratospheric zonal mean zonal winds (by about 1.6ms(-1) decade(-1) as compared to the specified chemistry ensemble. This difference between interactive and specified chemistry in the stratospheric response to ozone depletion also affects the tropospheric response. However, an im- pact on the poleward shift of the tropospheric jet stream is not detected. We attribute part of the differences found in the experiments to the missing representation of feedbacks between chemistry and dynamics in the specified chemistry ensemble, which affect the dynamical heating rates, and part of it to the lack of spatial asymmetries in the prescribed ozone fields. This effect is investigated using a sensitivity ensemble that was forced by a three-dimensional instead of a twodimensional ozone field. This study emphasizes the value of interactive chemistry for the representation of the Southern Hemisphere stratospheric-jet response to ozone depletion and infers that for periods with strong ozone variability (trends) the details of the ozone forcing could also have an influence on the representation of southern-hemispheric climate variability.</t>
  </si>
  <si>
    <t>[Haase, Sabine; Fricke, Jaika; Wahl, Sebastian; Matthes, Katja] GEOMAR Helmholtz Ctr Ocean Res Kiel, Kiel, Germany; [Kruschke, Tim] Swedish Meteorol &amp; Hydrol Inst, Rossby Ctr, Norrkoping, Sweden; [Matthes, Katja] Christian Albrechts Univ Kiel, Kiel, Germany</t>
  </si>
  <si>
    <t>Helmholtz Association; GEOMAR Helmholtz Center for Ocean Research Kiel; Swedish Meteorological &amp; Hydrological Institute; University of Kiel</t>
  </si>
  <si>
    <t>Haase, S (corresponding author), GEOMAR Helmholtz Ctr Ocean Res Kiel, Kiel, Germany.</t>
  </si>
  <si>
    <t>shaase@geomar.de</t>
  </si>
  <si>
    <t>Wahl, Sebastian/AAF-3644-2022; Kruschke, Tim/F-2052-2014; Wahl, Sebastian/AFI-1518-2022; Matthes, Katja/F-7361-2014</t>
  </si>
  <si>
    <t>Kruschke, Tim/0000-0002-1205-3754; Bischof, Sabine/0000-0002-7035-5224; Matthes, Katja/0000-0003-1801-3072</t>
  </si>
  <si>
    <t>10.5194/acp-20-14043-2020</t>
  </si>
  <si>
    <t>OT9ZY</t>
  </si>
  <si>
    <t>WOS:000591198000001</t>
  </si>
  <si>
    <t>Noormets, R; Flink, A; Kirchner, N</t>
  </si>
  <si>
    <t>Noormets, Riko; Flink, Anne; Kirchner, Nina</t>
  </si>
  <si>
    <t>Glacial dynamics and deglaciation history of Hambergbukta reconstructed from submarine landforms and sediment cores, SE Spitsbergen, Svalbard</t>
  </si>
  <si>
    <t>BOREAS</t>
  </si>
  <si>
    <t>LARGE TIDEWATER GLACIER; SURGE-TYPE GLACIERS; ICE-SHEET; HOLOCENE PALEOCEANOGRAPHY; HYDROLOGIC BASIS; EAST GREENLAND; RAPID MOTION; RETREAT; MARINE; EVOLUTION</t>
  </si>
  <si>
    <t>The submarine landforms and shallow sediment record are presented from Hambergbukta, southeastern Spitsbergen using swath-bathymetric, subbottom acoustic, and sediment core data. The mapped landforms include large terminal and end-moraines with associated debrisflow aprons on their distal flanks, drumlinized till surface, glacial lineations, medial and retreat moraines, crevasse squeeze ridge networks, eskers, as well as iceberg-produced terraces and plough-marks. Analysis of the landforms and landform assemblages in combination with the sediment core data and aerial imagery studies reveal a complex and dynamic glacial history of Hambergbukta. We present a detailed history of Hambergbreen glacier indicating two previously unknown surges as well as new details on the nature of the subsequent ice-margin retreat. The results from two gravity cores combined with the shallow acoustic stratigraphy and high-resolution bathymetry suggest that the c. AD 1900 surge was less extensive than previously thought and the retreat was most likely rapid after the c. AD 1900 and 1957 surges of the Hambergbreen. Mixed benthic foraminifera collected from the outer fjord basin date to 2456 cal. a BP, suggesting older sediments were re-worked by the c. AD 1900 surge. This highlights the importance of exercising caution when using foraminifers for dating surge events in fjord basins enclosed by prominent end-moraines.</t>
  </si>
  <si>
    <t>[Noormets, Riko] Univ Ctr Svalbard, Dept Arctic Geol, POB 156, N-9171 Longyearbyen, Norway; [Flink, Anne] British Antarctic Survey, Madingley Rd, Cambridge CB3 0ET, England; [Kirchner, Nina] Stockholm Univ, Dept Phys Geog, SE-10691 Stockholm, Sweden; [Kirchner, Nina] Stockholm Univ, Bolin Ctr Climate Res, SE-10691 Stockholm, Sweden</t>
  </si>
  <si>
    <t>University Centre Svalbard (UNIS); UK Research &amp; Innovation (UKRI); Natural Environment Research Council (NERC); NERC British Antarctic Survey; Stockholm University; Stockholm University</t>
  </si>
  <si>
    <t>Noormets, R (corresponding author), Univ Ctr Svalbard, Dept Arctic Geol, POB 156, N-9171 Longyearbyen, Norway.</t>
  </si>
  <si>
    <t>Riko.Noormets@unis.no</t>
  </si>
  <si>
    <t>Kirchner, Nina/0000-0002-6371-5527; Noormets, Riko/0000-0002-2832-386X</t>
  </si>
  <si>
    <t>UNIS; Research Council of Norway; Svalbard Science Forum's Arctic Field Grant Program [246078, 257116]; NERC [bas010011] Funding Source: UKRI</t>
  </si>
  <si>
    <t>UNIS; Research Council of Norway(Research Council of Norway); Svalbard Science Forum's Arctic Field Grant Program; NERC(UK Research &amp; Innovation (UKRI)Natural Environment Research Council (NERC))</t>
  </si>
  <si>
    <t>We would like to thank the Masters and crews of the R/V 'Viking Explorer' and R/V 'Helmer Hanssen' for navigating the harsh Arctic seas and providing support whenever needed. UNIS and the Research Council of Norway are gratefully acknowledged for support to Anne Flink through a PhD grant and the Svalbard Science Forum's Arctic Field Grant Program (Projects #246078 and #257116), respectively. We thank Wesley R. Farnsworth for commenting on the manuscript and Dag Ottesen and Tom Bradwell for the constructive reviews. The authors declare no conflicts of interest.</t>
  </si>
  <si>
    <t>0300-9483</t>
  </si>
  <si>
    <t>1502-3885</t>
  </si>
  <si>
    <t>Boreas</t>
  </si>
  <si>
    <t>10.1111/bor.12488</t>
  </si>
  <si>
    <t>PT4EY</t>
  </si>
  <si>
    <t>WOS:000591184000001</t>
  </si>
  <si>
    <t>Bluhm, BA; Janout, MA; Danielson, SL; Ellingsen, I; Gavrilo, M; Grebmeier, JM; Hopcroft, RR; Iken, KB; Ingvaldsen, RB; Jorgensen, LL; Kosobokova, KN; Kwok, R; Polyakov, IV; Renaud, PE; Carmack, EC</t>
  </si>
  <si>
    <t>Bluhm, Bodil A.; Janout, Markus A.; Danielson, Seth L.; Ellingsen, Ingrid; Gavrilo, Maria; Grebmeier, Jacqueline M.; Hopcroft, Russell R.; Iken, Katrin B.; Ingvaldsen, Randi B.; Jorgensen, Lis L.; Kosobokova, Ksenia N.; Kwok, Ron; Polyakov, Igor, V; Renaud, Paul E.; Carmack, Eddy C.</t>
  </si>
  <si>
    <t>The Pan-Arctic Continental Slope: Sharp Gradients of Physical Processes Affect Pelagic and Benthic Ecosystems</t>
  </si>
  <si>
    <t>biological communities; boundary current; climate change; connectivity; continental slopes; pan-Arctic; shelf-basin exchange; vertical and cross-slope gradients</t>
  </si>
  <si>
    <t>WATER BOUNDARY CURRENT; NORTHEASTERN CHUKCHI SEA; INTERACTIONS SBI PROJECT; EASTERN EURASIAN BASIN; ALASKAN BEAUFORT SEA; FOOD-WEB STRUCTURE; ATLANTIC WATER; PACIFIC WATER; CANADA BASIN; NANSEN BASIN</t>
  </si>
  <si>
    <t>Continental slopes - steep regions between the shelf break and abyssal ocean - play key roles in the climatology and ecology of the Arctic Ocean. Here, through review and synthesis, we find that the narrow slope regions contribute to ecosystem functioning disproportionately to the size of the habitat area (similar to 6% of total Arctic Ocean area). Driven by inflows of sub-Arctic waters and steered by topography, boundary currents transport boreal properties and particle loads from the Atlantic and Pacific Oceans along-slope, thus creating both along and cross-slope connectivity gradients in water mass properties and biomass. Drainage of dense, saline shelf water and material within these, and contributions of river and meltwater also shape the characteristics of the slope domain. These and other properties led us to distinguish upper and lower slope domains; the upper slope (shelf break to similar to 800 m) is characterized by stronger currents, warmer sub-surface temperatures, and higher biomass across several trophic levels (especially near inflow areas). In contrast, the lower slope has slower-moving currents, is cooler, and exhibits lower vertical carbon flux and biomass. Distinct zonation of zooplankton, benthic and fish communities result from these differences. Slopes display varying levels of system connectivity: (1) along-slope through property and material transport in boundary currents, (2) cross-slope through upwelling of warm and nutrient rich water and down-welling of dense water and organic rich matter, and (3) vertically through shear and mixing. Slope dynamics also generate separating functions through (1) along-slope and across-slope fronts concentrating biological activity, and (2) vertical gradients in the water column and at the seafloor that maintain distinct physical structure and community turnover. At the upper slope, climatic change is manifested in sea-ice retreat, increased heat and mass transport by sub-Arctic inflows, surface warming, and altered vertical stratification, while the lower slope has yet to display evidence of change. Model projections suggest that ongoing physical changes will enhance primary production at the upper slope, with suspected enhancing effects for consumers. We recommend Pan-Arctic monitoring efforts of slopes given that many signals of climate change appear there first and are then transmitted along the slope domain.</t>
  </si>
  <si>
    <t>[Bluhm, Bodil A.; Ingvaldsen, Randi B.] UiT Arctic Univ Norway, Dept Arctic Biol, Tromso, Norway; [Janout, Markus A.] Alfred Wegener Inst Polar &amp; Marine Res, Helmholtz Ctr, Bremerhaven, Germany; [Danielson, Seth L.; Hopcroft, Russell R.; Iken, Katrin B.] Univ Alaska Fairbanks, Coll Fisheries &amp; Ocean Sci, Fairbanks, AK USA; [Ellingsen, Ingrid] SINTEF Ocean AS, Trondheim, Norway; [Gavrilo, Maria] Assoc Maritime Heritage, St Petersburg, Russia; [Gavrilo, Maria] Arctic &amp; Antarctic Res Inst, St Petersburg, Russia; [Grebmeier, Jacqueline M.] Univ Maryland, Ctr Environm Sci, Chesapeake Biol Lab, Solomons, MD USA; [Ingvaldsen, Randi B.; Jorgensen, Lis L.] Inst Marine Res, Bergen, Norway; [Ingvaldsen, Randi B.; Jorgensen, Lis L.] Inst Marine Res, Tromso, Norway; [Kosobokova, Ksenia N.] Russian Acad Sci, Shirshov Inst Oceanol, Moscow, Russia; [Kwok, Ron] NASA, Jet Prop Lab, La Canada Flintridge, CA USA; [Polyakov, Igor, V] Univ Alaska Fairbanks, Int Arctic Res Ctr, Fairbanks, AK USA; [Polyakov, Igor, V] Finnish Meteorol Inst, Helsinki, Finland; [Renaud, Paul E.] Akvaplan Niva, Tromso, Norway; [Renaud, Paul E.] Univ Ctr Svalbard, Longyearbyen, Norway; [Carmack, Eddy C.] Inst Ocean Sci, Dept Fisheries &amp; Oceans Canada, Sydney, BC, Canada</t>
  </si>
  <si>
    <t>UiT The Arctic University of Tromso; Helmholtz Association; Alfred Wegener Institute, Helmholtz Centre for Polar &amp; Marine Research; University of Alaska System; University of Alaska Fairbanks; SINTEF; Arctic &amp; Antarctic Research Institute; University System of Maryland; University of Maryland Center for Environmental Science; Institute of Marine Research - Norway; Institute of Marine Research - Norway; Russian Academy of Sciences; Shirshov Institute of Oceanology; National Aeronautics &amp; Space Administration (NASA); NASA Jet Propulsion Laboratory (JPL); University of Alaska System; University of Alaska Fairbanks; Finnish Meteorological Institute; Akvaplan-niva; University Centre Svalbard (UNIS); Fisheries &amp; Oceans Canada</t>
  </si>
  <si>
    <t>Bluhm, BA (corresponding author), UiT Arctic Univ Norway, Dept Arctic Biol, Tromso, Norway.</t>
  </si>
  <si>
    <t>bodil.bluhm@uit.no</t>
  </si>
  <si>
    <t>Bluhm, Bodil A/E-7165-2015; Grebmeier, Jacqueline/L-9805-2013; Kwok, Ronald/L-3968-2019; Kosobokova, Ksenia/P-3363-2014; Gavrilo, Maria V/R-7091-2016</t>
  </si>
  <si>
    <t>Grebmeier, Jacqueline/0000-0001-7624-3568; Kwok, Ronald/0000-0003-4051-5896; Kosobokova, Ksenia/0000-0002-3039-4480; Gavrilo, Maria V/0000-0002-3500-9617; Ingvaldsen, Randi Brunvaer/0000-0002-8261-334X</t>
  </si>
  <si>
    <t>Arctic SIZE; UiT -The Arctic University of Norway; Tromso Research Foundation [01 vm/h15]; North Pacific Research Board [A9199a, A91-00a]; United States National Science Foundation Arctic Observing Network program [1204082, 1702456, 1917469]; NOAA Arctic Research Program [CINAR 22309.02]; IO RAS [0149-2019-0011]; RFBR [19-04-00955]; NSF [AON-1203473, AON-1724523, AON-1708427]; RSF [19-17-00058]; Office of Polar Programs (OPP); Directorate For Geosciences [1702456, 1917469, 1204082] Funding Source: National Science Foundation; Russian Science Foundation [19-17-00058] Funding Source: Russian Science Foundation</t>
  </si>
  <si>
    <t>Arctic SIZE; UiT -The Arctic University of Norway; Tromso Research Foundation; North Pacific Research Board; United States National Science Foundation Arctic Observing Network program; NOAA Arctic Research Program(National Oceanic Atmospheric Admin (NOAA) - USA); IO RAS; RFBR(Russian Foundation for Basic Research (RFBR)); NSF(National Science Foundation (NSF)); RSF(Russian Science Foundation (RSF)); Office of Polar Programs (OPP); Directorate For Geosciences(National Science Foundation (NSF)NSF - Directorate for Geosciences (GEO)); Russian Science Foundation(Russian Science Foundation (RSF))</t>
  </si>
  <si>
    <t>BB was supported by the Arctic SIZE, a project co-funded by UiT -The Arctic University of Norway and the Tromso Research Foundation (project number 01 vm/h15). SD was supported by the North Pacific Research Board grants A9199a and A91-00a as part of the Arctic Integrated Ecosystem Research Program. JG was supported by the United States National Science Foundation Arctic Observing Network program (1204082, 1702456, and 1917469), and NOAA Arctic Research Program (CINAR 22309.02). The research of KK was performed in the framework of the state assignment of IO RAS (theme No. 0149-2019-0011) and was partially supported by RFBR grant no 19-04-00955 and RSF grant no 19-17-00058. IP was supported by NSF grants AON-1203473, AON-1724523, and AON-1708427.</t>
  </si>
  <si>
    <t>10.3389/fmars.2020.544386</t>
  </si>
  <si>
    <t>PA0PD</t>
  </si>
  <si>
    <t>WOS:000595318000001</t>
  </si>
  <si>
    <t>Renfrew, IA; Barrell, C; Elvidge, AD; Brooke, JK; Duscha, C; King, JC; Kristiansen, J; Cope, TL; Moore, GWK; Pickart, RS; Reuder, J; Sandu, I; Sergeev, D; Terpstra, A; Våge, K; Weiss, A</t>
  </si>
  <si>
    <t>Renfrew, I. A.; Barrell, C.; Elvidge, A. D.; Brooke, J. K.; Duscha, C.; King, J. C.; Kristiansen, J.; Cope, T. Lachlan; Moore, G. W. K.; Pickart, R. S.; Reuder, J.; Sandu, I.; Sergeev, D.; Terpstra, A.; Vage, K.; Weiss, A.</t>
  </si>
  <si>
    <t>An evaluation of surface meteorology and fluxes over the Iceland and Greenland Seas in ERA5 reanalysis: The impact of sea ice distribution</t>
  </si>
  <si>
    <t>QUARTERLY JOURNAL OF THE ROYAL METEOROLOGICAL SOCIETY</t>
  </si>
  <si>
    <t>ERA5; marginal ice zone; OSTIA; sea ice; subpolar seas; surface fluxes</t>
  </si>
  <si>
    <t>NORTH-ATLANTIC; ATMOSPHERIC REANALYSES; FORECASTING SYSTEM; TURBULENT FLUXES; BOUNDARY-LAYER; DENMARK STRAIT; BARRIER WINDS; LABRADOR SEA; OCEAN; TEMPERATURE</t>
  </si>
  <si>
    <t>The Iceland and Greenland Seas are a crucial region for the climate system, being the headwaters of the lower limb of the Atlantic Meridional Overturning Circulation. Investigating the atmosphere-ocean-ice processes in this region often necessitates the use of meteorological reanalyses-a representation of the atmospheric state based on the assimilation of observations into a numerical weather prediction system. Knowing the quality of reanalysis products is vital for their proper use. Here we evaluate the surface-layer meteorology and surface turbulent fluxes in winter and spring for the latest reanalysis from the European Centre for Medium-Range Weather Forecasts, i.e., ERA5. In situ observations from a meteorological buoy, a research vessel, and a research aircraft during the Iceland-Greenland Seas Project provide unparalleled coverage of this climatically important region. The observations are independent of ERA5. They allow a comprehensive evaluation of the surface meteorology and fluxes of these subpolar seas and, for the first time, a specific focus on the marginal ice zone. Over the ice-free ocean, ERA5 generally compares well to the observations of surface-layer meteorology and turbulent fluxes. However, over the marginal ice zone, the correspondence is noticeably less accurate: for example, the root-mean-square errors are significantly higher for surface temperature, wind speed, and surface sensible heat flux. The primary reason for the difference in reanalysis quality is an overly smooth sea-ice distribution in the surface boundary conditions used in ERA5. Particularly over the marginal ice zone, unrepresented variability and uncertainties in how to parameterize surface exchange compromise the quality of the reanalyses. A parallel evaluation of higher-resolution forecast fields from the Met Office's Unified Model corroborates these findings.</t>
  </si>
  <si>
    <t>[Renfrew, I. A.; Barrell, C.; Elvidge, A. D.; Terpstra, A.] Univ East Anglia, Sch Environm Sci, Norwich, Norfolk, England; [Brooke, J. K.] Met Off, Exeter, Devon, England; [Duscha, C.; Reuder, J.; Terpstra, A.; Vage, K.] Univ Bergen, Geophys Inst, Bergen, Norway; [Duscha, C.; Reuder, J.; Terpstra, A.; Vage, K.] Bjerknes Ctr Climate Res, Bergen, Norway; [King, J. C.; Cope, T. Lachlan] British Antarctic Survey, Cambridge, England; [Kristiansen, J.] Norwegian Meteorol Inst, Oslo, Norway; [Moore, G. W. K.] Univ Toronto, Dept Phys, Toronto, ON, Canada; [Pickart, R. S.] Woods Hole Oceanog Inst, Woods Hole, MA USA; [Sandu, I.; Sergeev, D.] European Ctr Medium Range Weather Forecasts, Reading, Berks, England; [Terpstra, A.] Univ Exeter, Coll Engn Math &amp; Phys Sci, Exeter, Devon, England</t>
  </si>
  <si>
    <t>University of East Anglia; Met Office - UK; University of Bergen; Bjerknes Centre for Climate Research; UK Research &amp; Innovation (UKRI); Natural Environment Research Council (NERC); NERC British Antarctic Survey; Norwegian Meteorological Institute; University of Toronto; Woods Hole Oceanographic Institution; European Centre for Medium-Range Weather Forecasts (ECMWF); University of Exeter</t>
  </si>
  <si>
    <t>Renfrew, IA (corresponding author), Univ East Anglia, Sch Environm Sci, Ctr Ocean &amp; Atmospher Sci, Norwich Res Pk, Norwich NR4 7TJ, Norfolk, England.</t>
  </si>
  <si>
    <t>i.renfrew@uea.ac.uk</t>
  </si>
  <si>
    <t>Sergeev, Denis E./N-3404-2014; Moore, George Kent/D-8518-2011; Våge, Kjetil/GON-7304-2022; Renfrew, Ian A/E-4057-2010; Brooke, Jennifer K./ABG-2243-2020; Våge, Kjetil/AAG-6208-2019</t>
  </si>
  <si>
    <t>Sergeev, Denis E./0000-0001-8832-5288; Moore, George Kent/0000-0002-3986-5605; Våge, Kjetil/0000-0002-7478-8510; Brooke, Jennifer K./0000-0001-5752-5877; Elvidge, Andrew/0000-0002-7099-902X; Barrell, Chris/0000-0002-0494-9884; Renfrew, Ian/0000-0001-9379-8215</t>
  </si>
  <si>
    <t>Natural Environment Research Council [NE/N009754/1]; National Science Foundation; NERC [NE/V003925/1, NE/N009754/1, NE/R017026/1, bas0100032] Funding Source: UKRI</t>
  </si>
  <si>
    <t>Natural Environment Research Council(UK Research &amp; Innovation (UKRI)Natural Environment Research Council (NERC)); National Science Foundation(National Science Foundation (NSF)); NERC(UK Research &amp; Innovation (UKRI)Natural Environment Research Council (NERC))</t>
  </si>
  <si>
    <t>Natural Environment Research Council, Grant/Award Number: NE/N009754/1; National Science Foundation,</t>
  </si>
  <si>
    <t>0035-9009</t>
  </si>
  <si>
    <t>1477-870X</t>
  </si>
  <si>
    <t>Q J ROY METEOR SOC</t>
  </si>
  <si>
    <t>Q. J. R. Meteorol. Soc.</t>
  </si>
  <si>
    <t>10.1002/qj.3941</t>
  </si>
  <si>
    <t>QB1IN</t>
  </si>
  <si>
    <t>WOS:000590614000001</t>
  </si>
  <si>
    <t>Li, CX; Sonke, JE; Le Roux, G; Piotrowska, N; Van der Putten, N; Roberts, SJ; Daley, T; Rice, E; Gehrels, R; Enrico, M; Mauquoy, D; Roland, TP; De Vleeschouwer, F</t>
  </si>
  <si>
    <t>Li, Chuxian; Sonke, Jeroen E.; Le Roux, Gael; Piotrowska, Natalia; Van der Putten, Nathalie; Roberts, Stephen J.; Daley, Tim; Rice, Emma; Gehrels, Roland; Enrico, Maxime; Mauquoy, Dmitri; Roland, Thomas P.; De Vleeschouwer, Francois</t>
  </si>
  <si>
    <t>Unequal Anthropogenic Enrichment of Mercury in Earth's Northern and Southern Hemispheres</t>
  </si>
  <si>
    <t>ACS EARTH AND SPACE CHEMISTRY</t>
  </si>
  <si>
    <t>mercury; enrichment; peat; sediment; archive; hemisphere; deposition</t>
  </si>
  <si>
    <t>ATMOSPHERIC MERCURY; PEAT BOG; DEPOSITION; CONSTRAINTS; EMISSIONS; POLLUTION; RECORDS; PB-210; FLUXES; OCEAN</t>
  </si>
  <si>
    <t>Remote Northern Hemisphere (NH) and Southern Hemisphere (SH) lake sediment and peat records of mercury (Hg) deposition have shown a X3 to X5 Hg enrichment since pre-industrial times (&lt;1880 AD), leading to the perception that global atmospheric Hg enrichment is moderate and uniform across the hemispheres. Anthropogenic Hg emissions in the NH are, however, approximately 4 times higher than those in the SH. Here, we reconstruct atmospheric Hg deposition in four remote SH peatlands and review sediment and peat Hg records from both hemispheres. We observe a X4 all-time enrichment in SH Hg deposition from pre-anthropogenic (&lt;1450 AD) to the late 20th-century periods, which is lower than the large X16 all-time enrichment in NH Hg deposition. We attribute this difference to lower anthropogenic Hg emissions in the SH, and higher natural atmospheric SH Hg concentrations, supported by X2 higher natural background Hg accumulation in SH peat records. We suggest that the higher SH natural atmospheric Hg deposition reflects the SH land-ocean distribution, and is driven by important SH marine Hg emissions. Our findings indicate that atmospheric Hg background levels and anthropogenic enrichment in both hemispheres are different and should be taken into account in international Hg assessments and environmental policy.</t>
  </si>
  <si>
    <t>[Li, Chuxian; Le Roux, Gael; Enrico, Maxime] Univ Toulouse, CNRS, Lab Ecol Fonct &amp; Environm, F-31326 Toulouse, France; [Li, Chuxian; Sonke, Jeroen E.; Enrico, Maxime] Univ Toulouse, Lab Geosci Environm Toulouse, CNRS, IRD,UPS, F-31400 Toulouse, France; [Piotrowska, Natalia] Silesian Tech Univ, Inst Phys CSE, PL-44100 Gliwice, Poland; [Van der Putten, Nathalie] Vrije Univ Amsterdam, Fac Sci, NL-1081 HV Amsterdam, Netherlands; [Roberts, Stephen J.] British Antarctic Survey, Cambridge CB3 0ET, England; [Daley, Tim; Rice, Emma] Plymouth Univ, Sch Geog Earth &amp; Environm Sci, Plymouth PL4 8AA, Devon, England; [Gehrels, Roland] Univ York, Dept Environm &amp; Geog, York YO10 5NG, N Yorkshire, England; [Enrico, Maxime] Harvard Univ, Harvard John A Paulson Sch Engn &amp; Appl Sci, Cambridge, MA 02138 USA; [Mauquoy, Dmitri] Univ Aberdeen, Geog &amp; Environm, Sch Geosci, Aberdeen AB24 3UF, Scotland; [Roland, Thomas P.] Univ Exeter, Geog, Coll Life &amp; Environm Sci, Exeter EX4 4RJ, Devon, England; [De Vleeschouwer, Francois] Univ Buenos Aires, Inst Franco Argentino Estudio Clima &amp; Impactos UM, C1053, Buenos Aires, DF, Argentina</t>
  </si>
  <si>
    <t>Universite de Toulouse; Universite Federale Toulouse Midi-Pyrenees (ComUE); Universite Toulouse III - Paul Sabatier; Institut National Polytechnique de Toulouse; Centre National de la Recherche Scientifique (CNRS); Universite de Toulouse; Universite Toulouse III - Paul Sabatier; Institut de Recherche pour le Developpement (IRD); Centre National de la Recherche Scientifique (CNRS); Silesian University of Technology; Vrije Universiteit Amsterdam; UK Research &amp; Innovation (UKRI); Natural Environment Research Council (NERC); NERC British Antarctic Survey; University of Plymouth; University of York - UK; Harvard University; University of Aberdeen; University of Exeter; University of Buenos Aires</t>
  </si>
  <si>
    <t>Sonke, JE (corresponding author), Univ Toulouse, Lab Geosci Environm Toulouse, CNRS, IRD,UPS, F-31400 Toulouse, France.</t>
  </si>
  <si>
    <t>jeroen.sonke@get.omp.eu</t>
  </si>
  <si>
    <t>Gehrels, Roland/ABB-2625-2021; Roland, Thomas/B-4703-2013; Sonke, Jeroen E/A-2444-2010; Le Roux, Gael/S-9265-2019</t>
  </si>
  <si>
    <t>Roland, Thomas/0000-0002-9237-1364; Daley, Tim/0000-0001-5806-7310; LI, Chuxian/0000-0002-5458-3171; Van der Putten, Nathalie/0000-0002-0271-9321; Roberts, Stephen/0000-0003-3407-9127; Le Roux, Gael/0000-0002-1579-0178; Mauquoy, Dmitri/0000-0002-8056-8258</t>
  </si>
  <si>
    <t>French Polar Institute (IPEV, Brest, France) through the IPEV Programmes [1066, 1065 PALATIO]; H2020 ERA-PLANET iGOSP program [689443]; China Scholarship Council; H2020 ERA-PLANET iCUPE program [689443]; NERC [bas0100030] Funding Source: UKRI</t>
  </si>
  <si>
    <t>French Polar Institute (IPEV, Brest, France) through the IPEV Programmes; H2020 ERA-PLANET iGOSP program; China Scholarship Council(China Scholarship Council); H2020 ERA-PLANET iCUPE program; NERC(UK Research &amp; Innovation (UKRI)Natural Environment Research Council (NERC))</t>
  </si>
  <si>
    <t>Field work was funded by the French Polar Institute (IPEV, Brest, France) through the IPEV Programmes 1066 PARAD (to F.D.V.) and 1065 PALATIO (to N.V.P. and E. Michel). J.E.S. acknowledges funding from the H2020 ERA-PLANET (689443) iGOSP and iCUPE programs. The authors thank the South Atlantic Environmental Research Institute (SAERI) for providing laboratory facilities in the Falkland Islands and E. Brook (Falkland Islands Government Training Centre) for logistical support. They are grateful to N. Marchand (IPEV) for the logistical support, C. Marteau for making the sampling possible in very restricted areas of the TAAF Nature Reserve, and N. Roberts for help processing the San Carlos core and scientific discussions. They thank A. Coronato, R. Lopez, and V. Pancotto from CADIC-CONICET (Ushuaia) for the field campaigns in Andorra and Harberton. Radiocarbon ages were obtained as part of the Idex Peat3 project of the University of Toulouse and through the national service support: ArtemisINSU-CNRS (to G.L.R.). C.L.'s PhD is supported by a scholarship from the China Scholarship Council. The authors thank 12 anonymous reviewers for their constructive comments on the various versions of this paper, and editor J. D. Blum for handling the final version.</t>
  </si>
  <si>
    <t>2472-3452</t>
  </si>
  <si>
    <t>ACS EARTH SPACE CHEM</t>
  </si>
  <si>
    <t>ACS Earth Space Chem.</t>
  </si>
  <si>
    <t>NOV 19</t>
  </si>
  <si>
    <t>10.1021/acsearthspacechem.0c00220</t>
  </si>
  <si>
    <t>Chemistry, Multidisciplinary; Geochemistry &amp; Geophysics</t>
  </si>
  <si>
    <t>Chemistry; Geochemistry &amp; Geophysics</t>
  </si>
  <si>
    <t>OW5ZO</t>
  </si>
  <si>
    <t>Green Submitted, Green Published, Green Accepted</t>
  </si>
  <si>
    <t>WOS:000592964500017</t>
  </si>
  <si>
    <t>Hermanson, MH; Isaksson, E; Hann, R; Teixeira, C; Muir, DCG</t>
  </si>
  <si>
    <t>Hermanson, Mark H.; Isaksson, Elisabeth; Hann, Richard; Teixeira, Camilla; Muir, Derek C. G.</t>
  </si>
  <si>
    <t>Deposition of Polychlorinated Biphenyls to Firn and Ice Cores at Opposite Polar Sites: Site M, Dronning Maud Land, Antarctica, and Holtedahlfonna, Svalbard</t>
  </si>
  <si>
    <t>Antarctic; plateau; Arctic; Holtedahlfonna; PCBs; congeners; firn; ice</t>
  </si>
  <si>
    <t>PERSISTENT ORGANIC POLLUTANTS; LONG-RANGE TRANSPORT; GAS-CHROMATOGRAPHY; SNOW; AIR; PCBS; VARIABILITY; TROPOSPHERE; PESTICIDES; ATMOSPHERE</t>
  </si>
  <si>
    <t>Fim and ice cores from glaciers and ice sheets at polar opposite locations, Site M, Dronning Maud Land, East Antarctica (lat 75.00 S, long. 15.00 E), and Holtedahlfonna, Svalbard (lat 79.13 N, long. 13.27 E), were analyzed for 81 polychlorinated biphenyl (PCB) congeners in 75 chromatographic peaks. Both sites are remote at high elevations and receive contaminant inputs from long-range atmospheric transport (LRAT). Firn cores from Site M formed one sample covering 1958-2000, while the Holtedahlfonna site has a historic record in 6 samples from 1953 to 2005. Most congeners at both sites are in triCB, tetraCB, and pentaCB homologs, and at Site M, these comprise 89% of PCB and 83% at Holtedahlfonna (with variability over time). Site M PCBs are dominated by pentaCB (48%), while Holtedahlfonna (whole-core average) is dominated by tetraCB (45%). The dominant congeners in triCB through hexaCB homologs are the same at both sites (PCB-28 + 31, PCB-70, PCB-101, PCB-138). The total PCB flux at Site M (4.1 pg cm(-2)yr(-1)) was similar to 33% of Holtedahlfonna (12.7 pg cm(-2) yr(-1)) over whole-core history, perhaps resulting from high UV during spring Antarctic stratospheric ozone depletion leading to PCB decomposition. LRAT frequency diagrams showed a limited range of sources to Site M, leading to a hypothesis about transport through the stratosphere. The LRAT diagram for Holtedahlfonna shows greater than 1% time-coverage areas through central and northern Europe and Russia over 52 years. There is no apparent quantitative trend to PCB deposition over time at Holtedahlfonna, similar to observations elsewhere in the Arctic.</t>
  </si>
  <si>
    <t>[Isaksson, Elisabeth] Norwegian Polar Res Inst, NO-9296 Tromso, Norway; [Hann, Richard] Norwegian Univ Sci &amp; Technol NTNU, Dept Engn Cybernet, NO-7034 Trondheim, Norway; [Teixeira, Camilla; Muir, Derek C. G.] Environm &amp; Climate Change Canada, Burlington, ON L75 1A1, Canada; [Hermanson, Mark H.] Hermanson &amp; Associates LLC, Minneapolis, MN 55419 USA</t>
  </si>
  <si>
    <t>Norwegian Polar Institute; Norwegian University of Science &amp; Technology (NTNU); Environment &amp; Climate Change Canada</t>
  </si>
  <si>
    <t>Hermanson, MH (corresponding author), Hermanson &amp; Associates LLC, Minneapolis, MN 55419 USA.</t>
  </si>
  <si>
    <t>markhermanson@me.com</t>
  </si>
  <si>
    <t>Hermanson, Mark H/ACK-5258-2022; Hann, Richard/GRR-6397-2022; Muir, Derek/AAD-7526-2021</t>
  </si>
  <si>
    <t>Hermanson, Mark H/0000-0002-3557-523X; Hann, Richard/0000-0002-0577-5812;</t>
  </si>
  <si>
    <t>Norwegian Polar Institute; Environment and Climate Change Canada; Fulbright Arctic Chair Award from the U.S.-Norway Fulbright Foundation, Oslo</t>
  </si>
  <si>
    <t>Sampling by the field groups is greatly appreciated. Collection, storage, and transport of the samples and preparation of the manuscript was supported by the Norwegian Polar Institute. Preparation of the lab materials and analytical work was supported by Environment and Climate Change Canada. Early work on this project was supported in part by the Fulbright Arctic Chair Award (to M.H.H.) from the U.S.-Norway Fulbright Foundation, Oslo.</t>
  </si>
  <si>
    <t>10.1021/acsearthspacechem.0c00227</t>
  </si>
  <si>
    <t>WOS:000592964500019</t>
  </si>
  <si>
    <t>Chapman, B; Rosemond, K</t>
  </si>
  <si>
    <t>Chapman, Bernard; Rosemond, Katie</t>
  </si>
  <si>
    <t>Seasonal climate summary for the southern hemisphere (autumn 2018): a weak La Nina fades, the austral autumn remains warmer and drier</t>
  </si>
  <si>
    <t>JOURNAL OF SOUTHERN HEMISPHERE EARTH SYSTEMS SCIENCE</t>
  </si>
  <si>
    <t>2018; Antarctic sea ice; autumn; climate summary; El Nino; ENSO; Indian Ocean Dipole; La Nina; Pacific; seasonal summary; southern hemisphere.</t>
  </si>
  <si>
    <t>OSCILLATION; RAINFALL</t>
  </si>
  <si>
    <t>This is a summary of the austral autumn 2018 atmospheric circulation patterns and meteorological indices for the southern hemisphere, including an exploration of the season's rainfall and temperature for the Australian region. The weak La Nina event during summer 2017-18 was in retreat as the southern hemisphere welcomed the austral autumn, and before midseason, it had faded. With the El Nino Southern Oscillation and the Indian Ocean Dipole in neutral phases, their influence on the climate was weakened. Warmer than average sea surface temperatures dominated much of the subtropical South Pacific Ocean and provided favourable conditions for the formation of a rare subtropical cyclone over the southeast Pacific Ocean in May. The southern hemisphere sea ice extent was slightly below the autumn seasonal average. The southern hemisphere overall during autumn was drier and warmer than the seasonal average. The season brought warmer than average temperatures and average rains to parts of the continents of Africa and South America. Australia recorded its fourth-warmest autumn, partly due to an intense, extensive and persistent heatwave, which occurred during the midseason. An extraordinary and record-breaking rainfall event occurred over Tasmania's southeast, under the influence of a negative Southern Annular Mode. The mainland's northeastern tropical region was wetter than average as a result of tropical cyclones, which formed during an active monsoon. These areas, however, were in contrast to the rest of the continent, which followed the trend of the previous season and remained drier than average; consequently, rainfall deficiencies emerged across the southern half of Australia, and some areas witnessed an increase in extent and severity of these deficiencies.</t>
  </si>
  <si>
    <t>[Chapman, Bernard; Rosemond, Katie] Bur Meteorol, GPO Box 413, Brisbane, Qld 4001, Australia</t>
  </si>
  <si>
    <t>Bureau of Meteorology - Australia</t>
  </si>
  <si>
    <t>Chapman, B; Rosemond, K (corresponding author), Bur Meteorol, GPO Box 413, Brisbane, Qld 4001, Australia.</t>
  </si>
  <si>
    <t>bernard.chapman@bom.gov.au; katie.rosemond@bom.gov.au</t>
  </si>
  <si>
    <t>2206-5865</t>
  </si>
  <si>
    <t>J SO HEMISPH EARTH</t>
  </si>
  <si>
    <t>J. South Hemisph. Earth Syst. Sci.</t>
  </si>
  <si>
    <t>10.1071/ES19039</t>
  </si>
  <si>
    <t>PQ4JM</t>
  </si>
  <si>
    <t>WOS:000598036600001</t>
  </si>
  <si>
    <t>Chemke, R; Previdi, M; England, MR; Polvani, LM</t>
  </si>
  <si>
    <t>Chemke, Rei; Previdi, Michael; England, Mark R.; Polvani, Lorenzo M.</t>
  </si>
  <si>
    <t>Distinguishing the impacts of ozone and ozone-depleting substances on the recent increase in Antarctic surface mass balance</t>
  </si>
  <si>
    <t>ICE-SHEET; ACCUMULATION; CMIP5; MODEL</t>
  </si>
  <si>
    <t>The Antarctic surface mass balance (SMB) has global climatic impacts through its effects on global sealevel rise. The forced increase in Antarctic SMB over the second half of the 20th century was argued to stem from multiple forcing agents, including ozone and ozone-depleting substances (ODSs). Here we use ensembles of fixed-forcing model simulations to quantify and contrast the contributions of stratospheric ozone, tropospheric ozone and ODSs to increases in the Antarctic SMB. We show that ODSs and stratospheric ozone make comparable contributions and together account for 44% of the increase in the annual mean Antarctic SMB over the second half of the 20th century. In contrast, tropospheric ozone has an insignificant impact on the SMB increase. A large portion of the annual mean SMB increase occurs during austral summer, when stratospheric ozone is found to account for 63% of the increase. Furthermore, we demonstrate that stratospheric ozone increases the SMB by enhancing the meridional mean and eddy flows towards the continent, thus converging more water vapor over the Antarctic.</t>
  </si>
  <si>
    <t>[Chemke, Rei] Weizmann Inst Sci, Dept Earth &amp; Planetary Sci, Rehovot, Israel; [Chemke, Rei; Polvani, Lorenzo M.] Columbia Univ, Dept Appl Phys &amp; Appl Math, New York, NY 10027 USA; [Previdi, Michael; Polvani, Lorenzo M.] Columbia Univ, Lamont Doherty Earth Observ, Palisades, NY USA; [England, Mark R.] UCSD, Dept Climate Atmospher Sci &amp; Phys Oceanog, Scripps Inst Oceanog, La Jolla, CA USA; [England, Mark R.] Univ North Carolina Wilmington, Dept Phys &amp; Phys Oceanog, Wilmington, NC USA</t>
  </si>
  <si>
    <t>Weizmann Institute of Science; Columbia University; Columbia University; University of California System; University of California San Diego; Scripps Institution of Oceanography; University of North Carolina; University of North Carolina Wilmington</t>
  </si>
  <si>
    <t>Chemke, R (corresponding author), Weizmann Inst Sci, Dept Earth &amp; Planetary Sci, Rehovot, Israel.;Chemke, R (corresponding author), Columbia Univ, Dept Appl Phys &amp; Appl Math, New York, NY 10027 USA.</t>
  </si>
  <si>
    <t>rei.chemke@weizmann.ac.il</t>
  </si>
  <si>
    <t>England, Mark/0000-0003-3882-872X</t>
  </si>
  <si>
    <t>National Science Foundation [OPP-1745029]</t>
  </si>
  <si>
    <t>This research has been supported by the National Science Foundation to Columbia University (grant no. OPP-1745029).</t>
  </si>
  <si>
    <t>10.5194/tc-14-4135-2020</t>
  </si>
  <si>
    <t>OW5LK</t>
  </si>
  <si>
    <t>WOS:000592927700001</t>
  </si>
  <si>
    <t>Cavitte, MGP; Dalaiden, Q; Goosse, H; Lenaerts, JTM; Thomas, ER</t>
  </si>
  <si>
    <t>Cavitte, Marie G. P.; Dalaiden, Quentin; Goosse, Hugues; Lenaerts, Jan T. M.; Thomas, Elizabeth R.</t>
  </si>
  <si>
    <t>Reconciling the surface temperature-surface mass balance relationship in models and ice cores in Antarctica over the last 2 centuries</t>
  </si>
  <si>
    <t>SNOW ACCUMULATION; REGIONAL CLIMATE; EAST ANTARCTICA; WEST ANTARCTICA; ADELIE LAND; UNCONFORMABLE STRATIGRAPHY; DATA ASSIMILATION; FIRN-CORE; BLUE-ICE; DOME-C</t>
  </si>
  <si>
    <t>Ice cores are an important record of the past surface mass balance (SMB) of ice sheets, with SMB mitigating the ice sheets' sea level impact over the recent decades. For the Antarctic Ice Sheet (AIS), SMB is dominated by large-scale atmospheric circulation, which collects warm moist air from further north and releases it in the form of snow as widespread accumulation or focused atmospheric rivers on the continent. This suggests that the snow deposited at the surface of the AIS should record strongly coupled SMB and surface air temperature (SAT) variations. Ice cores use delta O-18 as a proxy for SAT as they do not record SAT directly. Here, using isotope-enabled global climate models and the RACMO2.3 regional climate model, we calculate positive SMB-SAT and SMB-delta O-18 annual correlations over similar to 90% of the AIS. The high spatial resolution of the RACMO2.3 model allows us to highlight a number of areas where SMB and SAT are not correlated, and we show that wind-driven processes acting locally, such as foehn and katabatic effects, can overwhelm the large-scale atmospheric contribution in SMB and SAT responsible for the positive SMB-SAT annual correlations. We focus in particular on Dronning Maud Land, East Antarctica, where the ice promontories clearly show these wind-induced effects. However, using the PAGES2k ice core compilations of SMB and delta O-18 of Thomas et al. (2017) and Stenni et al. (2017), we obtain a weak annual correlation, on the order of 0.1, between SMB and delta O-18 over the past similar to 150 years. We obtain an equivalently weak annual correlation between ice core SMB and the SAT reconstruction of Nicolas and Bromwich (2014) over the past similar to 50 years, although the ice core sites are not spatially co-located with the areas displaying a low SMB-SAT annual correlation in the models. To resolve the discrepancy between the measured and modeled signals, we show that averaging the ice core records in close spatial proximity increases their SMB-SAT annual correlation. This increase shows that the weak measured annual correlation partly results from random noise present in the ice core records, but the change is not large enough to match the annual correlation calculated in the models. Our results thus indicate a positive correlation between SAT and SMB in models and ice core reconstructions but with a weaker value in observations that may be due to missing processes in models or some systematic biases in ice core data that are not removed by a simple average.</t>
  </si>
  <si>
    <t>[Cavitte, Marie G. P.; Dalaiden, Quentin; Goosse, Hugues] Univ Catholique Louvain UCL, Earth &amp; Life Inst ELI, Georges Lemaitre Ctr Earth &amp; Climate Res TECLIM, Louvain La Neuve, Belgium; [Lenaerts, Jan T. M.] Univ Colorado, Dept Atmospher &amp; Ocean Sci, Boulder, CO 80309 USA; [Thomas, Elizabeth R.] British Antarctic Survey, Madingley Rd, Cambridge CB3 0ET, England</t>
  </si>
  <si>
    <t>University of Colorado System; University of Colorado Boulder; UK Research &amp; Innovation (UKRI); Natural Environment Research Council (NERC); NERC British Antarctic Survey</t>
  </si>
  <si>
    <t>Cavitte, MGP (corresponding author), Univ Catholique Louvain UCL, Earth &amp; Life Inst ELI, Georges Lemaitre Ctr Earth &amp; Climate Res TECLIM, Louvain La Neuve, Belgium.</t>
  </si>
  <si>
    <t>marie.cavitte@uclouvain.be</t>
  </si>
  <si>
    <t>Lenaerts, Jan/D-9423-2012; Thomas, Elizabeth Ruth/ADF-3660-2022</t>
  </si>
  <si>
    <t>Lenaerts, Jan/0000-0003-4309-4011; Thomas, Elizabeth Ruth/0000-0002-3010-6493; Dalaiden, Quentin/0000-0002-3885-3848; Cavitte, Marie/0000-0002-5777-0933</t>
  </si>
  <si>
    <t>Belgian Research Action through Interdisciplinary Networks - BRAIN-be, Belgian Science Policy Office [BR/165/A2/Mass2Ant]; NERC [bas0100034] Funding Source: UKRI</t>
  </si>
  <si>
    <t>Belgian Research Action through Interdisciplinary Networks - BRAIN-be, Belgian Science Policy Office; NERC(UK Research &amp; Innovation (UKRI)Natural Environment Research Council (NERC))</t>
  </si>
  <si>
    <t>This research has been supported by the Belgian Research Action through Interdisciplinary Networks -BRAIN-be, Belgian Science Policy Office, contract no. BR/165/A2/Mass2Ant East Antarctic surface mass balance in the Anthropocene: observations and multiscale modelling (Mass2Ant).</t>
  </si>
  <si>
    <t>NOV 18</t>
  </si>
  <si>
    <t>10.5194/tc-14-4083-2020</t>
  </si>
  <si>
    <t>OW4LR</t>
  </si>
  <si>
    <t>WOS:000592860800001</t>
  </si>
  <si>
    <t>Arthur, JF; Stokes, CR; Jamieson, SSR; Carr, JR; Leeson, AA</t>
  </si>
  <si>
    <t>Arthur, Jennifer F.; Stokes, Chris R.; Jamieson, Stewart S. R.; Carr, J. Rachel; Leeson, Amber A.</t>
  </si>
  <si>
    <t>Distribution and seasonal evolution of supraglacial lakes on Shackleton Ice Shelf, East Antarctica</t>
  </si>
  <si>
    <t>SURFACE MELT; LANDSAT 8; WEST GREENLAND; MELTWATER; DRAINAGE; SHEET; CLIMATE; BASAL; DEFORMATION; FRACTURE</t>
  </si>
  <si>
    <t>Supraglacial lakes (SGLs) enhance surface melting and can flex and fracture ice shelves when they grow and subsequently drain, potentially leading to ice shelf disintegration. However, the seasonal evolution of SGLs and their influence on ice shelf stability in East Antarctica remains poorly understood, despite some potentially vulnerable ice shelves having high densities of SGLs. Using optical satellite imagery, air temperature data from climate reanalysis products and surface melt predicted by a regional climate model, we present the first long-term record (2000-2020) of seasonal SGL evolution on Shackleton Ice Shelf, which is Antarctica's northernmost remaining ice shelf and buttresses Denman Glacier, a major outlet of the East Antarctic Ice Sheet. In a typical melt season, we find hundreds of SGLs with a mean area of 0.02 km(2), a mean depth of 0.96m and a mean total meltwater volume of 7.45 x 10(6) m(3). At their most extensive, SGLs cover a cumulative area of 50.7 km(2) and are clustered near to the grounding line, where densities approach 0.27 km(2) km(-2). Here, SGL development is linked to an albedo-lowering feedback associated with katabatic winds, together with the presence of blue ice and exposed rock. Although below-average seasonal (December-January-February, DJF) temperatures are associated with below-average peaks in total SGL area and volume, warmer seasonal temperatures do not necessarily result in higher SGL areas and volumes. Rather, peaks in total SGL area and volume show a much closer correspondence with short-lived high-magnitude snowmelt events. We therefore suggest seasonal lake evolution on this ice shelf is instead more sensitive to snowmelt intensity associated with katabatic-wind-driven melting. Our analysis provides important constraints on the boundary conditions of supraglacial hydrology models and numerical simulations of ice shelf stability.</t>
  </si>
  <si>
    <t>[Arthur, Jennifer F.; Stokes, Chris R.; Jamieson, Stewart S. R.] Univ Durham, Dept Geog, Durham DH1 3LE, England; [Carr, J. Rachel] Newcastle Univ, Sch Geog Polit &amp; Sociol, Newcastle Upon Tyne NE1 7RU, Tyne &amp; Wear, England; [Leeson, Amber A.] Univ Lancaster, Lancaster Environm Ctr, Lancaster LA1 4YW, England</t>
  </si>
  <si>
    <t>Durham University; Newcastle University - UK; Lancaster University</t>
  </si>
  <si>
    <t>Arthur, JF (corresponding author), Univ Durham, Dept Geog, Durham DH1 3LE, England.</t>
  </si>
  <si>
    <t>jennifer.arthur@durham.ac.uk</t>
  </si>
  <si>
    <t>Stokes, Chris R/A-1957-2011; Leeson, Amber/JFA-1001-2023; Jamieson, Stewart/B-8330-2013</t>
  </si>
  <si>
    <t>Jamieson, Stewart/0000-0002-9036-2317; Leeson, Amber/0000-0001-8720-9808; Arthur, Jennifer/0000-0001-8753-7211</t>
  </si>
  <si>
    <t>Natural Environment Research Council [NE/L002590/1, NE/R000824/1]; NERC [NE/R000824/1, NE/S011390/1, cpom30001, NE/T009470/1] Funding Source: UKRI</t>
  </si>
  <si>
    <t>This research has been supported by the Natural Environment Research Council (grant nos. NE/L002590/1 and NE/R000824/1).</t>
  </si>
  <si>
    <t>10.5194/tc-14-4103-2020</t>
  </si>
  <si>
    <t>Green Accepted, gold, Green Published, Green Submitted</t>
  </si>
  <si>
    <t>WOS:000592860800002</t>
  </si>
  <si>
    <t>Iturbide, M; Gutiérrez, JM; Alves, LM; Bedia, J; Cerezo-Mota, R; Cimadevilla, E; Cofiño, AS; Di Luca, A; Faria, SH; Gorodetskaya, IV; Hauser, M; Herrera, S; Hennessy, K; Hewitt, HT; Jones, RG; Krakovska, S; Manzanas, R; Martínez-Castro, D; Narisma, GT; Nurhati, IS; Pinto, I; Seneviratne, SI; van den Hurk, B; Vera, CS</t>
  </si>
  <si>
    <t>Iturbide, Maialen; Gutierrez, Jose M.; Alves, Lincoln M.; Bedia, Joaquin; Cerezo-Mota, Ruth; Cimadevilla, Ezequiel; Cofino, Antonio S.; Di Luca, Alejandro; Henrique Faria, Sergio; Gorodetskaya, Irina V.; Hauser, Mathias; Herrera, Sixto; Hennessy, Kevin; Hewitt, Helene T.; Jones, Richard G.; Krakovska, Svitlana; Manzanas, Rodrigo; Martinez-Castro, Daniel; Narisma, Gemma T.; Nurhati, Intan S.; Pinto, Izidine; Seneviratne, Sonia I.; van den Hurk, Bart; Vera, Carolina S.</t>
  </si>
  <si>
    <t>An update of IPCC climate reference regions for subcontinental analysis of climate model data: definition and aggregated datasets</t>
  </si>
  <si>
    <t>Several sets of reference regions have been used in the literature for the regional synthesis of observed and modelled climate and climate change information. A popular example is the series of reference regions used in the Intergovernmental Panel on Climate Change (IPCC) Special Report on Managing the Risks of Extreme Events and Disasters to Advance Climate Adaptation (SREX). The SREX regions were slightly modified for the Fifth Assessment Report of the IPCC and used for reporting subcontinental observed and projected changes over a reduced number (33) of climatologically consistent regions encompassing a representative number of grid boxes. These regions are intended to allow analysis of atmospheric data over broad land or ocean regions and have been used as the basis for several popular spatially aggregated datasets, such as the Seasonal Mean Temperature and Precipitation in IPCC Regions for CMIP5 dataset. We present an updated version of the reference regions for the analysis of new observed and simulated datasets (including CMIP6) which offer an opportunity for refinement due to the higher atmospheric model resolution. As a result, the number of land and ocean regions is increased to 46 and 15, respectively, better representing consistent regional climate features. The paper describes the rationale for the definition of the new regions and analyses their homogeneity. The regions are defined as polygons and are provided as coordinates and a shapefile together with companion R and Python notebooks to illustrate their use in practical problems (e.g. calculating regional averages). We also describe the generation of a new dataset with monthly temperature and precipitation, spatially aggregated in the new regions, currently for CMIP5 and CMIP6, to be extended to other datasets in the future (including observations). The use of these reference regions, dataset and code is illustrated through a worked example using scatter plots to offer guidance on the likely range of future climate change at the scale of the reference regions. The regions, datasets and code (R and Python notebooks) are freely available at the ATLAS GitHub repository: https://github.com/SantanderMetGroup/ATLAS (last access: 24 August 2020), https://doi.org/10.5281/zenodo.3998463 (Iturbide et al., 2020).</t>
  </si>
  <si>
    <t>[Iturbide, Maialen; Gutierrez, Jose M.] UC, CSIC, Inst Fis Cantabria, Grp Meteorol, Santander, Spain; [Alves, Lincoln M.] Natl Inst Space Res, Sao Jose Dos Campos, Brazil; [Bedia, Joaquin; Cimadevilla, Ezequiel; Cofino, Antonio S.; Herrera, Sixto; Manzanas, Rodrigo] Univ Cantabria, Dept Matemat Aplicada &amp; Ciencias Computac, Grp Meteorol, Santander, Spain; [Cerezo-Mota, Ruth] Univ Nacl Autonoma Mexico, Inst Ingn, Mexico City, DF, Mexico; [Di Luca, Alejandro] Univ New South Wales, Climate Change Res Ctr, Sydney, NSW, Australia; [Di Luca, Alejandro] Univ New South Wales, ARC Ctr Excellence Climate Extremes, Sydney, NSW, Australia; [Henrique Faria, Sergio] Basque Ctr Climate Change BC3, Leioa, Spain; [Henrique Faria, Sergio] Basque Fdn Sci, IKERBASQUE, Bilbao, Spain; [Gorodetskaya, Irina V.] Univ Aveiro, Dept Phys, CESAM Ctr Environm &amp; Marine Studies, Aveiro, Portugal; [Hauser, Mathias; Seneviratne, Sonia I.] Swiss Fed Inst Technol, Inst Atmospher &amp; Climate Sci, Zurich, Switzerland; [Hennessy, Kevin] CSIRO Oceans &amp; Atmosphere, Melbourne, Vic, Australia; [Hewitt, Helene T.; Jones, Richard G.] Met Off Hadley Ctr, Exeter, Devon, England; [Jones, Richard G.] Univ Oxford, Sch Geog &amp; Environm, Oxford, England; [Krakovska, Svitlana] Ukrainian Hydrometeorol Inst, Kiev, Ukraine; [Krakovska, Svitlana] State Inst Natl Antarctic Sci Ctr, Kiev, Ukraine; [Manzanas, Rodrigo] Univ Paris Saclay, WGI TSU, Intergovt Panel Climate Change, Paris, France; [Martinez-Castro, Daniel] Inst Meteorol Cuba, Havana, Cuba; [Martinez-Castro, Daniel] Inst Geofis Peru, Lima, Peru; [Narisma, Gemma T.] Manila Observ, Ateneo de Manila Univ Campus, Quezon City, Philippines; [Nurhati, Intan S.] Indonesian Inst Sci, Res Ctr Oceanog, Jakarta, Indonesia; [Pinto, Izidine] Univ Cape Town, Climate Syst Anal Grp, Cape Town, South Africa; [van den Hurk, Bart] Deltares, Delft, Netherlands; [Vera, Carolina S.] Univ Buenos Aires, Dept Ciencias Atmosfera &amp; Oceanos, Buenos Aires, DF, Argentina; [Vera, Carolina S.] UBA, CONICET, Ctr Invest Mar &amp; Atmosfera, Buenos Aires, DF, Argentina; [Vera, Carolina S.] UBA, CONICET, Inst Franco Argentino Estudios Clima &amp; Sus Impact, CNRS, Buenos Aires, DF, Argentina</t>
  </si>
  <si>
    <t>Consejo Superior de Investigaciones Cientificas (CSIC); Universidad de Cantabria; CSIC - Instituto de Fisica de Cantabria (IFCA); Instituto Nacional de Pesquisas Espaciais (INPE); Universidad de Cantabria; Universidad Nacional Autonoma de Mexico; University of New South Wales Sydney; University of New South Wales Sydney; Basque Centre for Climate Change (BC3); Basque Foundation for Science; Universidade de Aveiro; Swiss Federal Institutes of Technology Domain; ETH Zurich; Commonwealth Scientific &amp; Industrial Research Organisation (CSIRO); Melbourne Genomics Health Alliance; Met Office - UK; Hadley Centre; University of Oxford; National Academy of Sciences Ukraine; Ukrainian Hydrometeorological Institute of the State Emergency Service of Ukraine &amp; National Academy of Sciences of Ukraine; Ministry of Education &amp; Science of Ukraine; State Institution National Antarctic Scientific Center; Universite Paris Cite; Universite Paris Saclay; Ateneo de Manila University; National Research &amp; Innovation Agency of Indonesia (BRIN); Indonesian Institute of Sciences (LIPI); University of Cape Town; Deltares; University of Buenos Aires; Consejo Nacional de Investigaciones Cientificas y Tecnicas (CONICET); University of Buenos Aires; University of Buenos Aires; Consejo Nacional de Investigaciones Cientificas y Tecnicas (CONICET)</t>
  </si>
  <si>
    <t>Gutiérrez, JM (corresponding author), UC, CSIC, Inst Fis Cantabria, Grp Meteorol, Santander, Spain.</t>
  </si>
  <si>
    <t>gutierjm@ifca.unican.es</t>
  </si>
  <si>
    <t>Gutiérrez, José M./C-5754-2009; Gutierrez Pacherres, Jose Rodolfo/HZL-0476-2023; Krakovska, Svitlana/AAB-8794-2020; Faria, Sérgio Henrique/K-9454-2013; Krakovska, Svitlana/IUQ-6553-2023; Manzanas, R./A-7747-2013; Bedia, Joaquin/Q-2148-2015; Gutiérrez, José/GSJ-1846-2022; Herrera García, Sixto/GNP-0189-2022; van den Hurk, Bart/ABI-1654-2020; Seneviratne, Sonia I./G-8761-2011; Iturbide, Maialen/P-9101-2017; Alves, Lincoln M/G-8894-2015; Pinto, Izidine/AAF-5999-2020; Gorodetskaya, Irina/K-1987-2015</t>
  </si>
  <si>
    <t>Krakovska, Svitlana/0000-0001-9972-0937; Manzanas, R./0000-0002-0001-3448; Bedia, Joaquin/0000-0001-6219-4312; Herrera García, Sixto/0000-0002-5384-179X; van den Hurk, Bart/0000-0003-3726-7086; Seneviratne, Sonia I./0000-0001-9528-2917; Pinto, Izidine/0000-0002-9919-4559; Cimadevilla Alvarez, Ezequiel/0000-0002-8437-2068; Gorodetskaya, Irina/0000-0002-2294-7823</t>
  </si>
  <si>
    <t>Spanish National Plan for Scientific and Technical Research and Innovation [PID2019-111481RB-I00]; Spanish National Plan for Scientific and Technical Research and Innovation (Maria de Maeztu excellence programme projects) [MdM-2017-0765, MdM-2017-0714]; FCT MCTES [UIDP/50017/2020 CUIDB/50017/2020]; Basque Government BERC 2018-2021 programme</t>
  </si>
  <si>
    <t>Spanish National Plan for Scientific and Technical Research and Innovation(Spanish Government); Spanish National Plan for Scientific and Technical Research and Innovation (Maria de Maeztu excellence programme projects); FCT MCTES(Fundacao para a Ciencia e a Tecnologia (FCT)); Basque Government BERC 2018-2021 programme(Basque Government)</t>
  </si>
  <si>
    <t>This research has been supported by the Spanish National Plan for Scientific and Technical Research and Innovation (project PID2019-111481RB-I00 and Maria de Maeztu excellence programme projects MdM-2017-0765 and MdM-2017-0714), FCT MCTES financial support to CESAM (UIDP/50017/2020 CUIDB/50017/2020), and the Basque Government BERC 2018-2021 programme.</t>
  </si>
  <si>
    <t>10.5194/essd-12-2959-2020</t>
  </si>
  <si>
    <t>OW4KG</t>
  </si>
  <si>
    <t>WOS:000592857100003</t>
  </si>
  <si>
    <t>Eagles, G; Eisermann, H</t>
  </si>
  <si>
    <t>Eagles, Graeme; Eisermann, Hannes</t>
  </si>
  <si>
    <t>The Skytrain plate and tectonic evolution of southwest Gondwana since Jurassic times</t>
  </si>
  <si>
    <t>SEA RIFT SYSTEM; FALKLAND-ISLANDS; WEDDELL SEA; ANTARCTIC PENINSULA; WEST ANTARCTICA; CONTINENTAL MARGINS; ELLSWORTH MOUNTAINS; KAROO BASIN; SCOTIA SEA; BREAK-UP</t>
  </si>
  <si>
    <t>Uncertainty about the structure of the Falkland Plateau Basin has long hindered understanding of tectonic evolution in southwest Gondwana. New aeromagnetic data from the basin reveal Jurassic-onset seafloor spreading by motion of a single newly-recognized plate, Skytrain, which also governed continental extension in the Weddell Sea Embayment and possibly further afield in Antarctica. The Skytrain plate resolves a nearly century-old controversy by requiring a South American setting for the Falkland Islands in Gondwana. The Skytrain plate's later motion provides a unifying context for post-Cambrian wide-angle paleomagnetic rotation, Cretaceous uplift, and post-Permian oblique collision in the Ellsworth Mountains of Antarctica. Further north, the Skytrain plate's margins built a continuous conjugate ocean to the Weddell Sea in the Falkland Plateau Basin and central Scotia Sea. This ocean rules out venerable correlation-based interpretations for a Pacific margin location and subsequent long-distance translation of the South Georgia microcontinent as the Drake Passage gateway opened.</t>
  </si>
  <si>
    <t>[Eagles, Graeme; Eisermann, Hannes] Helmholtz Zentrum Polar &amp; Meeresforsch, Alfred Wegener Inst, Alten Hafen 26, D-27568 Bremerhaven, Germany</t>
  </si>
  <si>
    <t>Helmholtz Association; Alfred Wegener Institute, Helmholtz Centre for Polar &amp; Marine Research</t>
  </si>
  <si>
    <t>Eagles, G (corresponding author), Helmholtz Zentrum Polar &amp; Meeresforsch, Alfred Wegener Inst, Alten Hafen 26, D-27568 Bremerhaven, Germany.</t>
  </si>
  <si>
    <t>Graeme.Eagles@awi.de</t>
  </si>
  <si>
    <t>Eagles, Graeme/0000-0001-5325-0810</t>
  </si>
  <si>
    <t>NOV 17</t>
  </si>
  <si>
    <t>10.1038/s41598-020-77070-6</t>
  </si>
  <si>
    <t>PN5JW</t>
  </si>
  <si>
    <t>WOS:000604516000014</t>
  </si>
  <si>
    <t>Constantino, RR; Tinto, KJ; Bell, RE; Porter, DF; Jordan, TA</t>
  </si>
  <si>
    <t>Constantino, Renata R.; Tinto, Kirsty J.; Bell, Robin E.; Porter, David F.; Jordan, Tom A.</t>
  </si>
  <si>
    <t>Seafloor Depth of George VI Sound, Antarctic Peninsula, From Inversion of Aerogravity Data</t>
  </si>
  <si>
    <t>bathymetry; Antarctica; George VI Ice Shelf</t>
  </si>
  <si>
    <t>ICE-SHELF THICKNESS; BASAL MELT RATES; ICEBRIDGE GRAVITY; BATHYMETRY; SENSITIVITY; EVOLUTION; BENEATH; RADAR; SHEET</t>
  </si>
  <si>
    <t>George VI Sound is an similar to 600 km-long curvilinear channel on the west coast of the southern Antarctic Peninsula separating Alexander Island from Palmer Land. The Sound is a geologically complex region presently covered by the George VI Ice Shelf. Here we model the bathymetry using aerogravity data. Our model is constrained by water depths from seismic measurements. We present a crustal density model for the region, propose a relocation for a major fault in the Sound, and reveal a dense body, similar to 200 km long, flanking the Palmer Land side. The southern half of the Sound consists of two distinct basins similar to 1,100 m deep, separated by a -650 m-deep ridge. This constricting ridge presents a potential barrier to ocean circulation beneath the ice shelf and may account for observed differences in temperature-salinity (T-S) profiles.</t>
  </si>
  <si>
    <t>[Constantino, Renata R.; Tinto, Kirsty J.; Bell, Robin E.; Porter, David F.] Columbia Univ, Lamont Doherty Geol Observ, Palisades, NY 10964 USA; [Jordan, Tom A.] British Antarctic Survey Cambridge, Cambridge, England</t>
  </si>
  <si>
    <t>Columbia University</t>
  </si>
  <si>
    <t>Constantino, RR (corresponding author), Columbia Univ, Lamont Doherty Geol Observ, Palisades, NY 10964 USA.</t>
  </si>
  <si>
    <t>constantino@ldeo.columbia.edu</t>
  </si>
  <si>
    <t>Constantino, Renata/AAG-8938-2021; Porter, David/AAV-3950-2020</t>
  </si>
  <si>
    <t>Porter, David/0000-0002-9724-7303; Constantino, Renata/0000-0002-9025-3305; Jordan, Tom/0000-0003-2780-1986</t>
  </si>
  <si>
    <t>NSF [1842064]; NASA [NNX16AJ65G]; NERC [bas0100029] Funding Source: UKRI; Office of Polar Programs (OPP); Directorate For Geosciences [1842064] Funding Source: National Science Foundation; NASA [901805, NNX16AJ65G] Funding Source: Federal RePORTER</t>
  </si>
  <si>
    <t>NSF(National Science Foundation (NSF)); NASA(National Aeronautics &amp; Space Administration (NASA)); NERC(UK Research &amp; Innovation (UKRI)Natural Environment Research Council (NERC)); Office of Polar Programs (OPP); Directorate For Geosciences(National Science Foundation (NSF)NSF - Directorate for Geosciences (GEO)); NASA(National Aeronautics &amp; Space Administration (NASA))</t>
  </si>
  <si>
    <t>This work was funded by NSF 1842064 and NASA NNX16AJ65G. We thank Stan Jacobs, Fernando Paolo, and Pierre Dutrieux for discussion contributions. We also thank Katrina Zamudio and Jouryney Berry for their work contribution.</t>
  </si>
  <si>
    <t>NOV 16</t>
  </si>
  <si>
    <t>e2020GL088654</t>
  </si>
  <si>
    <t>10.1029/2020GL088654</t>
  </si>
  <si>
    <t>OY0WV</t>
  </si>
  <si>
    <t>WOS:000593976300025</t>
  </si>
  <si>
    <t>Frazer, EK; Langhorne, PJ; Leonard, GH; Robinson, NJ; Schumayer, D</t>
  </si>
  <si>
    <t>Frazer, Eamon K.; Langhorne, Pat J.; Leonard, Greg H.; Robinson, Natalie J.; Schumayer, Daniel</t>
  </si>
  <si>
    <t>Observations of the Size Distribution of Frazil Ice in an Ice Shelf Water Plume</t>
  </si>
  <si>
    <t>frazil ice; Ice Shelf Water; sea ice; platelet ice; acoustic backscatter</t>
  </si>
  <si>
    <t>ANTARCTIC SEA-ICE; MCMURDO SOUND; LABORATORY MEASUREMENTS; DYNAMICS; PARTICLES; EVOLUTION; THERMODYNAMICS; BACKSCATTERING; SEDIMENT; CRYSTALS</t>
  </si>
  <si>
    <t>The size distribution of frazil ice is currently unconstrained in ice shelf cavity modeling. Here we observe the time-dependent behavior of the number and size of frazil ice particles in an Ice Shelf Water plume. A novel acoustic scattering inversion was used to infer frazil ice crystal diameters, assuming a log-normal distribution. Observation sites were on land-fast sea ice approximately 13 and 33 km from the front of the McMurdo Ice Shelf, Antarctica. The water column from the ice-water interface to 30 m below mean sea level was monitored over 3 weeks in November of 2016 and 2017. At 15 m below sea level the mean frazil crystal diameter was similar to 1 mm. Fractional ice volume, derived from frazil crystal size and number density, correlates with in situ supercooling (up to 50 mK at 15 m below sea level). The data presented here provide valuable input for model initiation and evaluation.</t>
  </si>
  <si>
    <t>[Frazer, Eamon K.; Langhorne, Pat J.; Schumayer, Daniel] Univ Otago, Dept Phys, Dunedin, New Zealand; [Leonard, Greg H.] Univ Otago, Sch Surveying, Dunedin, New Zealand; [Robinson, Natalie J.] Natl Inst Water &amp; Atmospher Res, Wellington, New Zealand; [Schumayer, Daniel] Dodd Walls Ctr Photon &amp; Quantum Technol, Dunedin, New Zealand</t>
  </si>
  <si>
    <t>University of Otago; University of Otago; National Institute of Water &amp; Atmospheric Research (NIWA) - New Zealand</t>
  </si>
  <si>
    <t>Langhorne, PJ (corresponding author), Univ Otago, Dept Phys, Dunedin, New Zealand.</t>
  </si>
  <si>
    <t>pat.langhorne@otago.ac.nz</t>
  </si>
  <si>
    <t>; Leonard, Greg/F-7157-2010; Langhorne, Pat/C-3539-2018</t>
  </si>
  <si>
    <t>Frazer, Eamon/0000-0002-6072-6554; Leonard, Greg/0000-0001-7679-9486; Langhorne, Pat/0000-0003-0239-7657; Schumayer, Daniel/0000-0003-4797-1712</t>
  </si>
  <si>
    <t>New Zealand's Deep South National Science Challenge, University of Otago; National Institute for Water and Atmospheric Research (NIWA); Marsden Fund [NIW1510]; Dodd-Walls Centre for Photonics and Quantum Technologies</t>
  </si>
  <si>
    <t>New Zealand's Deep South National Science Challenge, University of Otago; National Institute for Water and Atmospheric Research (NIWA); Marsden Fund(Royal Society of New ZealandMarsden Fund (NZ)); Dodd-Walls Centre for Photonics and Quantum Technologies</t>
  </si>
  <si>
    <t>E. K. F., G. H. L., N. J. R., and P. J. L. have been supported by New Zealand's Deep South National Science Challenge, University of Otago, and the National Institute for Water and Atmospheric Research (NIWA). N. J. R. is also grateful to the Marsden Fund (grant NIW1510). Logistical support was provided by Antarctica New Zealand and Dr. T. Haskell of Callaghan Innovation and technical support from ASL Environmental Sciences. B. Grant, C. Stewart, and P. de Joux of NIWA assisted with oceanographic data collection. D. S. acknowledges the financial support from the Dodd-Walls Centre for Photonics and Quantum Technologies.</t>
  </si>
  <si>
    <t>e2020GL090498</t>
  </si>
  <si>
    <t>10.1029/2020GL090498</t>
  </si>
  <si>
    <t>WOS:000593976300047</t>
  </si>
  <si>
    <t>Hudson, TS; Brisbourne, AM; White, RS; Kendall, JM; Arthern, R; Smith, AM</t>
  </si>
  <si>
    <t>Hudson, T. S.; Brisbourne, A. M.; White, R. S.; Kendall, J. M.; Arthern, R.; Smith, A. M.</t>
  </si>
  <si>
    <t>Breaking the Ice: Identifying Hydraulically Forced Crevassing</t>
  </si>
  <si>
    <t>seismology; glaciology; crevassing; hydrofracture; surface waves; sea level rise</t>
  </si>
  <si>
    <t>AMPLITUDE SPECTRA; DEPTH DETERMINATION; FRACTURE-MECHANICS; GLACIER; MOMENT; SHELVES; DRIVEN; SHEET; DISINTEGRATION; ANTARCTICA</t>
  </si>
  <si>
    <t>Hydraulically forced crevassing is thought to reduce the stability of ice shelves and ice sheets, affecting structural integrity and providing pathways for surface meltwater to the bed. It can cause ice shelves to collapse and ice sheets to accelerate into the ocean. However, direct observations of the hydraulically forced crevassing process remain elusive. Here we report a novel method and observations that use icequakes to directly observe crevassing and determine the role of hydrofracture. Crevasse icequake depths from seismic observations are compared to a theoretically derived maximum dry crevasse depth. We observe icequakes below this depth, suggesting hydrofracture. Furthermore, icequake source mechanisms provide insight into the fracture process, with predominantly opening cracks observed, which have opening volumes of hundredths of a cubic meter. Our method and findings provide a framework for studying a critical process that is key for the stability of ice shelves and ice sheets and, therefore, future sea level rise projections.</t>
  </si>
  <si>
    <t>[Hudson, T. S.; Kendall, J. M.] Univ Oxford, Dept Earth Sci, Oxford, England; [Brisbourne, A. M.; Arthern, R.; Smith, A. M.] British Antarctic Survey, Cambridge, England; [White, R. S.] Univ Cambridge, Bullard Labs, Cambridge, England</t>
  </si>
  <si>
    <t>University of Oxford; UK Research &amp; Innovation (UKRI); Natural Environment Research Council (NERC); NERC British Antarctic Survey; University of Cambridge</t>
  </si>
  <si>
    <t>Hudson, TS (corresponding author), Univ Oxford, Dept Earth Sci, Oxford, England.</t>
  </si>
  <si>
    <t>thomas.hudson@earth.ox.ac.uk</t>
  </si>
  <si>
    <t>Facility, NERC Geophysical Equipment/G-5260-2010; Kendall, Michael/D-5973-2011; Hudson, Thomas/IQS-9833-2023; Brisbourne, Alex/E-6198-2013</t>
  </si>
  <si>
    <t>Kendall, Michael/0000-0002-1486-3945; Hudson, Thomas/0000-0003-2944-883X; Brisbourne, Alex/0000-0002-9887-7120; SMITH, ANDREW/0000-0001-8577-482X; White, Robert/0000-0002-2972-397X</t>
  </si>
  <si>
    <t>Natural Environment Research Council (NERC) Studentship [NE/L002507/1]; NERC [bas0100034] Funding Source: UKRI</t>
  </si>
  <si>
    <t>Natural Environment Research Council (NERC) Studentship(UK Research &amp; Innovation (UKRI)Natural Environment Research Council (NERC)); NERC(UK Research &amp; Innovation (UKRI)Natural Environment Research Council (NERC))</t>
  </si>
  <si>
    <t>T. H. was funded by a Natural Environment Research Council (NERC) Studentship (NE/L002507/1) for the majority of this work. We thank Antony Butcher for his useful conversations regarding the waveform propagation modeling. We thank Hunter Philson, University of Iceland and the Icelandic Glaciological Society, for his fieldwork support, without which this study would not have been possible. We also thank Finnur Palsson and the glaciology group at the University of Iceland for the radar bed topography data and Robert Green for preprocessing the data. Seismometers were borrowed from SeisUK (Geophysical Equipment Facility loan number 1022) and NERC British Antarctic Survey.</t>
  </si>
  <si>
    <t>e2020GL090597</t>
  </si>
  <si>
    <t>10.1029/2020GL090597</t>
  </si>
  <si>
    <t>WOS:000593976300020</t>
  </si>
  <si>
    <t>Oh, JH; Park, W; Lim, HG; Noh, KM; Jin, EK; Kug, JS</t>
  </si>
  <si>
    <t>Oh, Ji-Hoon; Park, Wonsun; Lim, Hyung-Gyu; Noh, Kyung Min; Jin, Emilia Kyung; Kug, Jong-Seong</t>
  </si>
  <si>
    <t>Impact of Antarctic Meltwater Forcing on East Asian Climate Under Greenhouse Warming</t>
  </si>
  <si>
    <t>Antarctic Meltwater; Southern Ocean; East Asia</t>
  </si>
  <si>
    <t>SOUTHERN-OCEAN CONVECTION; SEA-LEVEL RISE; ICE SHELVES; FRESH-WATER; TROPICAL RESPONSE; WEDDELL GYRE; VARIABILITY; DEEP; PACIFIC; CMIP5</t>
  </si>
  <si>
    <t>In recent decades, Antarctic ice sheet/shelf melting has been accelerated, releasing freshwater into the Southern Ocean. It has been suggested that the meltwater flux could lead to cooling in the Southern Hemisphere, which would retard global warming and further induce a northward shift of the Intertropical Convergence Zone (ITCZ). In this study, we use experimental ensemble climate simulations to show that Antarctic meltwater forcing has distinct regional climate impacts over the globe, leading in particular to regional warming in East Asia, which offsets the global cooling effect by the meltwater forcing. It is suggested that Antarctic meltwater forcing leads to a negative precipitation anomaly in the Western North Pacific (WNP) via cooling in the tropics and the northward shift of the ITCZ. This suppressed convection in WNP induces an anticyclonic flow over the North Pacific, which leads to regional warming in East Asia. This hypothesis is supported by analyses of interensemble spread and long-term control simulations.</t>
  </si>
  <si>
    <t>[Oh, Ji-Hoon; Lim, Hyung-Gyu; Noh, Kyung Min; Kug, Jong-Seong] Pohang Univ Sci &amp; Technol POSTECH, Div Environm Sci &amp; Engn, Pohang, South Korea; [Park, Wonsun] GEOMAR Helmholtz Ctr Ocean Res Kiel, Kiel, Germany; [Lim, Hyung-Gyu] Princeton Univ, Atmosphere &amp; Ocean Sci Program, Princeton, NJ 08544 USA; [Jin, Emilia Kyung] Korea Polar Res Inst KOPRI, Incheon, South Korea</t>
  </si>
  <si>
    <t>Pohang University of Science &amp; Technology (POSTECH); Helmholtz Association; GEOMAR Helmholtz Center for Ocean Research Kiel; Princeton University; Korea Polar Research Institute (KOPRI)</t>
  </si>
  <si>
    <t>Kug, JS (corresponding author), Pohang Univ Sci &amp; Technol POSTECH, Div Environm Sci &amp; Engn, Pohang, South Korea.</t>
  </si>
  <si>
    <t>jskug@postech.ac.kr</t>
  </si>
  <si>
    <t>Park, Wonsun/J-8097-2012; Lim, Hyung-Gyu/AAK-6808-2021; KUG, JONG-SEONG/A-8053-2013; oh, ji-hoon/HLH-1827-2023; Lim, Hyung-Gyu/GYD-9716-2022</t>
  </si>
  <si>
    <t>Park, Wonsun/0000-0002-6345-8428; Lim, Hyung-Gyu/0000-0002-0746-5332; Lim, Hyung-Gyu/0000-0002-0746-5332; KUG, JONG-SEONG/0000-0003-2251-2579; Oh, Ji-Hoon/0000-0001-8484-8997; Noh, Kyung-Min/0000-0003-4233-4490; Jin, Emilia/0000-0002-5257-3340</t>
  </si>
  <si>
    <t>Korean Ministry of Oceans and Fisheries [KIMST20190361, PM20020]; European Union's Horizon 2020 research and innovation programme [821001]; National Research Foundation of Korea [NRF-2017R1A2B3011511]; H2020 Societal Challenges Programme [821001] Funding Source: H2020 Societal Challenges Programme</t>
  </si>
  <si>
    <t>Korean Ministry of Oceans and Fisheries; European Union's Horizon 2020 research and innovation programme; National Research Foundation of Korea(National Research Foundation of Korea); H2020 Societal Challenges Programme(Horizon 2020European Union (EU)H2020 Societal Challenges Programme)</t>
  </si>
  <si>
    <t>This work was sponsored by a research grant from the Korean Ministry of Oceans and Fisheries (KIMST20190361 and PM20020). W. P. received funding from the European Union's Horizon 2020 research and innovation programme under Grant Agreement No. 821001 (SO-CHIC). J.-S. Kug is partly supported by the National Research Foundation of Korea (NRF-2017R1A2B3011511).</t>
  </si>
  <si>
    <t>e2020GL089951</t>
  </si>
  <si>
    <t>10.1029/2020GL089951</t>
  </si>
  <si>
    <t>WOS:000593976300058</t>
  </si>
  <si>
    <t>Rao, J; Garfinkel, CI</t>
  </si>
  <si>
    <t>Rao, Jian; Garfinkel, Chaim I.</t>
  </si>
  <si>
    <t>Arctic Ozone Loss in March 2020 and its Seasonal Prediction in CFSv2: A Comparative Study With the 1997 and 2011 Cases</t>
  </si>
  <si>
    <t>Arctic ozone loss; stratospheric polar vortex; predictability</t>
  </si>
  <si>
    <t>SOUTHERN ANNULAR MODE; ANOMALOUSLY LOW OZONE; STRATOSPHERIC OZONE; TROPOSPHERIC CIRCULATION; CLIMATE; HEMISPHERE; DEPLETION; PRECIPITATION; TRANSPORT; ENSEMBLE</t>
  </si>
  <si>
    <t>Using reanalysis data, observations, and seasonal forecasts, the March Arctic ozone loss events in 1997, 2011, and 2020 and their predictability are compared. All of the three ozone loss events were accompanied by an extremely strong and cold polar vortex, with the shape and centroid of the ozone loss controlled by the polar vortex. The high autocorrelation of the March Arctic ozone at a lead/lag time of 1-2 months from observations might suggest that a reasonable prediction can be obtained if one initializes 1-2 months in advance. Based on the chemical scheme assessment in CFSv2 and several empirical models using the forecasted metric(s) of the stratospheric polar vortex as predictor(s), the predictability of the 2011 ozone loss event is shown to be longer (1-2 months) than the other two (similar to 1 month), possibly due to a moderate La Nina and quasi-biennial oscillation westerly winds favorable for the formation of a strong polar vortex. However, the overall predictive skills of ozone from empirical models (using a forecasted substitute index to forecast the Arctic ozone) during 1982-2020 are lower than the chemical module assessment in the forecast system, though empirical models have some skill. Contrary to the ozone predictions, the lower tropospheric temperature pattern in March 2011 is less reasonable than in 1997 and 2020. Similar conclusions are also true in other years (2005 versus 2016). Those findings might indicate a weak relationship between the Arctic ozone and the surface climate in the Northern Hemisphere. Plain Language Summary Extremely low ozone concentrations (or an ozone hole) develop in the Antarctic every austral spring in present-day atmospheric burdens of ozone-depleting substances. However, similar ozone losses are not observed in the Arctic, though in 1997, 2011, and 2020, ozone loss locally approached that in the Antarctic. This study focuses on the meteorological conditions and predictability for those Arctic ozone loss events. All of the three historical ozone loss events were related to a stratospheric circulation system encircling North Pole (i.e., the stratospheric polar vortex). The shape and centroid of the ozone losses were also controlled by the polar vortex: the ozone loss in March 2020 was displaced toward the North American sector, the March 2011 ozone loss was centered over the North Pole, while the 1997 ozone loss was displaced toward the Eurasian sector. Using the chemical scheme in a seasonal forecasting model and/or empirical models, the lead times for forecasting the three ozone loss events are different due to the tropical forcing. The moderate cold state in the tropical Pacific (i.e., La Nina) and westerly winds in the equatorial stratosphere (i.e., westerly QBO) propel the predictability of the 2011 ozone loss event to around 1-2 months, while the 1997 and 2020 March ozone losses can only be forecasted similar to 1 month in advance. Nevertheless, a good prediction of the stratospheric ozone shows little impact on the surface predictability in the Northern Hemisphere.</t>
  </si>
  <si>
    <t>[Rao, Jian] Nanjing Univ Informat Sci &amp; Technol, Key Lab Meteorol Disaster, Joint Int Res Lab Climate &amp; Environm Change ILCEC, Minist Educ KLME,Collaborat Innovat Ctr Forecast, Nanjing, Peoples R China; [Rao, Jian; Garfinkel, Chaim I.] Hebrew Univ Jerusalem, Fredy &amp; Nadine Herrmann Inst Earth Sci, Jerusalem, Israel</t>
  </si>
  <si>
    <t>Nanjing University of Information Science &amp; Technology; Hebrew University of Jerusalem</t>
  </si>
  <si>
    <t>Rao, J (corresponding author), Nanjing Univ Informat Sci &amp; Technol, Key Lab Meteorol Disaster, Joint Int Res Lab Climate &amp; Environm Change ILCEC, Minist Educ KLME,Collaborat Innovat Ctr Forecast, Nanjing, Peoples R China.;Rao, J (corresponding author), Hebrew Univ Jerusalem, Fredy &amp; Nadine Herrmann Inst Earth Sci, Jerusalem, Israel.</t>
  </si>
  <si>
    <t>raojian@nuist.edu.cn</t>
  </si>
  <si>
    <t>garfinkel, chaim I/AAA-1134-2020; Rao, Jian/O-3392-2019</t>
  </si>
  <si>
    <t>garfinkel, chaim I/0000-0001-7258-666X; Rao, Jian/0000-0001-5030-0288</t>
  </si>
  <si>
    <t>National Key R&amp;D Program of China [2016YFA0602104]; National Natural Science Foundation of China [41705024]; ISF-NSFC joint research program [3259/19]; European Research Council starting grant under the European Union's Horizon 2020 research and innovation program [677756]</t>
  </si>
  <si>
    <t>National Key R&amp;D Program of China; National Natural Science Foundation of China(National Natural Science Foundation of China (NSFC)); ISF-NSFC joint research program; European Research Council starting grant under the European Union's Horizon 2020 research and innovation program(European Research Council (ERC))</t>
  </si>
  <si>
    <t>The authors acknowledge the National Key R&amp;D Program of China (2016YFA0602104) and the National Natural Science Foundation of China (41705024). This research was also supported by the ISF-NSFC joint research program (3259/19) and the European Research Council starting grant under the European Union's Horizon 2020 research and innovation program (677756).</t>
  </si>
  <si>
    <t>e2020JD033524</t>
  </si>
  <si>
    <t>10.1029/2020JD033524</t>
  </si>
  <si>
    <t>OV0FL</t>
  </si>
  <si>
    <t>WOS:000591896900018</t>
  </si>
  <si>
    <t>Jacquet, E; Piralla, M; Kersaho, P; Marrocchi, Y</t>
  </si>
  <si>
    <t>Jacquet, Emmanuel; Piralla, Maxime; Kersaho, Pauline; Marrocchi, Yves</t>
  </si>
  <si>
    <t>Origin of isolated olivine grains in carbonaceous chondrites</t>
  </si>
  <si>
    <t>OXYGEN-ISOTOPE SYSTEMATICS; PRIMITIVE METEORITES; COMPOUND CHONDRULES; ORGANIC-MATTER; CV3 CHONDRITES; TRACE-ELEMENT; FEO-POOR; DUST; CONDENSATION; FORSTERITE</t>
  </si>
  <si>
    <t>We report microscopic, cathodoluminescence, chemical, and O isotopic measurements of FeO-poor isolated olivine grains (IOG) in the carbonaceous chondrites Allende (CV3), Northwest Africa 5958 (C2-ung), Northwest Africa 11086 (CM2-an), and Allan Hills 77307 (CO3.0). The general petrographic, chemical, and isotopic similarity with bona fide type I chondrules confirms that the IOG derived from them. The concentric CL zoning, reflecting a decrease in refractory elements toward the margins, and frequent rimming by enstatite are taken as evidence of interaction of the IOG with the gas as stand-alone objects. This indicates that they were splashed out of chondrules when these were still partially molten. CaO-rich refractory forsterites, which are restricted to increment O-17 &lt;-4 parts per thousand likely escaped equilibration at lower temperatures because of their large size and possibly quicker quenching. The IOG thus bear witness to frequent collisions in the chondrule-forming regions.</t>
  </si>
  <si>
    <t>[Jacquet, Emmanuel] Sorbonne Univ, CNRS, Inst Mineral Phys Mat &amp; Cosmochim IMPMC, Museum Natl Hist Nat, CP52,57 Rue Cuvier, F-75005 Paris, France; [Piralla, Maxime; Kersaho, Pauline; Marrocchi, Yves] Univ Lorraine, UMR 7358, CNRS, Ctr Rech Petrog &amp; Geochim, F-54501 Vandoeuvre Les Nancy, France</t>
  </si>
  <si>
    <t>Museum National d'Histoire Naturelle (MNHN); Centre National de la Recherche Scientifique (CNRS); Sorbonne Universite; Centre National de la Recherche Scientifique (CNRS); CNRS - National Institute for Earth Sciences &amp; Astronomy (INSU); Universite de Lorraine</t>
  </si>
  <si>
    <t>Jacquet, E (corresponding author), Sorbonne Univ, CNRS, Inst Mineral Phys Mat &amp; Cosmochim IMPMC, Museum Natl Hist Nat, CP52,57 Rue Cuvier, F-75005 Paris, France.</t>
  </si>
  <si>
    <t>; Marrocchi, Yves/D-8297-2019</t>
  </si>
  <si>
    <t>Piralla, Maxime/0000-0001-9332-6250; Marrocchi, Yves/0000-0001-7075-3698</t>
  </si>
  <si>
    <t>NSF; NASA; Department of Mineral Sciences of the Smithsonian Institution and Astromaterials Curation Office at NASA Johnson Space Center; Agence Nationale de la Recherche (ANR) [ANR-14-CE33-0002-01, ANR-18-CE31-0010-01, ANR-15-CE310004-1]; Agence Nationale de la Recherche (ANR) [ANR-18-CE31-0010, ANR-14-CE33-0002] Funding Source: Agence Nationale de la Recherche (ANR)</t>
  </si>
  <si>
    <t>NSF(National Science Foundation (NSF)); NASA(National Aeronautics &amp; Space Administration (NASA)); Department of Mineral Sciences of the Smithsonian Institution and Astromaterials Curation Office at NASA Johnson Space Center; Agence Nationale de la Recherche (ANR)(Agence Nationale de la Recherche (ANR)); Agence Nationale de la Recherche (ANR)(Agence Nationale de la Recherche (ANR))</t>
  </si>
  <si>
    <t>We thank the associate editor and two anonymous reviewers for their extensive reviews, which substantially improved the readability of the discussion. We are grateful to the Museum national d'Histoire naturelle de Paris for the NWA 5958 and Allende samples. The MNHN gives access to the collections in the framework of the RECOLNAT National Research Infrastructure. We thank the Meteorite Working Group at the Johnson Space Center for the loan of the ALHA77307 sample.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This research was funded by the Agence Nationale de la Recherche (ANR) through Grant ANR-14-CE33-0002-01 SAPINS (Principal Investigator Yves Marrocchi), ANR-18-CE31-0010-01 CASSYSS (coInvestigator Yves Marrocchi.), and ANR-15-CE310004-1 CRADLE (co-Investigator Emmanuel Jacquet). This article is dedicated to the memory of Nicole Guilhaumou.</t>
  </si>
  <si>
    <t>10.1111/maps.13583</t>
  </si>
  <si>
    <t>QM6YD</t>
  </si>
  <si>
    <t>WOS:000589525600001</t>
  </si>
  <si>
    <t>Tortello, C; Folgueira, A; Nicolas, M; Cuiuli, JM; Cairoli, G; Crippa, V; Barbarito, M; Abulafia, C; Golombek, DA; Vigo, DE; Plano, SA</t>
  </si>
  <si>
    <t>Tortello, Camila; Folgueira, Agustin; Nicolas, Michel; Cuiuli, Juan Manuel; Cairoli, German; Crippa, Valeria; Barbarito, Marta; Abulafia, Carolina; Golombek, Diego Andres; Vigo, Daniel Eduardo; Plano, Santiago Andres</t>
  </si>
  <si>
    <t>Coping with Antarctic demands: Psychological implications of isolation and confinement</t>
  </si>
  <si>
    <t>STRESS AND HEALTH</t>
  </si>
  <si>
    <t>coping strategies; extreme environment; group dynamics; mood; stress</t>
  </si>
  <si>
    <t>DEFENSE-MECHANISMS; SPANISH VERSION; LEADERSHIP ROLES; WINTER-OVER; LONG; EXPEDITIONERS; PERFORMANCE; ADAPTATION; INVENTORY; ENVIRONMENTS</t>
  </si>
  <si>
    <t>Working in extreme environments requires a wide range of cognitive, psychological and social competences. Antarctica represents one of the most challenging habitats to work in due to its aridity, extremely cold weather, and isolated conditions. This study aimed to assess mood variations and coping strategies, as well as their possible modulation by group dynamics in a crew at the Belgrano II Argentine Antarctic Station throughout 1 year of confinement. Thirteen members of the Argentine Army completed emotional, coping and social dynamics questionnaires bimonthly in March, May, July, September and November. Results showed a significant decline in social dynamics scales, evidenced by decreases in perceived peer and hierarchical support. Additionally, coping strategies displayed a drop in mature defence throughout the expedition. A positive correlation was found between social support and recovery from stress. Our results highlight the importance of interpersonal relationships in psychological adjustment to isolation and extreme environments.</t>
  </si>
  <si>
    <t>[Tortello, Camila; Golombek, Diego Andres; Plano, Santiago Andres] Natl Univ Quilmes UNQ, Chronobiol Lab, Buenos Aires, DF, Argentina; [Tortello, Camila; Abulafia, Carolina; Vigo, Daniel Eduardo; Plano, Santiago Andres] Catholic Univ Argentina UCA, Inst Biomed Res BIOMED, Buenos Aires, DF, Argentina; [Tortello, Camila; Abulafia, Carolina; Golombek, Diego Andres; Vigo, Daniel Eduardo; Plano, Santiago Andres] Consejo Nacl Invest Cient &amp; Tecn, Natl Sci &amp; Tech Res Council, Buenos Aires, DF, Argentina; [Folgueira, Agustin] Argentine Army, Cent Mil Hosp, Neurol Dept, Buenos Aires, DF, Argentina; [Nicolas, Michel] Univ Bourgogne Franche Comte, Lab PsyDREPI, EA 7458, Dijon, France; [Cuiuli, Juan Manuel; Cairoli, German; Crippa, Valeria] Argentine Joint Antarctic Command, Buenos Aires, DF, Argentina; [Barbarito, Marta] Argentine Antarctic Inst, Buenos Aires, DF, Argentina; [Abulafia, Carolina] Inst Neurol Res FLENI, Raul Carrea Inst Neurol Res, Movement Disorders Unit, Buenos Aires, DF, Argentina; [Vigo, Daniel Eduardo] Katholieke Univ Leuven, Fac Psychol &amp; Educ Sci, Leuven, Belgium</t>
  </si>
  <si>
    <t>Pontificia Universidad Catolica Argentina; Consejo Nacional de Investigaciones Cientificas y Tecnicas (CONICET); University of Buenos Aires; Universite de Bourgogne; KU Leuven</t>
  </si>
  <si>
    <t>Vigo, DE; Plano, SA (corresponding author), Alicia Moreau Justo 1500,4 Piso,C1107AAZ, Buenos Aires, DF, Argentina.</t>
  </si>
  <si>
    <t>dvigo@conicet.gov.ar; santiagoplano@uca.edu.ar</t>
  </si>
  <si>
    <t>NICOLAS, Michel/AAZ-6390-2021; Abulafia, Carolina/JNE-8280-2023</t>
  </si>
  <si>
    <t>NICOLAS, Michel/0000-0001-7206-671X; Vigo, Daniel Eduardo/0000-0003-2291-245X</t>
  </si>
  <si>
    <t>Ministry of Defense [PIDEFF 2014-2017 no06]; Agencia Nacional de Promocion Cientifica y Tecnica (ANPCyT) [PICTO 2017-0068]; Agencia Nacional de Promocion Cientifica y Tecnologica</t>
  </si>
  <si>
    <t>Ministry of Defense; Agencia Nacional de Promocion Cientifica y Tecnica (ANPCyT)(ANPCyT); Agencia Nacional de Promocion Cientifica y Tecnologica(ANPCyTSpanish Government)</t>
  </si>
  <si>
    <t>Ministry of Defense, Grant/Award Number: PIDEFF 2014-2017 no06; Agencia Nacional de Promocion Cientifica y Tecnica (ANPCyT), Grant/Award Number: PICTO 2017-0068; Agencia Nacional de Promocion Cientifica y Tecnologica, Grant/Award Number: Unassigned</t>
  </si>
  <si>
    <t>1532-3005</t>
  </si>
  <si>
    <t>1532-2998</t>
  </si>
  <si>
    <t>STRESS HEALTH</t>
  </si>
  <si>
    <t>Stress Health</t>
  </si>
  <si>
    <t>AUG</t>
  </si>
  <si>
    <t>10.1002/smi.3006</t>
  </si>
  <si>
    <t>Psychology, Applied; Psychiatry; Psychology</t>
  </si>
  <si>
    <t>Psychology; Psychiatry</t>
  </si>
  <si>
    <t>TW6UP</t>
  </si>
  <si>
    <t>Bronze, Green Published</t>
  </si>
  <si>
    <t>WOS:000589599600001</t>
  </si>
  <si>
    <t>Lin, JT; Lin, CH; Rajesh, PK; Yue, J; Lin, CY; Matsuo, T</t>
  </si>
  <si>
    <t>Lin, J. T.; Lin, C. H.; Rajesh, P. K.; Yue, Jia; Lin, C. Y.; Matsuo, T.</t>
  </si>
  <si>
    <t>Local-Time and Vertical Characteristics of Quasi-6-Day Oscillation in the Ionosphere During the 2019 Antarctic Sudden Stratospheric Warming</t>
  </si>
  <si>
    <t>EQUATORIAL ELECTROJET; VARIABILITY; SOLAR; WAVE; TIDES; MODEL</t>
  </si>
  <si>
    <t>This study investigates new characteristics of ionospheric modulations driven by quasi-6-day wave (Q6DW) burst following a rare Antarctic sudden stratospheric warming (SSW) in September 2019. Local-time and vertical variations of the amplitude and phase of quasi-6-day oscillation (Q6DO) in the ionosphere are examined by using data assimilation analysis of electron density from three-dimensional Global Ionosphere Specification (GIS). The maximum amplitudes of Q6DO are located symmetrically +/- 20 degrees off the magnetic equator at similar to 12 LT, with a secondary peak at 17 LT. The amplitude of Q6DO weakens at 15 LT, with a sudden phase shift, suggesting multiple dynamo processes driving the Q6DO-related ionospheric variations. The altitude-latitude structure of Q6DO shows that the ionospheric modulations extend beyond the equatorial ionization anomaly, indicating the wind dynamo source regions at higher latitudes. A likely physical mechanism is discussed based on possible interactions of Q6DW and semidiurnal migrating tides leading to the dynamo modulation and phase differences. Plain Language Summary Sudden stratospheric warming (SSW) is an extreme meteorological phenomenon in the polar stratosphere, which usually occurs in the Northern Hemisphere. Numerous studies have shown that the SSW can significantly disturb the entire atmosphere from the troposphere all the way to the upper thermosphere and ionosphere. In September 2019, a rare and record-breaking SSW occurred in the Antarctic region, providing an opportunity to investigate the ionospheric variabilities connected to the Antarctic SSW, which is seldom explored. In this study, we present observations of the time evolution and vertical structure of quasi-6-day oscillation (Q6DO) in the ionosphere generated from the unusually large quasi-6-day wave (Q6DW) in the mesosphere and lower thermosphere. Our results show that the observed Q6DO behavior in the ionosphere is quite different from climatological characteristics in the local time and vertical structure, which indicates that the coupling mechanisms driving the ionospheric variability are complex due to the presence of Antarctic SSW.</t>
  </si>
  <si>
    <t>[Lin, J. T.; Lin, C. H.; Rajesh, P. K.] Natl Cheng Kung Univ, Dept Earth Sci, Tainan, Taiwan; [Yue, Jia] Catholic Univ Amer, Phys Dept, Washington, DC USA; [Yue, Jia] NASA Goddard Flight Ctr, Greenbelt, MD USA; [Lin, C. Y.] Natl Cent Univ, Ctr Astronaut Phys &amp; Engn, Taoyuan, Taiwan; [Lin, C. Y.] Natl Cent Univ, Dept Space Sci &amp; Engn, Taoyuan, Taiwan; [Matsuo, T.] Univ Colorado, Ann &amp; H J Smead Dept Aerosp Engn, Boulder, CO 80309 USA</t>
  </si>
  <si>
    <t>National Cheng Kung University; Catholic University of America; National Central University; National Central University; University of Colorado System; University of Colorado Boulder</t>
  </si>
  <si>
    <t>Lin, CH (corresponding author), Natl Cheng Kung Univ, Dept Earth Sci, Tainan, Taiwan.</t>
  </si>
  <si>
    <t>charles@mail.ncku.edu.tw</t>
  </si>
  <si>
    <t>Yue, Jia/D-8177-2011; Rajesh, P. K./H-3378-2017</t>
  </si>
  <si>
    <t>Yue, Jia/0000-0003-0577-5289; Lin, Jia-Ting/0000-0002-3206-7045; MATSUO, TOMOKO/0000-0002-2754-1224; Lin, Charles C. H./0000-0001-8955-8753; Rajesh, P. K./0000-0002-0859-7345</t>
  </si>
  <si>
    <t>Ministry of Science and Technology (MOST), Taiwan [MOST-108-2638-M-006-001-MY2]; National Space Organization (NSPO) [NSPO-S-109065]</t>
  </si>
  <si>
    <t>Ministry of Science and Technology (MOST), Taiwan(Ministry of Science and Technology, Taiwan); National Space Organization (NSPO)</t>
  </si>
  <si>
    <t>This work is supported by the Ministry of Science and Technology (MOST), Taiwan under MOST-108-2638-M-006-001-MY2 and National Space Organization (NSPO) under NSPO-S-109065. C. H. L. thanks Jens Oberheide for the discussion inspiring the study.</t>
  </si>
  <si>
    <t>e2020GL090345</t>
  </si>
  <si>
    <t>10.1029/2020GL090345</t>
  </si>
  <si>
    <t>WOS:000593976300049</t>
  </si>
  <si>
    <t>Silvano, A; Foppert, A; Rintoul, SR; Holland, PR; Tamura, T; Kimura, N; Castagno, P; Falco, P; Budillon, G; Haumann, FA; Garabato, ANC; Macdonald, AM</t>
  </si>
  <si>
    <t>Silvano, Alessandro; Foppert, Annie; Rintoul, Stephen R.; Holland, Paul R.; Tamura, Takeshi; Kimura, Noriaki; Castagno, Pasquale; Falco, Pierpaolo; Budillon, Giorgio; Haumann, F. Alexander; Naveira Garabato, Alberto C.; Macdonald, Alison M.</t>
  </si>
  <si>
    <t>Recent recovery of Antarctic Bottom Water formation in the Ross Sea driven by climate anomalies</t>
  </si>
  <si>
    <t>NATURE GEOSCIENCE</t>
  </si>
  <si>
    <t>ICE MOTION; VARIABILITY; CIRCULATION; MELTWATER; AMUNDSEN; BUDGETS; IMPACT; FLUX</t>
  </si>
  <si>
    <t>Interacting atmospheric circulation patterns are responsible for a recent reversal of a decades-long decline in deepwater formation on the Antarctic shelf, according to an analysis of in situ and remote sensing data from the Ross Sea. Antarctic Bottom Water (AABW) supplies the lower limb of the global overturning circulation, ventilates the abyssal ocean and sequesters heat and carbon on multidecadal to millennial timescales. AABW originates on the Antarctic continental shelf, where strong winter cooling and brine released during sea ice formation produce Dense Shelf Water, which sinks to the deep ocean. The salinity, density and volume of AABW have decreased over the last 50 years, with the most marked changes observed in the Ross Sea. These changes have been attributed to increased melting of the Antarctic Ice Sheet. Here we use in situ observations to document a recovery in the salinity, density and thickness (that is, depth range) of AABW formed in the Ross Sea, with properties in 2018-2019 similar to those observed in the 1990s. The recovery was caused by increased sea ice formation on the continental shelf. Increased sea ice formation was triggered by anomalous wind forcing associated with the unusual combination of positive Southern Annular Mode and extreme El Nino conditions between 2015 and 2018. Our study highlights the sensitivity of AABW formation to remote forcing and shows that climate anomalies can drive episodic increases in local sea ice formation that counter the tendency for increased ice-sheet melt to reduce AABW formation.</t>
  </si>
  <si>
    <t>[Silvano, Alessandro; Naveira Garabato, Alberto C.] Univ Southampton, Natl Oceanog Ctr, Ocean &amp; Earth Sci, Southampton, Hants, England; [Silvano, Alessandro; Foppert, Annie; Rintoul, Stephen R.] CSIRO Oceans &amp; Atmosphere, Hobart, Tas, Australia; [Silvano, Alessandro; Foppert, Annie; Rintoul, Stephen R.] Ctr Southern Hemisphere Oceans Res, Hobart, Tas, Australia; [Foppert, Annie; Rintoul, Stephen R.] Univ Tasmania, Australian Antarct Program Partnership, Hobart, Tas, Australia; [Holland, Paul R.; Haumann, F. Alexander] British Antarctic Survey, Cambridge, England; [Tamura, Takeshi] Natl Inst Polar Res, Tachikawa, Tokyo, Japan; [Tamura, Takeshi] Grad Univ Adv Studies, SOKENDAI, Tachikawa, Tokyo, Japan; [Kimura, Noriaki] Univ Tokyo, Atmosphere &amp; Ocean Res Inst, Tokyo, Japan; [Castagno, Pasquale; Falco, Pierpaolo; Budillon, Giorgio] Parthenope Univ, Dept Sci &amp; Technol, Naples, Italy; [Falco, Pierpaolo; Budillon, Giorgio] Consorzio Nazl Interuniv Sci Mare, Rome, Italy; [Haumann, F. Alexander] Princeton Univ, Atmospher &amp; Ocean Sci, Princeton, NJ 08544 USA; [Macdonald, Alison M.] Woods Hole Oceanog Inst, Woods Hole, MA USA</t>
  </si>
  <si>
    <t>University of Southampton; NERC National Oceanography Centre; Commonwealth Scientific &amp; Industrial Research Organisation (CSIRO); University of Tasmania; UK Research &amp; Innovation (UKRI); Natural Environment Research Council (NERC); NERC British Antarctic Survey; Research Organization of Information &amp; Systems (ROIS); National Institute of Polar Research (NIPR) - Japan; Graduate University for Advanced Studies - Japan; University of Tokyo; Parthenope University Naples; CoNISMa; Princeton University; Woods Hole Oceanographic Institution</t>
  </si>
  <si>
    <t>Silvano, A (corresponding author), Univ Southampton, Natl Oceanog Ctr, Ocean &amp; Earth Sci, Southampton, Hants, England.;Silvano, A (corresponding author), CSIRO Oceans &amp; Atmosphere, Hobart, Tas, Australia.;Silvano, A (corresponding author), Ctr Southern Hemisphere Oceans Res, Hobart, Tas, Australia.</t>
  </si>
  <si>
    <t>A.Silvano@soton.ac.uk</t>
  </si>
  <si>
    <t>Garabato, Alberto Naveira/AAQ-1114-2020; Holland, Paul R/G-2796-2012; Castagno, Pasquale/JAC-6923-2023; Haumann, Alexander/J-6679-2014; Castagno, Pasquale/HCI-3939-2022</t>
  </si>
  <si>
    <t>Garabato, Alberto Naveira/0000-0001-6071-605X; Haumann, Alexander/0000-0002-8218-977X; Foppert, Annie/0000-0003-2958-1454; Falco, Pierpaolo/0000-0002-5130-5440; Silvano, Alessandro/0000-0002-6441-1496; Castagno, Pasquale/0000-0002-5705-1066</t>
  </si>
  <si>
    <t>Centre for Southern Hemisphere Oceans Research (CSHOR); Antarctic Climate and Ecosystems Cooperative Research Centre; Australian Antarctic Program Partnership; Earth Systems and Climate Change Hub of the Australian Government's National Environmental Science Program; NERC [NE/SO11994/1]; SNSF [P2EZP2_175162, P400P2_186681]; NSF [PLR-1425989]; NERC [bas0100033] Funding Source: UKRI; Swiss National Science Foundation (SNF) [P2EZP2_175162, P400P2_186681] Funding Source: Swiss National Science Foundation (SNF); Grants-in-Aid for Scientific Research [20H05707] Funding Source: KAKEN</t>
  </si>
  <si>
    <t>Centre for Southern Hemisphere Oceans Research (CSHOR); Antarctic Climate and Ecosystems Cooperative Research Centre(Australian GovernmentDepartment of Industry, Innovation and ScienceCooperative Research Centres (CRC) Programme); Australian Antarctic Program Partnership; Earth Systems and Climate Change Hub of the Australian Government's National Environmental Science Program; NERC(UK Research &amp; Innovation (UKRI)Natural Environment Research Council (NERC)); SNSF(Swiss National Science Foundation (SNSF)); NSF(National Science Foundation (NSF)); NERC(UK Research &amp; Innovation (UKRI)Natural Environment Research Council (NERC)); Swiss National Science Foundation (SNF)(Swiss National Science Foundation (SNSF)); Grants-in-Aid for Scientific Research(Ministry of Education, Culture, Sports, Science and Technology, Japan (MEXT)Japan Society for the Promotion of ScienceGrants-in-Aid for Scientific Research (KAKENHI))</t>
  </si>
  <si>
    <t>This research was supported by the Centre for Southern Hemisphere Oceans Research (CSHOR), a partnership between the Commonwealth Scientific and Industrial Research Organisation (CSIRO) and the Qingdao National Laboratory for Marine Science, as well as the Antarctic Climate and Ecosystems Cooperative Research Centre, the Australian Antarctic Program Partnership and the Earth Systems and Climate Change Hub of the Australian Government's National Environmental Science Program. A.S., P.R.H. and A.C.N.G. acknowledge funding from NERC (grant number NE/SO11994/1). F.A.H. was supported by SNSF grant numbers P2EZP2_175162 and P400P2_186681 and NSF grant number PLR-1425989.</t>
  </si>
  <si>
    <t>1752-0894</t>
  </si>
  <si>
    <t>1752-0908</t>
  </si>
  <si>
    <t>NAT GEOSCI</t>
  </si>
  <si>
    <t>Nat. Geosci.</t>
  </si>
  <si>
    <t>10.1038/s41561-020-00655-3</t>
  </si>
  <si>
    <t>OZ3OH</t>
  </si>
  <si>
    <t>WOS:000589999100001</t>
  </si>
  <si>
    <t>Zhao, RX; Symonds, JE; Walker, SP; Steiner, K; Carter, CG; Bowman, JP; Nowak, BF</t>
  </si>
  <si>
    <t>Zhao, Ruixiang; Symonds, Jane E.; Walker, Seumas P.; Steiner, Konstanze; Carter, Chris G.; Bowman, John P.; Nowak, Barbara F.</t>
  </si>
  <si>
    <t>Salinity and fish age affect the gut microbiota of farmed Chinook salmon (Oncorhynchus tshawytscha)</t>
  </si>
  <si>
    <t>Chinook salmon; Gut microbiota; Next-generation sequencing; 16S rRNA gene</t>
  </si>
  <si>
    <t>LACTIC-ACID BACTERIA; ATLANTIC SALMON; SALAR L.; RAINBOW-TROUT; PROPIONIBACTERIUM-ACNES; INTESTINAL MICROBIOTA; CLOSTRIDIUM-BOTULINUM; IMMUNE-RESPONSE; ENHANCEMENT; AQUACULTURE</t>
  </si>
  <si>
    <t>Detailed classification and characterisation of the gut microbial community and understanding of factors affecting the microbiota are essential to understand the relationship between Chinook salmon (Oncorhynchus tshawytscha) gut microbiota and fish health. Here we evaluated the multiple effects of biotic and abiotic factors on the gut microbial community composition of farmed Chinook salmon, based on high-throughput sequencing of 16S rRNA gene V1-V3 amplicons. Gastrointestinal microbial community composition was highly dynamic between freshwater and saltwater conditions but similar among individual fish. A high abundance of Proteobacteria and a relatively low abundance of lactic acid bacteria (LAB) were detected in farmed Chinook salmon regardless of salinity. Species richness and diversity were significantly higher in freshwater farmed salmon than in those farmed in the marine environment. Water temperature and farming location displayed relatively minor effects on gut microbiota, while fish age had significant effects on the beta diversity of gut microbiota in both freshwater and saltwater habitats. Our study provided a detailed description of the gut microbial community of farmed Chinook salmon during grow out and contributed to a greater understanding of the effects of fish age and water salinity on the gut microbiota modulation.</t>
  </si>
  <si>
    <t>[Zhao, Ruixiang; Carter, Chris G.; Nowak, Barbara F.] Univ Tasmania, Inst Marine &amp; Antarctic Studies, Newnham 7248, Australia; [Symonds, Jane E.; Walker, Seumas P.; Steiner, Konstanze] Cawthron Inst, Nelson 7010, New Zealand; [Bowman, John P.] Univ Tasmania, Tasmania Inst Agr Res, Hobart, Tas 7005, Australia; [Carter, Chris G.] Blue Econ Cooperat Res Ctr, Hobart, Tas 7000, Australia</t>
  </si>
  <si>
    <t>University of Tasmania; Cawthron Institute; University of Tasmania; University of Western Australia</t>
  </si>
  <si>
    <t>Nowak, BF (corresponding author), Room 313,Sci Bldg,Sch Rd, Newnham, Tas 7248, Australia.</t>
  </si>
  <si>
    <t>B.Nowak@utas.edu.au</t>
  </si>
  <si>
    <t>Bowman, John P/C-2414-2014; Bowman, John P./ABF-5108-2020; Carter, Chris Guy/A-3438-2008; Nowak, Barbara/J-7261-2014</t>
  </si>
  <si>
    <t>Bowman, John P/0000-0002-4528-9333; Bowman, John P./0000-0002-4528-9333; Carter, Chris Guy/0000-0001-5210-1282; Nowak, Barbara/0000-0002-0347-643X; Symonds, Jane/0000-0001-8307-423X</t>
  </si>
  <si>
    <t>New Zealand Ministry of Business, Innovation and Employment (MBIE) Efficient Salmon research program [CAWX1606]</t>
  </si>
  <si>
    <t>New Zealand Ministry of Business, Innovation and Employment (MBIE) Efficient Salmon research program(New Zealand Ministry of Business, Innovation and Employment (MBIE))</t>
  </si>
  <si>
    <t>This study was funded by the New Zealand Ministry of Business, Innovation and Employment (MBIE) Efficient Salmon research program [CAWX1606] and is a collaboration between the University of Tasmanian, Australia and the Cawthron Institute, New Zealand.</t>
  </si>
  <si>
    <t>NOV 15</t>
  </si>
  <si>
    <t>10.1016/j.aquaculture.2020.735539</t>
  </si>
  <si>
    <t>MR6DN</t>
  </si>
  <si>
    <t>WOS:000553682600003</t>
  </si>
  <si>
    <t>Strass, VH; Rohardt, G; Kanzow, T; Hoppema, M; Boebel, O</t>
  </si>
  <si>
    <t>Strass, Volker H.; Rohardt, Gerd; Kanzow, Torsten; Hoppema, Mario; Boebel, Olaf</t>
  </si>
  <si>
    <t>Multidecadal Warming and Density Loss in the Deep Weddell Sea, Antarctica</t>
  </si>
  <si>
    <t>Ocean; Southern Ocean; Ocean circulation; Ocean dynamics; In situ oceanic observations</t>
  </si>
  <si>
    <t>The World Ocean is estimated to store more than 90% of the excess energy resulting from man-made greenhouse gas-driven radiative forcing as heat. Uncertainties of this estimate are related to undersampling of the subpolar and polar regions and of the depths below 2000 m. Here we present measurements from the Weddell Sea that cover the whole water column down to the sea floor, taken by the same accurate method at locations revisited every few years since 1989. Our results show widespread warming with similar long-term temperature trends below 700-m depth at all sampling sites. The mean heating rate below 2000m exceeds that of the global ocean by a factor of about 5. Salinity tends to increase-in contrast to other Southern Ocean regions-at most sites and depths below 700 m, but nowhere strongly enough to fully compensate for the warming effect on seawater density, which hence shows a general decrease. In the top 700m neither temperature nor salinity shows clear trends. A closer look at the vertical distribution of changes along an approximately zonal and a meridional section across the Weddell Gyre reveals that the strongest vertically coherent warming is observed at the flanks of the gyre over the deep continental slopes and at its northern edge where the gyre connects to the Antarctic Circumpolar Current (ACC). Most likely, the warming of the interior Weddell Sea is driven by changes of the Weddell Gyre strength and its interaction with the ACC.</t>
  </si>
  <si>
    <t>[Strass, Volker H.; Rohardt, Gerd; Kanzow, Torsten; Hoppema, Mario; Boebel, Olaf] Alfred Wegener Inst, Helmholtz Zentrum Polar &amp; Meeresforsch, Bremerhaven, Germany</t>
  </si>
  <si>
    <t>Strass, VH (corresponding author), Alfred Wegener Inst, Helmholtz Zentrum Polar &amp; Meeresforsch, Bremerhaven, Germany.</t>
  </si>
  <si>
    <t>volker.strass@awi.de</t>
  </si>
  <si>
    <t>Kanzow, Torsten/0000-0002-5786-3435; Strass, Volker/0000-0002-7539-1400</t>
  </si>
  <si>
    <t>German Federal Minister of Education and Research (BMBF)</t>
  </si>
  <si>
    <t>German Federal Minister of Education and Research (BMBF)(Federal Ministry of Education &amp; Research (BMBF))</t>
  </si>
  <si>
    <t>We thank all those who contributed to the collection of our data: crews and captains of the research icebreaker Polarstern, technicians, engineers, and scientists. Basic funding was provided by the German Federal Minister of Education and Research (BMBF). In particular, we are grateful to the late Eberhard Fahrbach, who dedicated much of his professional lifetime to establishing and maintaining the Weddell Sea observation system, hence to creating the data base of this study. The constructive comments of three anonymous reviewers helped to improve the manuscript. All authors declare no conflicts of interest.</t>
  </si>
  <si>
    <t>10.1175/JCLI-D-20-0271.1</t>
  </si>
  <si>
    <t>QC9IX</t>
  </si>
  <si>
    <t>WOS:000615145300010</t>
  </si>
  <si>
    <t>Puskic, PS; Lavers, JL; Bond, AL</t>
  </si>
  <si>
    <t>Puskic, Peter S.; Lavers, Jennifer L.; Bond, Alexander L.</t>
  </si>
  <si>
    <t>A critical review of harm associated with plastic ingestion on vertebrates</t>
  </si>
  <si>
    <t>Plastic pollution; Sub-lethal impacts; Bird; Amphibian; Reptile; Mammal</t>
  </si>
  <si>
    <t>PERSISTENT ORGANIC POLLUTANTS; SHORT-TAILED SHEARWATERS; MARINE DEBRIS; ARDENNA-PACIFICA; BODY CONDITION; MICROPLASTICS; ACCUMULATION; SEABIRD; TURTLES; CHEMICALS</t>
  </si>
  <si>
    <t>Studies documenting plastic ingestion in animals have increased in recent years. Many do not describe the less conspicuous, sub-lethal impacts of plastic ingestion, such as reduced body condition or physiological changes. This means the severity of this global problem may have been underestimated. We conducted a critical review on the sub-lethal impacts of plastic ingestion on marine vertebrates (excluding fish). We found 34 papers which tried to measure plastics' impact using a variety of tools, and less than half of these detected any impact. The most common tools used were visual observations and body condition indices. Tools that explore animal physiology, such as histopathology, are a promising future approach to uncover the sub-lethal impacts of plastic ingestion in vertebrates. We encourage exploring impacts on species beyond the marine environment, using multiple tools or approaches, and continued research to discern the hidden impacts of plastic on global wildlife. (C) 2020 Elsevier B.V. All rights reserved.</t>
  </si>
  <si>
    <t>[Puskic, Peter S.; Lavers, Jennifer L.; Bond, Alexander L.] Univ Tasmania, Inst Marine &amp; Antarctic Studies, 20 Castray Esplanade, Hobart, Tas 7000, Australia; [Bond, Alexander L.] Nat Hist Museum, Bird Grp, Dept Life Sci, Tring, England</t>
  </si>
  <si>
    <t>University of Tasmania; Natural History Museum London</t>
  </si>
  <si>
    <t>Puskic, PS (corresponding author), Univ Tasmania, Inst Marine &amp; Antarctic Studies, 20 Castray Esplanade, Hobart, Tas 7000, Australia.</t>
  </si>
  <si>
    <t>peter.puskic@utas.edu.au</t>
  </si>
  <si>
    <t>Lavers, Jennifer/O-4831-2017; Bond, Alexander L/A-3786-2010; Puskic, Peter/AAT-9362-2020; Lavers, Jennifer/IWM-5417-2023; Puskic, Peter S/AAD-7887-2022</t>
  </si>
  <si>
    <t>Lavers, Jennifer/0000-0001-7596-6588; Puskic, Peter S/0000-0003-1352-8843</t>
  </si>
  <si>
    <t>10.1016/j.scitotenv.2020.140666</t>
  </si>
  <si>
    <t>NU3KW</t>
  </si>
  <si>
    <t>WOS:000573541700013</t>
  </si>
  <si>
    <t>Palacios, D; Oliva, M; Gómez-Ortiz, A; Andrés, N; Fernández-Fernández, JM; Schimmelpfennig, I; Léanni, L</t>
  </si>
  <si>
    <t>Palacios, David; Oliva, Marc; Gomez-Ortiz, Antonio; Andres, Nuria; Fernandez-Fernandez, Jose M.; Schimmelpfennig, Irene; Leanni, Laetitia</t>
  </si>
  <si>
    <t>ASTER Team</t>
  </si>
  <si>
    <t>Climate sensitivity and geomorphological response of cirque glaciers from the late glacial to the Holocene, Sierra Nevada, Spain</t>
  </si>
  <si>
    <t>Glacial cirque; Rock glacier; Sierra Nevada; Cosmic-ray exposure dating; Late glacial; Holocene</t>
  </si>
  <si>
    <t>HIGH TATRA MOUNTAINS; BE-10 EXPOSURE AGES; ROCK GLACIER; ICE-AGE; PLEISTOCENE GLACIATION; LANDSCAPE EVOLUTION; YOUNGER DRYAS; HALF-LIFE; DEGLACIATION; MAXIMUM</t>
  </si>
  <si>
    <t>Through a detailed geomorphological study, including thourough mapping of the geomorphic features as well as Be-10 Cosmic-Ray Exposure (CRE) dating, the geomorphological evolution of the Mulhacen cirque since the maximum ice extent of the last glacial cycle until nowadays was determined. This glacial cirque is shaped on the northern face of the Mulhacen peak (3479 m a.s.l. 37 degrees 03'12 '' N/3 degrees 18'41 '' W), Sierra Nevada, southern Spain. It includes several depositional and erosional glacial landforms that allowed reconstructing its environmental evolution since the last glacial cycle. Furthermore, the sequence of glacial oscillations from this site was compared to that of other cirques of the massif, evidencing that: (i) new glaciers formed in these cirques during the Younger Dryas (YD), and (ii) disappeared at 11.7 +/- 1.0 ka. Depending on the altitude, orientation and height of the cirque walls, the final deglaciation of the cirques generated a diversity of landscapes, including a wide range of glacial and periglacial landforms, such as polished surfaces, sequences of moraines, proto-rock glaciers or large rock glacier systems. No glaciers existed in the Sierra Nevada during the Middle Holocene. Only the cirques whose summits exceed 3300 m, are north-exposed and whose walls exceed 300 m high (i.e. Mulhacen and Veleta) hosted glaciers during Neoglacial phases, including the Little Ice Age (LIA) (approx.1300-1850 CE). During these periods, climate oscillations favoured the formation of small glaciers in these cirques, which generated large moraine systems with either one polygenic ridge or a sequence of spaced frontal arcs. The existence of glaciers impeded the formation of permafrost-related landforms, such as rock glaciers and protalus lobes until the end of the LIA, when they started to form. These results are compared with the deglacial evolution in 55 cirques from Iberian mountains as well as from glacial cirques from other mid-latitude mountains and subpolar regions. The chronology of their deglaciation as well as the landforms generated during glacial retreat followed similar patterns, with no significant differences at regional scale. For each mountain range, the geomorphological diversity existing in each cirque depends on the local topographic characteristics although they formed during the same climatic phases. (C) 2020 Elsevier Ltd. All rights reserved.</t>
  </si>
  <si>
    <t>[Palacios, David; Andres, Nuria] Univ Complutense Madrid, Dept Geog, Madrid, Spain; [Oliva, Marc; Gomez-Ortiz, Antonio] Univ Barcelona, Dept Geog, Barcelona, Spain; [Fernandez-Fernandez, Jose M.] Univ Lisbon, Inst Geog &amp; Ordenamento Terr, Lisbon, Portugal; [Schimmelpfennig, Irene; Leanni, Laetitia] Aix Marseille Univ, CNRS, CEREGE, INRAE,IRD, Aix En Provence, France; [ASTER Team] Consortium Georges Aumaitre, Didier Bourles, Karim Keddadouc, France</t>
  </si>
  <si>
    <t>Complutense University of Madrid; University of Barcelona; Universidade de Lisboa; INRAE; Centre National de la Recherche Scientifique (CNRS); Institut de Recherche pour le Developpement (IRD); Aix-Marseille Universite</t>
  </si>
  <si>
    <t>Palacios, D (corresponding author), Univ Complutense Madrid, Dept Geog, Madrid, Spain.</t>
  </si>
  <si>
    <t>davidp@ucm.es</t>
  </si>
  <si>
    <t>Fernández-Fernández, Jose M./H-5801-2017; PALACIOS, DAVID/H-3737-2015; Andres, Nuria/C-7146-2015; Oliva, Marc/K-5423-2014</t>
  </si>
  <si>
    <t>PALACIOS, DAVID/0000-0002-8289-0398; Andres, Nuria/0000-0002-4362-1195; Oliva, Marc/0000-0001-6521-6388</t>
  </si>
  <si>
    <t>Spanish Ministry of Economy and Competitiveness [CGL2015-65813-R]; NUNANTAR (Fundacao para a Ciencia e a Tecnologia, Portugal) [02/SAICT/2017-32002]; project PALAEOGREEN (Spanish Ministry of Economy and Competitiveness) [CTM2017-87976-P]; Ramon y Cajal Program [RYC-2015-17597]; Research Group ANTALP (Antarctic, Arctic, Alpine Environments) [2017-SGR-1102]</t>
  </si>
  <si>
    <t>Spanish Ministry of Economy and Competitiveness(Spanish Government); NUNANTAR (Fundacao para a Ciencia e a Tecnologia, Portugal); project PALAEOGREEN (Spanish Ministry of Economy and Competitiveness); Ramon y Cajal Program(Spanish Government); Research Group ANTALP (Antarctic, Arctic, Alpine Environments)</t>
  </si>
  <si>
    <t>This research article was supported by the project CGL2015-65813-R (Spanish Ministry of Economy and Competitiveness) and NUNANTAR (02/SAICT/2017-32002; Fundacao para a Ciencia e a Tecnologia, Portugal). It also complements the research topics examined in the project PALAEOGREEN (CTM2017-87976-P; Spanish Ministry of Economy and Competitiveness). The 10Be measurements were performed at the ASTER AMS national facility (CEREGE, Aix-en-Provence), which is supported by the INSU/CNRS and the ANR through the Projets thematiques d'excellence program for the Equipements d'excellence ASTER-CEREGE action and IRD. Marc Oliva is supported by the Ramon y Cajal Program (RYC-2015-17597) and the Research Group ANTALP (Antarctic, Arctic, Alpine Environments; 2017-SGR-1102). The authors are deeply appreciative for the detailed analyses and excellent suggestions made by the two reviewers, Drs. Ian Evans and Philip Hughes, who helped to considerably improve many aspects of this work.</t>
  </si>
  <si>
    <t>10.1016/j.quascirev.2020.106617</t>
  </si>
  <si>
    <t>OH7WA</t>
  </si>
  <si>
    <t>WOS:000582803000027</t>
  </si>
  <si>
    <t>Lindgren, P; Lee, MR; Sparkes, R; Greenwood, RC; Hanna, RD; Franchi, IA; King, AJ; Floyd, C; Martin, PE; Hamilton, VE; Haberle, C</t>
  </si>
  <si>
    <t>Lindgren, Paula; Lee, Martin R.; Sparkes, Robert; Greenwood, Richard C.; Hanna, Romy D.; Franchi, Ian A.; King, Ashley J.; Floyd, Cameron; Martin, Pierre-Etienne; Hamilton, Victoria E.; Haberle, Chris</t>
  </si>
  <si>
    <t>Signatures of the post-hydration heating of highly aqueously altered CM carbonaceous chondrites and implications for interpreting asteroid sample returns</t>
  </si>
  <si>
    <t>CM carbonaceous chondrites; Asteroid sample returns; Post-hydration heating</t>
  </si>
  <si>
    <t>INSOLUBLE ORGANIC-MATTER; X-RAY-DIFFRACTION; THERMAL METAMORPHISM; MODAL MINERALOGY; MU-M; INFRARED-SPECTRA; CI; ORIGIN; WATER; PHYLLOSILICATES</t>
  </si>
  <si>
    <t>The CM carbonaceous chondrites have all been aqueously altered, and some of them were subsequently heated in a parent body environment. Here we have sought to understand the impact of short duration heating on a highly aqueously altered CM through laboratory experiments on Allan Hills (ALH) 83100. Unheated ALH 83100 contains 83 volume per cent serpentine within the fine-grained matrix and altered chondrules. The matrix also hosts grains of calcite and dolomite, which are often intergrown with tochilinite, Fe(Ni) sulphides (pyrrhotite, pentlandite), magnetite and organic matter. Some of the magnetite formed by replacement of Fe(Ni) sulphides that were accreted from the nebula. Laboratory heating to 400 degrees C has caused partial dehydroxylation of serpentine and loss of isotopically light oxygen leading to an increase in bulk delta O-18 and fall in Delta O-17. Tochilinite has decomposed to magnetite, whereas carbonates have remained unaltered. With regards to infrared spectroscopy (4000-400 cm(-1); 2.5-25 mm), heating to 400 degrees C has resulted in decreased emissivity (increased reflectance), a sharper and more symmetric OH band at 3684 cm(-1) (2.71 mm), a broadening of the SiAO stretching band together with movement of its minimum to longer wavenumbers, and a decreasing depth of the MgAOH band (625 cm(-1); 16 mm). The SiAO bending band is unmodified by mild heating. With heating to 800 degrees C the serpentine has fully dehydroxylated and recrystallized to similar to Fo(60/70) olivine. Bulk delta O-18 has further increased and Delta O-17 decreased. Troilite and pyrrhotite have formed, and recrystallization of pentlandite has produced Fe,Ni metal. Calcite and dolomite were calcined at similar to 700 degrees C and in their place is an un-named Ca-Fe oxysulphide. Heating changes the structural order of organic matter so that Raman spectroscopy of carbon in the 800 degrees C sample shows an increased (D1 + D4) proportional area parameter. The infrared spectrum of the 800 degrees C sample confirms the abundance of Fe-bearing olivine and is very similar to the spectrum of naturally heated stage IV CM Pecora Escarpment 02010. The temperature-related mineralogical, chemical, isotopic and spectroscopic signatures defined in ALH 83100 will help to track the post-hydration thermal histories of carbonaceous chondrite meteorites, and samples returned from the primitive asteroids Ryugu and Bennu. (C) 2020 The Author(s). Published by Elsevier Ltd.</t>
  </si>
  <si>
    <t>[Lindgren, Paula] Lund Univ, Dept Geol, Solvegatan 12, S-22362 Lund, Sweden; [Lee, Martin R.; Floyd, Cameron; Martin, Pierre-Etienne] Univ Glasgow, Sch Geog &amp; Earth Sci, Glasgow G12 8QQ, Lanark, Scotland; [Sparkes, Robert] Manchester Metropolitan Univ, Ecol &amp; Environm Res Ctr, Dept Nat Sci, Oxford Rd, Manchester M15 6BH, Lancs, England; [Greenwood, Richard C.; Franchi, Ian A.; King, Ashley J.] Open Univ, Planetary &amp; Space Sci, Walton Hall, Milton Keynes MK7 6AA, Bucks, England; [Hanna, Romy D.] Univ Texas, Jackson Sch Geosci, 2305 Speedway Stop C1160, Austin, TX 78712 USA; [King, Ashley J.] Nat Hist Museum, Dept Earth Sci, Cromwell Rd, London SW7 5BD, England; [Hamilton, Victoria E.] Southwest Res Inst, 1050 Walnut St,Suite 300, Boulder, CO 80302 USA; [Haberle, Chris] Arizona State Univ, Sch Earth &amp; Space Explorat, Tempe, AZ 85287 USA</t>
  </si>
  <si>
    <t>Lund University; University of Glasgow; Manchester Metropolitan University; Open University - UK; University of Texas System; University of Texas Austin; Natural History Museum London; Southwest Research Institute; Arizona State University; Arizona State University-Tempe</t>
  </si>
  <si>
    <t>Lee, MR (corresponding author), Univ Glasgow, Sch Geog &amp; Earth Sci, Glasgow G12 8QQ, Lanark, Scotland.</t>
  </si>
  <si>
    <t>Martin.Lee@Glasgow.ac.uk</t>
  </si>
  <si>
    <t>Hanna, Romy/JVN-6120-2024; Sparkes, Robert/AAA-8209-2022; Lee, Martin R/D-9169-2011</t>
  </si>
  <si>
    <t>Sparkes, Robert/0000-0003-0756-0150; King, Ashley/0000-0001-6113-5417; Martin, Pierre-Etienne/0000-0003-1848-9695; Haberle, Christopher/0000-0003-1174-7313; Greenwood, Richard/0000-0002-5544-8027; Floyd, Cameron/0000-0001-5986-491X</t>
  </si>
  <si>
    <t>NSF; NASA; UK Science and Technology Facilities Council [ST/K000942/1, ST/N000846/1, ST/R000727/1, ST/T002328/1, ST/T506096/1]; Swedish Research Council [2015-04084]; OSIRIS-REx Participating Scientist Program - Grant [80NSSC18K0229]; OSIRIS-REx project, under NASA Contract [NN-M10AA11C]; Swedish Research Council [2015-04084] Funding Source: Swedish Research Council; STFC [ST/T506096/1, ST/L000776/1, ST/K000942/1, ST/T002328/1, ST/R000727/1, ST/N000846/1, ST/P000657/1] Funding Source: UKRI</t>
  </si>
  <si>
    <t>NSF(National Science Foundation (NSF)); NASA(National Aeronautics &amp; Space Administration (NASA)); UK Science and Technology Facilities Council(UK Research &amp; Innovation (UKRI)Science &amp; Technology Facilities Council (STFC)); Swedish Research Council(Swedish Research Council); OSIRIS-REx Participating Scientist Program - Grant; OSIRIS-REx project, under NASA Contract; Swedish Research Council(Swedish Research Council); STFC(UK Research &amp; Innovation (UKRI)Science &amp; Technology Facilities Council (STFC))</t>
  </si>
  <si>
    <t>We are grateful to ANSMET for the loan of ALH 83100.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Terry Donnelly at SUERC helped with the experimental heating procedure. Peter Chung and Anita Andreassen at the University of Glasgow helped with the SEM analyses. This work was funded by the UK Science and Technology Facilities Council through grants ST/K000942/1, ST/N000846/1, ST/R000727/1, ST/T002328/1 and ST/T506096/1, and the Swedish Research Council grant number 2015-04084. R.D.H. was supported by the OSIRIS-REx Participating Scientist Program -Grant 80NSSC18K0229. V.E.H. was partially supported by the OSIRIS-REx project, under NASA Contract NN-M10AA11C issued through the New Frontiers Program. We are grateful to Kieren Howard, Eric Quirico and an anonymous reviewer for their detailed and careful reviews that have significantly improved the manuscript.</t>
  </si>
  <si>
    <t>10.1016/j.gca.2020.08.021</t>
  </si>
  <si>
    <t>OD3XQ</t>
  </si>
  <si>
    <t>WOS:000579787200005</t>
  </si>
  <si>
    <t>Wei, XS; Yan, DT; Luo, P; Jiang, P; Wang, H; Zhou, JX; Cong, FY; Yang, XR; Niu, X; Li, T; Liu, L; Liu, ET</t>
  </si>
  <si>
    <t>Wei, Xiaosong; Yan, Detian; Luo, Pan; Jiang, Ping; Wang, Hua; Zhou, Jiaxiong; Cong, Fuyun; Yang, Xiangrong; Niu, Xing; Li, Tong; Liu, Lei; Liu, Entao</t>
  </si>
  <si>
    <t>Astronomically forced climate cooling across the Eocene-Oligocene transition in the Pearl River Mouth Basin, northern South China Sea</t>
  </si>
  <si>
    <t>Wenchang Sag; Cyclostratigraphy; Depositional environment; Palynology; Time series analysis; Orbital forcing</t>
  </si>
  <si>
    <t>CARBON-DIOXIDE CONCENTRATIONS; MIDDLE-EOCENE; GEOCHEMICAL CHARACTERISTICS; ANTARCTIC GLACIATION; MILANKOVITCH CYCLES; ECCENTRICITY; EXTINCTION; PALEOGENE; MIOCENE; ARCHITECTURE</t>
  </si>
  <si>
    <t>During the late Eocene-early Oligocene, major changes in the global climate and environment occurred, including decreases in global temperature and the appearance of Antarctic glaciation. These changes marked the transition from early Cenozoic greenhouse conditions to icehouse conditions. Research on this cooling trend in the Atlantic and high-latitude regions has increased, but few reports have studied low-latitude regions (e.g., the northern South China Sea), and it remains unclear whether sediment records in these areas preserve signals related to this global cooling event. In this study, we studied records from a lacustrine well in the Wenchang Sag, Pearl River Mouth Basin (PRMB), northern South China Sea. We conducted palynological and cyclostratigraphic analyses to reconstruct the depositional environment and assess the influence of orbital forcing. The cyclostratigraphic analysis showed that depositional cycles (including fining-upwards and coarsening-upwards sequences) were controlled mainly by long eccentricity, forcing the expansion and contraction of the lake system at similar to 1.2 Myr time intervals. In addition, changes in the pollen-spore assemblage before and after the Eocene-Oligocene (E-O) transition show a dramatic shift from a moderately deep lake to a shallow lake with delta facies, as recorded by the Wenchang to Enping Formations in the Wenchang Sag, PRMB. These findings suggest that the climate deteriorated in response to global cooling. The amplification of obliquity forcing and the coevolution between obliquity power and global pCO(2) during the E-O transition suggest that the low-latitude sedimentary records from China contain a high-latitude signal. Furthermore, the low amplitudes of the precession, obliquity, and eccentricity cycles are coupled with the initial decreases in the global sea-level and pCO(2) and a positive bias in the carbon-oxygen isotopic compositions at similar to 34.3 Ma. These results suggest that orbital forcing played a role in elevating pCO(2) across a critical threshold during the E-O transition (similar to 33.9 Ma).</t>
  </si>
  <si>
    <t>[Wei, Xiaosong; Yan, Detian; Luo, Pan; Wang, Hua; Cong, Fuyun; Yang, Xiangrong; Niu, Xing; Li, Tong; Liu, Lei; Liu, Entao] China Univ Geosci Wuhan, Key Lab Tecton &amp; Petr Resources, Wuhan 430074, Peoples R China; [Jiang, Ping; Zhou, Jiaxiong] China Natl Offshore Oil Corp Ltd, Zhanjiang Branch, Zhanjiang 524057, Peoples R China; [Niu, Xing] Yangtze Univ, Sch Geosci, Wuhan 430100, Peoples R China</t>
  </si>
  <si>
    <t>China University of Geosciences; China National Offshore Oil Corporation (CNOOC); Yangtze University</t>
  </si>
  <si>
    <t>Yan, DT (corresponding author), China Univ Geosci Wuhan, Key Lab Tecton &amp; Petr Resources, Wuhan 430074, Peoples R China.</t>
  </si>
  <si>
    <t>yandetian@cug.edu.cn</t>
  </si>
  <si>
    <t>Cong, Fuyun/M-1760-2017</t>
  </si>
  <si>
    <t>Cong, Fuyun/0000-0002-3618-3924; Wei, Xiaosong/0000-0001-6743-0353</t>
  </si>
  <si>
    <t>National Science and Technology Major Project in China [2016ZX05024006]; National Natural Science Foundation of China [41690131, 41702121]; Natural Science Foundation of Hubei Province [2019CFA028]; Program of Introducing Talents of Discipline to Universities [B14031]; Key Laboratory of Tectonics and Petroleum Resources, China University of Geosciences (Wuhan) [TPR-2019-15]</t>
  </si>
  <si>
    <t>National Science and Technology Major Project in China; National Natural Science Foundation of China(National Natural Science Foundation of China (NSFC)); Natural Science Foundation of Hubei Province(Natural Science Foundation of Hubei Province); Program of Introducing Talents of Discipline to Universities(Ministry of Education, China - 111 Project); Key Laboratory of Tectonics and Petroleum Resources, China University of Geosciences (Wuhan)</t>
  </si>
  <si>
    <t>We express our sincere appreciation to the journal editors (Prof. Thomas J. Algeo, Prof. James Ogg, and Prof. Chunju Huang) and reviewer James S. Eldrett and one anonymous reviewer for their careful reviews and constructive suggestions. We thank Dr. Mingsong Li and Dr. Meng Wang for kindly discussion. We also thank Prof. Thomas Wagner for his helpful comments and English edits. We thank the Zhanjiang Branch of CNOOC Ltd. for kindly providing partial data in this study. This work was supported by National Science and Technology Major Project in China (2016ZX05024006), National Natural Science Foundation of China (41690131; 41702121), Natural Science Foundation of Hubei Province (2019CFA028), Program of Introducing Talents of Discipline to Universities (No. B14031) and open-end Funds (No. TPR-2019-15) of Key Laboratory of Tectonics and Petroleum Resources, China University of Geosciences (Wuhan).</t>
  </si>
  <si>
    <t>10.1016/j.palaeo.2020.109945</t>
  </si>
  <si>
    <t>NZ6CE</t>
  </si>
  <si>
    <t>WOS:000577193100007</t>
  </si>
  <si>
    <t>Cereceda-Balic, F; Vidal, V; Ruggeri, MF; González, HE</t>
  </si>
  <si>
    <t>Cereceda-Balic, Francisco; Vidal, Victor; Florencia Ruggeri, Maria; Gonzalez, Humberto E.</t>
  </si>
  <si>
    <t>Black carbon pollution in snow and its impact on albedo near the Chilean stations on the Antarctic peninsula: First results</t>
  </si>
  <si>
    <t>BC in snow; Snow albedo; Chilean Stations in Antarctica</t>
  </si>
  <si>
    <t>ATMOSPHERIC-POLLUTION; REDUCTION; AEROSOL; DEPOSITION; ICE</t>
  </si>
  <si>
    <t>BC can be transported through the atmosphere from low and mid-latitudes to Antarctica, or it can be emitted in the Antarctica in situ. To establish a possible relationship between BC and the human activities in Antarctica, shallow snow samples were taken in four sites from Antarctic peninsula during summer periods (2014-2019): Chilean Base O'Higgins (BO), La Paloma Glacier (LP) (6 km away from BO); Chilean Base Yelcho (BY) and P4 (5 km away from BY). BC concentration in snow samples was determined by using a novel methodology recently developed, published and patented by the authors. The methodology consisted in a filter-based optical transmission method at a wavelength of 880 nm. Results showed that snow from BO presented the highest BC concentration (3395.7 mu g kg(-1)), followed by BY (13092 mu g kg(-1)), LP 2016 (745.9 mu g kg(-1)), LP 2015 (233.6 mu g kg(-1)) and finally P4 (179.4 mu g kg(-1)). BC values observed in Antarctic snow were higher than others previously reported in the literature and showed the influence of anthropic activities in the study area, considering that the two highest values of BC concentration in snow were found at sites near the bases. To evaluate the impact of the BC concentrations found in the snow of the study area, snow albedo modeling was performed, using the online version of the Snow, Ice, and Aerosol Radiative (SNICAR) Model. Modeling outputs exposed that the measured variations in BC content caused large differences in the modeled albedo in the visible range of the spectra, which showed to be more sensitive al lower BC concentrations. These data could help to understand the role of BC in the actual scenario of climate change, in which Antarctica is presented as a very fragile environment that needs to be protected, starting with the management of the activities developed in-situ. (C) 2020 Elsevier B.V. All rights reserved.</t>
  </si>
  <si>
    <t>[Cereceda-Balic, Francisco; Vidal, Victor; Florencia Ruggeri, Maria] Univ Tecn Federico Santa Maria, Ctr Environm Technol, Valparaiso, Chile; [Cereceda-Balic, Francisco; Vidal, Victor] Univ Tecn Federico Santa Maria, Dept Chem, Valparaiso, Chile; [Gonzalez, Humberto E.] Univ Austral Chile, Ctr FONDAP IDEAL, Punta Arenas, Chile</t>
  </si>
  <si>
    <t>Universidad Tecnica Federico Santa Maria; Universidad Tecnica Federico Santa Maria; Universidad Austral de Chile</t>
  </si>
  <si>
    <t>Cereceda-Balic, F (corresponding author), Univ Tecn Federico Santa Maria, Ctr Environm Technol, Valparaiso, Chile.</t>
  </si>
  <si>
    <t>francisco.cereceda@usm.cl</t>
  </si>
  <si>
    <t>González, Humberto E./A-4039-2008; Cereceda-Balic, Francisco/N-4479-2017; Vidal, Victor/F-9742-2015</t>
  </si>
  <si>
    <t>Cereceda-Balic, Francisco/0000-0001-7761-1051; Ruggeri, Maria Florencia/0000-0003-0908-3829; Vidal, Victor/0000-0002-6794-7552</t>
  </si>
  <si>
    <t>INACH [RT_18-12]</t>
  </si>
  <si>
    <t>INACH</t>
  </si>
  <si>
    <t>The authors thank the INACH RT_18-12 project for financial and logistical support and the Chilean Army, Chilean Navy and Chilean Air Force for their collaboration during the monitoring campaign. Special recognition and thanks are made to the Chilean military personnel of the O'Higgins Base, during campaigns 2014, 2015 and 2016. Authors also thank D. Soto and F. Galvez (Fondap-IDEAL) for snow samples collection at Yelcho Station in 2019.</t>
  </si>
  <si>
    <t>10.1016/j.scitotenv.2020.140801</t>
  </si>
  <si>
    <t>NU3ML</t>
  </si>
  <si>
    <t>WOS:000573546100003</t>
  </si>
  <si>
    <t>Pérez, LF; Jakobsson, M; Funck, T; Andresen, KJ; Nielsen, T; O'Regan, M; Mork, F</t>
  </si>
  <si>
    <t>Perez, Lara F.; Jakobsson, Martin; Funck, Thomas; Andresen, Katrine J.; Nielsen, Tove; O'Regan, Matt; Mork, Finn</t>
  </si>
  <si>
    <t>Late Quaternary sedimentary processes in the central Arctic Ocean inferred from geophysical mapping</t>
  </si>
  <si>
    <t>Mass transport deposits; Sediment waves; Internal waves; Arctic Ocean</t>
  </si>
  <si>
    <t>EURASIAN ICE-SHEET; LOMONOSOV RIDGE; SEA-ICE; NORTHERN-HEMISPHERE; CONTINENTAL SLOPES; BOUNDARY CURRENT; METHANE HYDRATE; AMUNDSEN BASIN; YERMAK PLATEAU; SHELF</t>
  </si>
  <si>
    <t>Cryospheric events in the Arctic Ocean have been largely studied through the imprints of ice sheets, ice shelves and icebergs in the seafloor morphology and sediment stratigraphy. Subglacial morphologies have been identified in the shallowest regions of the Arctic Ocean, up to 1200 m water depth, revealing the extent and dynamics of Arctic ice sheets during the last glacial periods. However, less attention has been given to sedimentary features imaged in the vicinity of the ice-grounded areas. Detailed interpretation of the sparse available swath bathymetry and sub-bottom profiles from the Lomonosov Ridge and the Amundsen Basin shows the occurrence of mass transport deposits (MTDs) and sediment waves in the central Arctic Ocean. The waxing and waning ice sheets and shelves in the Arctic Ocean have influenced the distribution of MTDs in the vicinity of grounding-ice areas, i.e. along the crest of Lomonosov Ridge. Due to the potential of Arctic sediments to hold gas hydrates, their destabilization should not be ruled out as trigger for sediment instability. Sediment waves formed by the interaction of internal waves that propagate along water mass interfaces with the bathymetric barrier of Lomonosov Ridge. This work describes the distribution and formation mechanisms of MTDs and sediment waves in the central Arctic Ocean in relation to grounding ice and internal waves between water masses, respectively. The distribution of these features provides new insight into past cryospheric and oceanographic conditions of the central Arctic Ocean. (C) 2020 The Author(s). Published by Elsevier B.V.</t>
  </si>
  <si>
    <t>[Perez, Lara F.; Funck, Thomas; Nielsen, Tove; Mork, Finn] Geol Survey Denmark &amp; Greenland GEUS, Dept Geophys, Oster Voldgade 10, DK-1350 Copenhagen K, Denmark; [Perez, Lara F.] British Antarctic Survey, Madingley Rd, Cambridge CB3 0ET, England; [Jakobsson, Martin; O'Regan, Matt] Stockholm Univ, Dept Geol Sci, Svante Arrheniusvag 8 C,Geohuset Room R 209, S-10691 Stockholm, Sweden; [Andresen, Katrine J.] Aarhus Univ, Dept Geosci, Hoegh Guldbergs Gade 2, DK-8000 Aarhus C, Denmark</t>
  </si>
  <si>
    <t>Geological Survey Of Denmark &amp; Greenland; UK Research &amp; Innovation (UKRI); Natural Environment Research Council (NERC); NERC British Antarctic Survey; Stockholm University; Aarhus University</t>
  </si>
  <si>
    <t>Pérez, LF (corresponding author), British Antarctic Survey, Madingley Rd, Cambridge CB3 0ET, England.</t>
  </si>
  <si>
    <t>larrez@bas.ac.uk; martin.jakobsson@geo.su.se; tf@geus.dk; katrine.andresen@geo.au.dk; tni@geus.dk; matt.oregan@geo.su.se; fm@geus.dk</t>
  </si>
  <si>
    <t>Pérez, Lara F./H-3572-2015; Funck, Thomas/G-9981-2018; O'Regan, Matt/P-6277-2019; Andresen, Katrine Juul/A-5771-2012</t>
  </si>
  <si>
    <t>Pérez, Lara F./0000-0002-6229-4564; O'Regan, Matt/0000-0002-6046-1488; Jakobsson, Martin/0000-0002-9033-3559; Nielsen, Tove/0000-0002-7504-4898; Andresen, Katrine Juul/0000-0001-8029-3234</t>
  </si>
  <si>
    <t>Geocenter Denmark [2-2017]; NERC [bas0100030] Funding Source: UKRI</t>
  </si>
  <si>
    <t>Geocenter Denmark; NERC(UK Research &amp; Innovation (UKRI)Natural Environment Research Council (NERC))</t>
  </si>
  <si>
    <t>This work has been developed under the framework of the Geocenter Denmark project: 'Sedimentary processes in the Arctic Ocean: tectonic, oceanographic and climatic implications' grant number 2-2017. Part of the data were made available by Canada and the Kingdom of Denmark who acquired the data for mapping their extended continental shelves under the legal framework of the United Nations Convention on the Law of the Sea (UNCLOS). Special mention to Stockholm University for providing access to the Swedish geophysical data. The first author acknowledges the 'Early Career Scientist programme on board Oden 2016' hosted by the Swedish Polar Research Secretariat, which allowed her participation in the expedition AO2016. We acknowledge the helpful comments and suggestions made by the two anonymous reviewers on the first version of this manuscript.</t>
  </si>
  <si>
    <t>10.1016/j.geomorph.2020.107309</t>
  </si>
  <si>
    <t>NR8SL</t>
  </si>
  <si>
    <t>WOS:000571831500004</t>
  </si>
  <si>
    <t>Clyne, ER; Anandakrishnan, S; Muto, A; Alley, RB; Voigt, DE</t>
  </si>
  <si>
    <t>Clyne, Elisabeth R.; Anandakrishnan, Sridhar; Muto, Atsuhiro; Alley, Richard B.; Voigt, Donald E.</t>
  </si>
  <si>
    <t>Interpretation of topography and bed properties beneath Thwaites Glacier, West Antarctica using seismic reflection methods</t>
  </si>
  <si>
    <t>Thwaites Glacier; West Antarctica; reflection seismic; bed character; till properties; acoustic impedance</t>
  </si>
  <si>
    <t>PINE ISLAND GLACIER; RUTFORD ICE STREAM; BASAL CONDITIONS; BASIN; ZONE; FLUX</t>
  </si>
  <si>
    <t>Thwaites Glacier (TG), West Antarctica, is losing mass in response to oceanic forcing. Future evolution could lead to deglaciation of the marine basins of the West Antarctic Ice Sheet, depending on ongoing and future climate forcings, but also on basal topography/bathymetry, basal properties, and physical processes operating within the grounding zone. Hence, it is important to know the distribution of bed types of TG's interior and grounding zone, and to incorporate them accurately in models in order to improve estimates of retreat rates and stability. Here we estimate properties of the bed by determining its acoustic impedance from amplitude analysis of reflection seismic data. We report on the results from two lines - a longitudinal (L-Line) and a transverse (N-Line) - on a central flowline of TG similar to 100 km inland from the grounding zone. The data show considerable spatial variability in bed forms and properties, similar to results from a comparable survey farther inland. Notably, we find the same pattern here of hard (presumed bedrock) material on the stoss side of bumps and soft (presumed till) on the lee side. Physical understanding indicates the basal flow law describing motion over different regions of TG's bed likely varies from nearly-viscous over the bedrock regions to nearly-plastic over till regions, providing guidance for modeling. (C) 2020 Elsevier B.V. All rights reserved.</t>
  </si>
  <si>
    <t>[Clyne, Elisabeth R.; Anandakrishnan, Sridhar; Alley, Richard B.; Voigt, Donald E.] Penn State Univ, Dept Geosci, University Pk, PA 16802 USA; [Clyne, Elisabeth R.; Anandakrishnan, Sridhar; Alley, Richard B.; Voigt, Donald E.] Penn State Univ, Earth &amp; Environm Syst Inst, University Pk, PA 16802 USA; [Muto, Atsuhiro] Temple Univ, Dept Earth &amp; Environm Sci, Philadelphia, PA 19122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</si>
  <si>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Temple University</t>
  </si>
  <si>
    <t>Clyne, ER (corresponding author), Penn State Univ, Dept Geosci, University Pk, PA 16802 USA.;Clyne, ER (corresponding author), Penn State Univ, Earth &amp; Environm Syst Inst, University Pk, PA 16802 USA.</t>
  </si>
  <si>
    <t>erc25@psu.edu</t>
  </si>
  <si>
    <t>Anandakrishnan, Sridhar/JCN-5026-2023; Muto, Atsuhiro/AAJ-9558-2020</t>
  </si>
  <si>
    <t>Muto, Atsuhiro/0000-0002-1722-2457; Clyne, Elisabeth/0000-0002-2157-0980; Alley, Richard/0000-0003-1833-0115</t>
  </si>
  <si>
    <t>US National Science Foundation [NSF-1738934, 1739003, NSF-0424589, NSF-1443190]; National Aeronautics and Space Administration [NNX15AH84G]; Heising-Simons Foundation [2018-0769]; National Science Foundation [NSF PLR 1738934]; Natural Environment Research Council [NERC NE/S006672/1, NERC NE/S006621/1, NERC NE/S006613/1]</t>
  </si>
  <si>
    <t>US National Science Foundation(National Science Foundation (NSF)); National Aeronautics and Space Administration(National Aeronautics &amp; Space Administration (NASA)); Heising-Simons Foundation; National Science Foundation(National Science Foundation (NSF)); Natural Environment Research Council(UK Research &amp; Innovation (UKRI)Natural Environment Research Council (NERC))</t>
  </si>
  <si>
    <t>This work was supported by the US National Science Foundation under grants NSF-1738934 and 1739003 (A.M., S.A., R.B.A., B.R.P., K.C., N.H.), NSF-0424589 (S.A., R.B.A.), NSF-1443190 (B.R.P., S.J.K.), by the National Aeronautics and Space Administration under grant NNX15AH84G (A.M., B.R.P., S.J.K.) and by The Heising-Simons Foundation, Grant Agreement #2018-0769 (S.A., R.B.A., B.R.P.).; This work is from the GHOST project, a component of the International Thwaites Glacier Collaboration (ITGC). Support from National Science Foundation (NSF PLR 1738934) and Natural Environment Research Council (NERC NE/S006672/1, NERC NE/S006621/1, NERC NE/S006613/1). ITGC Contribution No. ITGC-015.</t>
  </si>
  <si>
    <t>10.1016/j.epsl.2020.116543</t>
  </si>
  <si>
    <t>NO1BI</t>
  </si>
  <si>
    <t>WOS:000569220000004</t>
  </si>
  <si>
    <t>Wahiduzzaman, M; Yeasmin, A; Luo, JJ</t>
  </si>
  <si>
    <t>Wahiduzzaman, Md; Yeasmin, Alea; Luo, Jing-Jia</t>
  </si>
  <si>
    <t>Seasonal movement prediction of tropical cyclone over the North Indian Ocean by using atmospheric climate variables in statistical models</t>
  </si>
  <si>
    <t>Cyclone movement; Atmospheric climate variables; Generalised additive model; Generalised linear model; North Indian Ocean</t>
  </si>
  <si>
    <t>GENESIS FREQUENCY; HURRICANE RISK; CIRCULATION; FORECAST; TRACKS; PROSPECTS; PACIFIC; STORMS; BAY</t>
  </si>
  <si>
    <t>In this study, the contribution of atmospheric climate variables to the prediction skill of tropical cyclone (TC) activity over the North Indian Ocean (NIO) has been investigated. Statistical forecast models are developed through generalised linear model (GLM) and generalised additive model (GAM) for tropical cyclone trajectories over the NIO using atmospheric climate variables as predictors. TC from the Joint Typhoon Warning Centre and sets of climate predictor data were analysed for a period of 35-year (1979-2013). The velocity field is predicted by fitting GAM in each month and season. Hindcast validation method is applied to assess the reliability of the model. The skill of the GAM model is compared with GLM and found to be more successful in forecasting TC movement over the NIO region.</t>
  </si>
  <si>
    <t>[Wahiduzzaman, Md; Luo, Jing-Jia] Nanjing Univ Informat Sci &amp; Technol, Inst Climate &amp; Applicat Res ICAR, Nanjing, Peoples R China; [Wahiduzzaman, Md] Univ Tasmania, Inst Marine &amp; Antarctic Studies, Hobart, Tas, Australia; [Yeasmin, Alea] Federat Univ, Sch Sci Engn &amp; Technol, Ballarat, Vic, Australia</t>
  </si>
  <si>
    <t>Nanjing University of Information Science &amp; Technology; University of Tasmania; Federation University Australia</t>
  </si>
  <si>
    <t>Luo, JJ (corresponding author), Nanjing Univ Informat Sci &amp; Technol, Inst Climate &amp; Applicat Res ICAR, Nanjing, Peoples R China.</t>
  </si>
  <si>
    <t>jjluo@nuist.edu.cn</t>
  </si>
  <si>
    <t>Luo, Jing-Jia/T-9612-2019; Wahiduzzaman/T-7361-2019</t>
  </si>
  <si>
    <t>Luo, Jing-Jia/0000-0003-2181-0638; Wahiduzzaman/0000-0002-8974-8247</t>
  </si>
  <si>
    <t>Nanjing University of Information Science and Technology, China postdoctoral fellowship fund</t>
  </si>
  <si>
    <t>M.Wahiduzzaman has been supported by Nanjing University of Information Science and Technology, China postdoctoral fellowship fund. Authors are grateful to three anonymous reviewers for their input which improved the quality of the manuscript.</t>
  </si>
  <si>
    <t>10.1016/j.atmosres.2020.105089</t>
  </si>
  <si>
    <t>NM0YP</t>
  </si>
  <si>
    <t>WOS:000567831000008</t>
  </si>
  <si>
    <t>Shamsi, S; Zhu, XC; Barton, DP; Dang, M; Freire, R; Nowak, BF</t>
  </si>
  <si>
    <t>Shamsi, Shokoofeh; Zhu, Xiaocheng; Barton, Diane P.; Dang, Mai; Freire, Rafael; Nowak, Barbara F.</t>
  </si>
  <si>
    <t>Dermocystidium sp. infection in farmed Murray cod, Maccullochella peelii</t>
  </si>
  <si>
    <t>Aquatic animal health; Biosecurity; Aquaculture; Seafood safety; Environment health; Introduced invasive species</t>
  </si>
  <si>
    <t>SALMO-SALAR; FISH; PARASITES; ICHTHYOSPOREA; CARP; CLADE; L.</t>
  </si>
  <si>
    <t>Murray cod (Maccullochella peelii (Mitchell, 1838)) is an iconic Australian species, initially farmed mostly for stocking but now also for human consumption. Here, we report an infection with Dermocystidium sp., class Mesomycetozoea, order Dermocystida in the gills of Murray cod, from a hatchery in south-eastern Australia. Based on phylogenetic analyses of the 18S ribosomal DNA the parasite was closely related to D. salmonis, however the size of the spores was smaller than that reported for D. salmonis in other parts of the world. Further studies using additional analyses including ultrastructure of the spores would be useful for elucidating the identification of the microorganism. Histopathology showed inflammatory response and epithelial hyperplasia resulting in lamellar fusion particularly in association with the parasite. The condition was diagnosed as branchitis caused by a co-infection with Dermocystidium and epitheliocystis, with Dermocystidium being the dominant pathogen.</t>
  </si>
  <si>
    <t>[Shamsi, Shokoofeh; Zhu, Xiaocheng; Barton, Diane P.] Charles Sturt Univ, Sch Anim &amp; Vet Sci, Wagga Wagga, NSW 2678, Australia; [Shamsi, Shokoofeh; Zhu, Xiaocheng] Charles Sturt Univ, Graham Ctr Agr Innovat, Wagga Wagga, NSW 2678, Australia; [Shamsi, Shokoofeh; Zhu, Xiaocheng] Charles Sturt Univ, NSW Dept Primary Ind, Wagga Wagga, NSW 2678, Australia; [Dang, Mai; Nowak, Barbara F.] Univ Tasmania, Inst Marine &amp; Antarctic Studies, Launceston, Tas 7250, Australia; [Freire, Rafael] Charles Sturt Univ, Inst Land Water &amp; Soc, Albury, NSW 2640, Australia</t>
  </si>
  <si>
    <t>Charles Sturt University; Charles Sturt University; Charles Sturt University; NSW Department of Primary Industries; University of Tasmania; Charles Sturt University</t>
  </si>
  <si>
    <t>Shamsi, S (corresponding author), Charles Sturt Univ, Sch Anim &amp; Vet Sci, Wagga Wagga, NSW 2678, Australia.</t>
  </si>
  <si>
    <t>sshamsi@csu.edu.au</t>
  </si>
  <si>
    <t>Barton, Diane/AAT-3249-2021; Shamsi, Shokoofeh/C-8159-2009; Freire, Rafael/HTT-5016-2023; Zhu, Xiaocheng/B-6963-2015; Nowak, Barbara/J-7261-2014</t>
  </si>
  <si>
    <t>Barton, Diane/0000-0002-7462-9501; Shamsi, Shokoofeh/0000-0002-8606-6400; Freire, Rafael/0000-0003-4282-1379; Zhu, Xiaocheng/0000-0003-4468-1090; Nowak, Barbara/0000-0002-0347-643X; Dang, Mai T. S./0000-0003-2542-120X</t>
  </si>
  <si>
    <t>Charles Sturt University [A512-828-66770]</t>
  </si>
  <si>
    <t>Charles Sturt University</t>
  </si>
  <si>
    <t>This project was partially funded by Charles Sturt University (A512-828-66770).</t>
  </si>
  <si>
    <t>10.1016/j.aquaculture.2020.735596</t>
  </si>
  <si>
    <t>MR6HC</t>
  </si>
  <si>
    <t>WOS:000553693000001</t>
  </si>
  <si>
    <t>Shin, J; Nehrbass-Ahles, C; Grilli, R; Beeman, JC; Parrenin, F; Teste, G; Landais, A; Schmidely, L; Silva, L; Schmitt, J; Bereiter, B; Stocker, TF; Fischer, H; Chappellaz, J</t>
  </si>
  <si>
    <t>Shin, Jinhwa; Nehrbass-Ahles, Christoph; Grilli, Roberto; Beeman, Jai Chowdhry; Parrenin, Frederic; Teste, Gregory; Landais, Amaelle; Schmidely, Loic; Silva, Lucas; Schmitt, Jochen; Bereiter, Bernhard; Stocker, Thomas F.; Fischer, Hubertus; Chappellaz, Jerome</t>
  </si>
  <si>
    <t>Millennial-scale atmospheric CO2 variations during the Marine Isotope Stage 6 period (190-135 ka)</t>
  </si>
  <si>
    <t>ABRUPT CLIMATE-CHANGE; NORTH-ATLANTIC OCEAN; ICE-CORE; DOME-C; ANTARCTIC ICE; SOUTHERN-OCEAN; GLACIAL MAXIMUM; GLOBAL CLIMATE; CARBON-DIOXIDE; VARIABILITY</t>
  </si>
  <si>
    <t>Using new and previously published CO2 data from the EPICA Dome C ice core (EDC), we reconstruct a new high-resolution record of atmospheric CO2 during Marine Isotope Stage (MIS) 6 (190 to 135 ka) the penultimate glacial period. Similar to the last glacial cycle, where high-resolution data already exists, our record shows that during longer North Atlantic (NA) stadials, millennial CO2 variations during MIS 6 are clearly coincident with the bipolar seesaw signal in the Antarctic temperature record. However, during one short stadial in the NA, atmospheric CO2 variation is small (similar to 5 ppm) and the relationship between temperature variations in EDC and atmospheric CO2 is unclear. The magnitude of CO2 increase during Carbon Dioxide Maxima (CDM) is closely related to the NA stadial duration in both MIS 6 and MIS 3 (60-27 ka). This observation implies that during the last two glacials the overall bipolar seesaw coupling of climate and atmospheric CO2 operated similarly. In addition, similar to the last glacial period, CDM during the earliest MIS 6 show different lags with respect to the corresponding abrupt CH4 rises, the latter reflecting rapid warming in the Northern Hemisphere (NH). During MIS 6i at around 181.5 +/- 0.3 ka, CDM 6i lags the abrupt warming in the NH by only 240 +/- 320 years. However, during CDM 6iv (171.1 +/- 0.2 ka) and CDM 6iii (175.4 +/- 0.4 ka) the lag is much longer: 1290 +/- 540 years on average. We speculate that the size of this lag may be related to a larger expansion of carbonrich, southern-sourced waters into the Northern Hemisphere in MIS 6, providing a larger carbon reservoir that requires more time to be depleted.</t>
  </si>
  <si>
    <t>[Shin, Jinhwa; Grilli, Roberto; Beeman, Jai Chowdhry; Parrenin, Frederic; Teste, Gregory; Chappellaz, Jerome] Univ Grenoble Alpes, Inst Geosci Environm IGE, CNRS, Grenoble, France; [Nehrbass-Ahles, Christoph; Schmidely, Loic; Silva, Lucas; Schmitt, Jochen; Bereiter, Bernhard; Stocker, Thomas F.; Fischer, Hubertus] Univ Bern, Climate &amp; Environm Phys, Phys Inst, Bern, Switzerland; [Nehrbass-Ahles, Christoph; Schmidely, Loic; Silva, Lucas; Schmitt, Jochen; Bereiter, Bernhard; Stocker, Thomas F.; Fischer, Hubertus] Univ Bern, Oeschger Ctr Climate Change Res, Bern, Switzerland; [Nehrbass-Ahles, Christoph] Univ Cambridge, Dept Earth Sci, Cambridge, England; [Landais, Amaelle] Univ Paris Saclay, Lab Sci Climat &amp; Environm, LSCE IPSL, CEA CNRS UVSQ, Gif Sur Yvette, France; [Bereiter, Bernhard] Empa, Lab Air Pollut Environm Technol, Dubendorf, Switzerland; [Shin, Jinhwa] Univ Alberta, Dept Earth &amp; Atmospher Sci, Edmonton, AB T6G 2E3, Canada; [Bereiter, Bernhard] Bruker BioSpin AG, Fallanden, Switzerland</t>
  </si>
  <si>
    <t>Communaute Universite Grenoble Alpes; Universite Grenoble Alpes (UGA); Centre National de la Recherche Scientifique (CNRS); University of Bern; University of Bern; University of Cambridge; CEA; Centre National de la Recherche Scientifique (CNRS); Universite Paris Saclay; Universite Paris Cite; Swiss Federal Institutes of Technology Domain; Swiss Federal Laboratories for Materials Science &amp; Technology (EMPA); University of Alberta; Bruker Corporation; Bruker BioSpin GmbH</t>
  </si>
  <si>
    <t>Chappellaz, J (corresponding author), Univ Grenoble Alpes, Inst Geosci Environm IGE, CNRS, Grenoble, France.</t>
  </si>
  <si>
    <t>jerome.chappellaz@univ-grenoble-alpes.fr</t>
  </si>
  <si>
    <t>Fischer, Hubertus/A-1211-2014; Schmitt, Jochen/B-7893-2009; Parrenin, Frederic/H-3054-2014</t>
  </si>
  <si>
    <t>Schmitt, Jochen/0000-0003-4695-3029; Schmidely, Loic/0000-0002-6754-4868; Grilli, Roberto/0000-0001-5636-264X; Teste, Gregory/0000-0002-4812-1480; Parrenin, Frederic/0000-0002-9489-3991; Nehrbass-Ahles, Christoph/0000-0002-4009-4633; Silva, Lucas/0000-0003-3623-213X</t>
  </si>
  <si>
    <t>ERC-2011-AdG [291062]; Swiss National Science Foundation [200020_159563, 200020_172506, 200020_172745, 20FI21_189533]; Grenoble Observatory of Sciences of the Universe (LabEX OSUGat2020 project grant); Swiss National Science Foundation (SNF) [200020_159563, 20FI21_189533, 200020_172506, 200020_172745] Funding Source: Swiss National Science Foundation (SNF)</t>
  </si>
  <si>
    <t>ERC-2011-AdG; Swiss National Science Foundation(Swiss National Science Foundation (SNSF)); Grenoble Observatory of Sciences of the Universe (LabEX OSUGat2020 project grant); Swiss National Science Foundation (SNF)(Swiss National Science Foundation (SNSF))</t>
  </si>
  <si>
    <t>This research has been supported by the ERC-2011-AdG (grant no. 291062, ERC ICE&amp;LASERS), the Swiss National Science Foundation (grant no. 200020_159563), the Swiss National Science Foundation (grant no. 200020_172506), the Grenoble Observatory of Sciences of the Universe (LabEX OSUGat2020 project grant), the Swiss National Science Foundation (grant no. 200020_172745), and the Swiss National Science Foundation (grant no. 20FI21_189533).</t>
  </si>
  <si>
    <t>NOV 14</t>
  </si>
  <si>
    <t>10.5194/cp-16-2203-2020</t>
  </si>
  <si>
    <t>OW2VB</t>
  </si>
  <si>
    <t>Green Submitted, gold, Green Accepted, Green Published</t>
  </si>
  <si>
    <t>WOS:000592750000001</t>
  </si>
  <si>
    <t>Talalay, P; Li, YZ; Augustin, L; Clow, GD; Hong, JL; Lefebvre, E; Markov, A; Motoyama, H; Ritz, C</t>
  </si>
  <si>
    <t>Talalay, Pavel; Li, Yazhou; Augustin, Laurent; Clow, Gary D.; Hong, Jialin; Lefebvre, Eric; Markov, Alexey; Motoyama, Hideaki; Ritz, Catherine</t>
  </si>
  <si>
    <t>Geothermal heat flux from measured temperature profiles in deep ice boreholes in Antarctica</t>
  </si>
  <si>
    <t>EPICA DOME-C; SUBGLACIAL LAKE VOSTOK; CORE WD2014 CHRONOLOGY; EAST ANTARCTICA; WEST ANTARCTICA; BASAL MELT; OLD ICE; FLOW; SHEET; FUJI</t>
  </si>
  <si>
    <t>The temperature at the Antarctic Ice Sheet bed and the temperature gradient in subglacial rocks have been directly measured only a few times, although extensive thermodynamic modeling has been used to estimate the geothermal heat flux (GHF) under the ice sheet. During the last 5 decades, deep ice-core drilling projects at six sites - Byrd, WAIS Divide, Dome C, Kohnen, Dome F, and Vostok - have succeeded in reaching or nearly reaching the bed at inland locations in Antarctica. When temperature profiles in these boreholes and steady-state heat flow modeling are combined with estimates of vertical velocity, the heat flow at the ice-sheet base is translated to a geothermal heat flux of 57.9 +/- 6.4mW m(-2) at Dome C, 78.9 +/- 5.0mW m(-2) at Dome F, and 86.9 +/- 16.6mW m(-2) at Kohnen, all higher than the predicted values at these sites. This warm base under the East Antarctic Ice Sheet (EAIS) could be caused by radiogenic heat effects or hydrothermal circulation not accounted for by the models. The GHF at the base of the ice sheet at Vostok has a negative value of -3.6 +/- 5.3mW m(-2), indicating that water from Lake Vostok is freezing onto the ice-sheet base. Correlation analyses between modeled and measured depth-age scales at the EAIS sites indicate that all of them can be adequately approximated by a steady-state model. Horizontal velocities and their variation over ice-age cycles are much greater for the West Antarctic Ice Sheet than for the interior EAIS sites; a steady-state model cannot precisely describe the temperature distribution here. Even if the correlation factors for the best fitting age-depth curve are only moderate for the West Antarctic sites, the GHF values estimated here of 88.4 +/- 7.6mW m(-2) at Byrd and 113.3 +/- 16.9mW m(-2) at WAIS Divide can be used as references before more precise estimates are made on the subject.</t>
  </si>
  <si>
    <t>[Talalay, Pavel; Li, Yazhou; Hong, Jialin; Markov, Alexey] Jilin Univ, Polar Res Ctr, Inst Polar Sci &amp; Engn, Changchun 130021, Peoples R China; [Augustin, Laurent] CNRS, INSU, Div Tech, F-83507 La Seyne Sur Mer, France; [Clow, Gary D.] Univ Colorado, Inst Arctic &amp; Alpine Res, Boulder, CO 80309 USA; [Lefebvre, Eric; Ritz, Catherine] Univ Grenoble Alpes, CNRS, IRD, IGE, F-38000 Grenoble, France; [Motoyama, Hideaki] Natl Inst Polar Res, Tokyo, Japan</t>
  </si>
  <si>
    <t>Jilin University; Centre National de la Recherche Scientifique (CNRS); CNRS - National Institute for Earth Sciences &amp; Astronomy (INSU); University of Colorado System; University of Colorado Boulder; Centre National de la Recherche Scientifique (CNRS); Communaute Universite Grenoble Alpes; Universite Grenoble Alpes (UGA); Institut de Recherche pour le Developpement (IRD); Research Organization of Information &amp; Systems (ROIS); National Institute of Polar Research (NIPR) - Japan</t>
  </si>
  <si>
    <t>Talalay, P; Li, YZ (corresponding author), Jilin Univ, Polar Res Ctr, Inst Polar Sci &amp; Engn, Changchun 130021, Peoples R China.</t>
  </si>
  <si>
    <t>ptalalay@yahoo.com; jluyazhouli@163.com</t>
  </si>
  <si>
    <t>Talalay, Pavel/AAH-2908-2020; Markov, Alexey/E-1695-2014; Motoyama, Hideaki/E-6103-2013</t>
  </si>
  <si>
    <t>Talalay, Pavel/0000-0002-8230-4600; Hong, Jialin/0000-0002-9664-6361; Ritz, Catherine/0000-0003-0785-8571; Motoyama, Hideaki/0000-0003-2533-320X</t>
  </si>
  <si>
    <t>National Natural Science Foundation of China [41327804, 41806220]; Fundamental Research Funds for the Central Universities [2017TD-24]</t>
  </si>
  <si>
    <t>National Natural Science Foundation of China(National Natural Science Foundation of China (NSFC)); Fundamental Research Funds for the Central Universities(Fundamental Research Funds for the Central Universities)</t>
  </si>
  <si>
    <t>This research has been supported by the National Natural Science Foundation of China (grant nos. 41327804 and 41806220) and the Fundamental Research Funds for the Central Universities (grant no. 2017TD-24).</t>
  </si>
  <si>
    <t>10.5194/tc-14-4021-2020</t>
  </si>
  <si>
    <t>OW2WA</t>
  </si>
  <si>
    <t>WOS:000592752500002</t>
  </si>
  <si>
    <t>Cui, XB; Jeofry, H; Greenbaum, JS; Guo, JX; Li, L; Lindzey, LE; Habbal, FA; Wei, W; Young, DA; Ross, N; Morlighem, M; Jong, LM; Roberts, JL; Blankenship, DD; Bo, S; Siegert, MJ</t>
  </si>
  <si>
    <t>Cui, Xiangbin; Jeofry, Hafeez; Greenbaum, Jamin S.; Guo, Jingxue; Li, Lin; Lindzey, Laura E.; Habbal, Feras A.; Wei, Wei; Young, Duncan A.; Ross, Neil; Morlighem, Mathieu; Jong, Lenneke M.; Roberts, Jason L.; Blankenship, Donald D.; Bo, Sun; Siegert, Martin J.</t>
  </si>
  <si>
    <t>Bed topography of Princess Elizabeth Land in East Antarctica</t>
  </si>
  <si>
    <t>ICE-SHEET; ELEVATION MODEL; WEST ANTARCTICA; GLACIER; THICKNESS; SYSTEM; RADAR; FLOW</t>
  </si>
  <si>
    <t>We present a topographic digital elevation model (DEM) for Princess Elizabeth Land (PEL), East Antarctica. The DEM covers an area of similar to 900000 km(2) and was built from radio-echo sounding data collected during four campaigns since 2015. Previously, to generate the Bedmap2 topographic product, PEL's bed was characterized from low-resolution satellite gravity data across an otherwise large (&gt; 200 km wide) data-free zone. We use the mass conservation (MC) method to produce an ice thickness grid across faster flowing (&gt; 30 m yr(-1)) regions of the ice sheet and streamline diffusion in slower flowing areas. The resulting ice thickness model is integrated with an ice surface model to build the bed DEM. Together with BedMachine Antarctica and Bedmap2, this new bed DEM completes the first-order measurement of subglacial continental Antarctica - an international mission that began around 70 years ago. The ice thickness data and bed DEMs of PEL (resolved horizontally at 500m relative to ice surface elevations obtained from the Reference Elevation Model of Antarctica - REMA) are accessible from https://doi.org/10.5281/zenodo.4023343 (Cui et al., 2020a) and https://doi.org/10.5281/zenodo.4023393 (Cui et al., 2020b).</t>
  </si>
  <si>
    <t>[Cui, Xiangbin; Guo, Jingxue; Li, Lin; Bo, Sun] Polar Res Inst China, Jinqiao Rd, Shanghai, Peoples R China; [Jeofry, Hafeez] Univ Malaysia Terengganu, Fac Sci &amp; Marine Environm, Kuala Nerus, Terengganu, Malaysia; [Jeofry, Hafeez] Univ Malaysia Terengganu, Inst Oceanog &amp; Environm, Kuala Nerus, Terengganu, Malaysia; [Greenbaum, Jamin S.; Wei, Wei; Young, Duncan A.; Blankenship, Donald D.] Univ Texas Austin, Inst Geophys, Jackson Sch Geosci, Austin, TX USA; [Greenbaum, Jamin S.] Univ Calif San Diego, Scripps Inst Oceanog, La Jolla, CA 92093 USA; [Lindzey, Laura E.] Univ Washington, Appl Phys Lab, Dept Ocean Engn, Seattle, WA 98105 USA; [Habbal, Feras A.] Univ Texas Austin, Oden Inst Computat Engn &amp; Sci, Austin, TX 78712 USA; [Ross, Neil] Newcastle Univ, Sch Geog Polit &amp; Sociol, Newcastle Upon Tyne, Tyne &amp; Wear, England; [Morlighem, Mathieu] Univ Calif Irvine, Dept Earth Syst Sci, Irvine, CA USA; [Jong, Lenneke M.; Roberts, Jason L.] Australian Antarctic Div, Kingston, Tas, Australia; [Jong, Lenneke M.; Roberts, Jason L.] Univ Tasmania, Inst Marine &amp; Antarctic Studies, Hobart, Tas, Australia; [Siegert, Martin J.] Imperial Coll London, Grantham Inst, London, England; [Siegert, Martin J.] Imperial Coll London, Dept Earth Sci &amp; Engn, London, England</t>
  </si>
  <si>
    <t>Polar Research Institute of China; Universiti Malaysia Terengganu; Universiti Malaysia Terengganu; University of Texas System; University of Texas Austin; University of California System; University of California San Diego; Scripps Institution of Oceanography; University of Washington; University of Washington Seattle; University of Texas System; University of Texas Austin; Newcastle University - UK; University of California System; University of California Irvine; Australian Antarctic Division; University of Tasmania; Imperial College London; Imperial College London</t>
  </si>
  <si>
    <t>Siegert, MJ (corresponding author), Imperial Coll London, Grantham Inst, London, England.;Siegert, MJ (corresponding author), Imperial Coll London, Dept Earth Sci &amp; Engn, London, England.</t>
  </si>
  <si>
    <t>Blankenship, Donald D./G-5935-2010; Morlighem, Mathieu/O-9942-2014; Jong, Lenneke M/AAT-3230-2020; Siegert, Martin/M-9939-2019; Young, Duncan/G-6256-2010</t>
  </si>
  <si>
    <t>Morlighem, Mathieu/0000-0001-5219-1310; Jong, Lenneke M/0000-0001-6707-570X; Siegert, Martin/0000-0002-0090-4806; Greenbaum, Jamin Stevens/0000-0002-0745-7113; Wei, Wei/0000-0002-0093-2727; Cui, Xiangbin/0000-0002-4269-8086; Lindzey, Laura/0000-0003-3475-0996; Young, Duncan/0000-0002-6866-8176</t>
  </si>
  <si>
    <t>Chinese Polar Environmental Comprehensive Investigation and Assessment Programs [CHINARE-02-02]; National Natural Science Foundation of China [41941006]; National Key R&amp;D Program of China [2019YFC1509102]; British Council and US State Department (Global Innovation Initiative); G. Unger Vetlesen Foundation (Antarctic Research); US National Science Foundation [PLR-1543452, PLR-1443690]; Australian Antarctic Division [AAS 4346, 4511]; Australian Antarctic Gateway Partnership [SR140300001]; NERC [NE/K004956/2] Funding Source: UKRI</t>
  </si>
  <si>
    <t>Chinese Polar Environmental Comprehensive Investigation and Assessment Programs; National Natural Science Foundation of China(National Natural Science Foundation of China (NSFC)); National Key R&amp;D Program of China; British Council and US State Department (Global Innovation Initiative); G. Unger Vetlesen Foundation (Antarctic Research); US National Science Foundation(National Science Foundation (NSF)); Australian Antarctic Division; Australian Antarctic Gateway Partnership; NERC(UK Research &amp; Innovation (UKRI)Natural Environment Research Council (NERC))</t>
  </si>
  <si>
    <t>This research has been supported by the Chinese Polar Environmental Comprehensive Investigation and Assessment Programs (grant no. CHINARE-02-02), the National Natural Science Foundation of China (grant no. 41941006), the National Key R&amp;D Program of China (grant no. 2019YFC1509102), the British Council and US State Department (Global Innovation Initiative), the G. Unger Vetlesen Foundation (Antarctic Research), the US National Science Foundation (grant nos. PLR-1543452 and PLR-1443690), the Australian Antarctic Division (grant nos. AAS 4346 and 4511), and the Australian Antarctic Gateway Partnership (grant no. SR140300001).</t>
  </si>
  <si>
    <t>10.5194/essd-12-2765-2020</t>
  </si>
  <si>
    <t>OW2TH</t>
  </si>
  <si>
    <t>WOS:000592745400001</t>
  </si>
  <si>
    <t>Lang, D; Doh, S; Choi, Y</t>
  </si>
  <si>
    <t>Lang, Duckhee; Doh, Soogwan; Choi, Yongjin</t>
  </si>
  <si>
    <t>Networks of international co-authorship in journal articles about Antarctic research, 1998-2015</t>
  </si>
  <si>
    <t>Antarctica; polar; research cooperation; bibliometrics; social network analysis; Web of Science (WoS)</t>
  </si>
  <si>
    <t>BETWEENNESS CENTRALITY; SOCIAL NETWORK; POLAR RESEARCH; COLLABORATION; EVOLUTION; SCIENCE</t>
  </si>
  <si>
    <t>This study seeks insight into the social structure of Antarctic research from 1998 to 2015 by examining peer-reviewed journal articles listed in the Science Citation Index of the Web of Science database. This study identifies leading countries in peer-reviewed journal article output and applies social network analysis methods to identify countries where authors are collaborating with those affiliated with organizations in different countries. The results show that the number of publications on Antarctica and the proportion of international research collaboration increased from 23.0 to 33.2% during the period of time being considered. The number of articles published by authors affiliated with institutions in emerging countries such as China, Turkey, Brazil and South Korea rose, whereas the proportion of articles published by authors affiliated with institutions in the United States decreased. The largest proportion of academic publications pertaining to Antarctic research was within the natural sciences. Within this broad field, the majority of publications fell within Earth and related environmental sciences and the biological sciences. Social network analysis shows that Antarctic research moved towards a network, in which researchers are internationally more connected than ever before, with countries such as the United States, the United Kingdom, Germany, France and Australia in central positions. Sweden, Belgium and the Netherlands did not account for a high percentage of academic contributions but were still notable for their multinational collaborative research.</t>
  </si>
  <si>
    <t>[Lang, Duckhee] Korea Inst Ocean Sci &amp; Technol, Ocean Policy Inst, Busan, South Korea; [Doh, Soogwan] Univ Ulsan, Dept Publ Adm, 93 Daehak Ro, Ulsan 44610, South Korea; [Choi, Yongjin] SUNY Albany, Dept Publ Adm &amp; Policy, Rockefeller Coll Publ Affairs &amp; Policy, Albany, NY 12222 USA</t>
  </si>
  <si>
    <t>Korea Institute of Ocean Science &amp; Technology (KIOST); University of Ulsan; State University of New York (SUNY) System; State University of New York (SUNY) Albany</t>
  </si>
  <si>
    <t>Doh, S (corresponding author), Univ Ulsan, Dept Publ Adm, 93 Daehak Ro, Ulsan 44610, South Korea.</t>
  </si>
  <si>
    <t>doh.soogwan@gmail.com</t>
  </si>
  <si>
    <t>Choi, Yongjin/HZI-9416-2023; CHOI, YONGJIN/AAM-7586-2021</t>
  </si>
  <si>
    <t>Choi, Yongjin/0000-0002-4085-062X;</t>
  </si>
  <si>
    <t>Korea Institute of Ocean Science and Technology [PE99843]</t>
  </si>
  <si>
    <t>Korea Institute of Ocean Science and Technology</t>
  </si>
  <si>
    <t>This work was supported by the Korea Institute of Ocean Science and Technology (a study on the Integrated Management of Marine Space, grant no. PE99843).</t>
  </si>
  <si>
    <t>10.33265/polar.v39.3647</t>
  </si>
  <si>
    <t>OU7TI</t>
  </si>
  <si>
    <t>WOS:000591727100001</t>
  </si>
  <si>
    <t>Finch, G; Nandyal, S; Perretta, C; Davies, B; Rosendale, AJ; Holmes, CJ; Gantz, JD; Spacht, DE; Bailey, ST; Chen, XT; Oyen, K; Didion, EM; Chakraborty, S; Lee, RE; Denlinger, DL; Matter, SF; Attardo, GM; Weirauch, MT; Benoit, JB</t>
  </si>
  <si>
    <t>Finch, Geoffrey; Nandyal, Sonya; Perretta, Carlie; Davies, Benjamin; Rosendale, Andrew J.; Holmes, Christopher J.; Gantz, J. D.; Spacht, Drew E.; Bailey, Samuel T.; Chen, Xiaoting; Oyen, Kennan; Didion, Elise M.; Chakraborty, Souvik; Lee, Richard E., Jr.; Denlinger, David L.; Matter, Stephen F.; Attardo, Geoffrey M.; Weirauch, Matthew T.; Benoit, Joshua B.</t>
  </si>
  <si>
    <t>Multi-level analysis of reproduction in an Antarctic midge identifies female and male accessory gland products that are altered by larval stress and impact progeny viability</t>
  </si>
  <si>
    <t>GENOME-WIDE ANALYSIS; CONSPECIFIC SPERM PRECEDENCE; NF-KAPPA-B; BELGICA-ANTARCTICA; GENE-EXPRESSION; HEAT-SHOCK; ANOPHELES-GAMBIAE; LIFE-HISTORY; RNA-SEQ; DROSOPHILA-MELANOGASTER</t>
  </si>
  <si>
    <t>The Antarctic midge, Belgica antarctica, is a wingless, non-biting midge endemic to Antarctica. Larval development requires at least 2 years, but adults live only 2 weeks. The nonfeeding adults mate in swarms and females die shortly after oviposition. Eggs are suspended in a gel of unknown composition that is expressed from the female accessory gland. This project characterizes molecular mechanisms underlying reproduction in this midge by examining differential gene expression in whole males, females, and larvae, as well as in male and female accessory glands. Functional studies were used to assess the role of the gel encasing the eggs, as well as the impact of stress on reproductive biology. RNA-seq analyses revealed sex- and development-specific gene sets along with those associated with the accessory glands. Proteomic analyses were used to define the composition of the egg-containing gel, which is generated during multiple developmental stages and derived from both the accessory gland and other female organs. Functional studies indicate the gel provides a larval food source as well as a buffer for thermal and dehydration stress. All of these function are critical to juvenile survival. Larval dehydration stress directly reduces production of storage proteins and key accessory gland components, a feature that impacts adult reproductive success. Modeling reveals that bouts of dehydration may have a significant impact on population growth. This work lays a foundation for further examination of reproduction in midges and provides new information related to general reproduction in dipterans. A key aspect of this work is that reproduction and stress dynamics, currently understudied in polar organisms, are likely to prove critical in determining how climate change will alter their survivability.</t>
  </si>
  <si>
    <t>[Finch, Geoffrey; Nandyal, Sonya; Perretta, Carlie; Davies, Benjamin; Rosendale, Andrew J.; Holmes, Christopher J.; Bailey, Samuel T.; Oyen, Kennan; Didion, Elise M.; Chakraborty, Souvik; Matter, Stephen F.; Benoit, Joshua B.] Univ Cincinnati, Dept Biol Sci, Cincinnati, OH 45221 USA; [Rosendale, Andrew J.] Mt St Joseph Univ, Dept Biol, Cincinnati, OH USA; [Gantz, J. D.; Lee, Richard E., Jr.] Miami Univ, Dept Biol, Oxford, OH USA; [Gantz, J. D.] Hendrix Coll, Dept Biol &amp; Hlth Sci, Conway, AR USA; [Spacht, Drew E.; Denlinger, David L.] Ohio State Univ, Dept Entomol &amp; Evolut, Columbus, OH 43210 USA; [Spacht, Drew E.; Denlinger, David L.] Ohio State Univ, Dept Ecol, Columbus, OH 43210 USA; [Spacht, Drew E.; Denlinger, David L.] Ohio State Univ, Dept Organismal Biol, Columbus, OH 43210 USA; [Chen, Xiaoting; Weirauch, Matthew T.] Cincinnati Childrens Hosp Med Ctr, Ctr Autoimmune Genom &amp; Etiol, Cincinnati, OH 45229 USA; [Attardo, Geoffrey M.] Univ Calif Davis, Dept Entomol &amp; Nematol, Davis, CA 95616 USA; [Weirauch, Matthew T.] Cincinnati Childrens Hosp Med Ctr, Div Biomed Informat, Cincinnati, OH 45229 USA; [Weirauch, Matthew T.] Cincinnati Childrens Hosp Med Ctr, Div Dev Biol, Cincinnati, OH 45229 USA; [Weirauch, Matthew T.] Univ Cincinnati, Dept Pediat, Coll Med, Cincinnati, OH 45267 USA</t>
  </si>
  <si>
    <t>University System of Ohio; University of Cincinnati; University System of Ohio; Mount St. Joseph University; University System of Ohio; Miami University; University System of Ohio; Ohio State University; University System of Ohio; Ohio State University; University System of Ohio; Ohio State University; University System of Ohio; University of Cincinnati; Cincinnati Children's Hospital Medical Center; University of California System; University of California Davis; Cincinnati Children's Hospital Medical Center; Cincinnati Children's Hospital Medical Center; University System of Ohio; University of Cincinnati</t>
  </si>
  <si>
    <t>Benoit, JB (corresponding author), Univ Cincinnati, Dept Biol Sci, Cincinnati, OH 45221 USA.</t>
  </si>
  <si>
    <t>joshua.benoit@uc.edu</t>
  </si>
  <si>
    <t>Attardo, Geoffrey Michael/I-3320-2019</t>
  </si>
  <si>
    <t>Attardo, Geoffrey Michael/0000-0001-6265-2969; Didion, Elise/0000-0002-4987-8901</t>
  </si>
  <si>
    <t>National Science Foundation [DEB-1654417, OPP-1341393, OPP-1341385]; United States Department of Agriculture [2018-67013]</t>
  </si>
  <si>
    <t>National Science Foundation(National Science Foundation (NSF)); United States Department of Agriculture(United States Department of Agriculture (USDA))</t>
  </si>
  <si>
    <t>This work was supported by the National Science Foundation Grant DEB-1654417 (partially) and United States Department of Agriculture 2018-67013 (partially) to J.B.B., National Science Foundation grant OPP-1341393 to D.L.D., and National Science Foundation grant OPP-1341385 to R.E.L. We thank the staff at Palmer Station, Antarctica for assistance in logistics, experiments, and making the field season a pleasant experience.</t>
  </si>
  <si>
    <t>NOV 13</t>
  </si>
  <si>
    <t>10.1038/s41598-020-76139-6</t>
  </si>
  <si>
    <t>OZ0SK</t>
  </si>
  <si>
    <t>WOS:000594646400006</t>
  </si>
  <si>
    <t>Alfonso, S; Gesto, M; Sadoul, B</t>
  </si>
  <si>
    <t>Alfonso, Sebastien; Gesto, Manuel; Sadoul, Bastien</t>
  </si>
  <si>
    <t>Temperature increase and its effects on fish stress physiology in the context of global warming</t>
  </si>
  <si>
    <t>adaptive capacity; coping; cortisol; heat; plasticity; teleost</t>
  </si>
  <si>
    <t>HEAT-SHOCK PROTEINS; EUROPEAN SEA BASS; RAINBOW-TROUT; CLIMATE-CHANGE; WATER TEMPERATURE; THERMAL-STRESS; ACCLIMATION TEMPERATURE; FRESH-WATER; ATLANTIC SALMON; ANTARCTIC FISH</t>
  </si>
  <si>
    <t>The capacity of fishes to cope with environmental variation is considered to be a main determinant of their fitness and is partly determined by their stress physiology. By 2100, global ocean temperature is expected to rise by 1-4 degrees C, with potential consequences for stress physiology. Global warming is affecting animal populations worldwide through chronic temperature increases and an increase in the frequency of extreme heatwave events. As ectotherms, fishes are expected to be particularly vulnerable to global warming. Although little information is available about the effects of global warming on stress physiology in nature, multiple studies describe the consequences of temperature increases on stress physiology in controlled laboratory conditions, providing insight into what can be expected in the wild. Chronic temperature increase constitutes a physiological load that can alter the ability of fishes to cope with additional stressors, which might compromise their fitness. In addition, rapid temperature increases are known to induce acute stress responses in fishes and might be of ecological relevance in particular situations. This review summarizes knowledge about effects of temperature increases on the stress physiology of fishes and discusses these in the context of global warming.</t>
  </si>
  <si>
    <t>[Alfonso, Sebastien] COISPA Tecnol &amp; Ric, Stn Sperimentale Studio Risorse Mare, Bari, Italy; [Gesto, Manuel] Tech Univ Denmark, Sect Aquaculture, DTU Aqua, Hirtshals, Denmark; [Sadoul, Bastien] IFREMER, CNRS, MARBEC, IRD,UM2, Sete, France; [Sadoul, Bastien] INRAE, Inst Agro, Ecol &amp; Ecosyst Hlth, ESE, Rennes, France</t>
  </si>
  <si>
    <t>Technical University of Denmark; Centre National de la Recherche Scientifique (CNRS); Ifremer; Institut de Recherche pour le Developpement (IRD); Universite de Montpellier; INRAE; Institut Agro</t>
  </si>
  <si>
    <t>Alfonso, S (corresponding author), COISPA Tecnol &amp; Ric, Via Trulli 18, I-70126 Bari, Italy.</t>
  </si>
  <si>
    <t>salfonso@coispa.eu</t>
  </si>
  <si>
    <t>Gesto, Manuel/G-1032-2018</t>
  </si>
  <si>
    <t>Gesto, Manuel/0000-0002-9136-7857; Alfonso, Sebastien/0000-0002-2471-2876; Sadoul, Bastien/0000-0001-5968-3983</t>
  </si>
  <si>
    <t>10.1111/jfb.14599</t>
  </si>
  <si>
    <t>TR5VA</t>
  </si>
  <si>
    <t>WOS:000588735000001</t>
  </si>
  <si>
    <t>Rosa, AC; Martins, FD; Langeani, F</t>
  </si>
  <si>
    <t>Rosa, Alaina Cristine; Martins, Fernanda de Oliveira; Langeani, Francisco</t>
  </si>
  <si>
    <t>Gross brain morphology of Hypoptopomatinae and Neoplecostominae (Siluriformes: Loricariidae): Comparative anatomy and phylogenetic implications</t>
  </si>
  <si>
    <t>JOURNAL OF ZOOLOGICAL SYSTEMATICS AND EVOLUTIONARY RESEARCH</t>
  </si>
  <si>
    <t>catfishes; central nervous system; neuroanatomy; phylogeny; systematics</t>
  </si>
  <si>
    <t>SENSE ORGAN ANATOMY; ANTARCTIC NOTOTHENIOID FISHES; BULLHEAD CATFISH; MOLECULAR PHYLOGENY; FIBER-CONNECTIONS; PERCIFORMES; HISTOLOGY; ORGANIZATION; CEREBELLUM; DIVERSIFICATION</t>
  </si>
  <si>
    <t>Hypoptopomatinae and Neoplecostominae include about 250 valid species, a substantial portion of loricariid catfishes. Although the relationships among the members of these subfamilies have been inferred by many authors, the most recent hypotheses based on morphological and molecular data differ widely. Herein, we provide new data on the morphology of the central nervous system, and evaluate the usefulness of these characters in phylogenetic inference. To accomplish this, we characterized the gross brain morphology of those catfishes, and analyzed 54 neuroanatomical characters in a total of 40 terminal taxa representing Hypoptopomatinae and Neoplecostominae, and also members of Delturinae and Hypostominae as outgroups. Hypoptopomatinae and Neoplecostominae are recovered as separate subfamilies, and most of our results are compatible with morphology-based analyses. We conclude that neuroanatomy provides an informative source of new characters with strong phylogenetic signal at all recovered taxonomic levels.</t>
  </si>
  <si>
    <t>[Rosa, Alaina Cristine; Langeani, Francisco] UNESP Univ Estadual Paulista, Sao Jose Do Rio Preto, Brazil; [Martins, Fernanda de Oliveira] IFPR Inst Fed Parana, Campus Londrina, Londrina, Parana, Brazil; [Martins, Fernanda de Oliveira] Univ Estadual Londrina, MZUEL Museu Zool, Londrina, Parana, Brazil</t>
  </si>
  <si>
    <t>Universidade Estadual Paulista; Instituto Federal do Parana; Universidade Estadual de Londrina</t>
  </si>
  <si>
    <t>Martins, FD (corresponding author), IFPR Inst Fed Parana, Campus Londrina, Londrina, Parana, Brazil.</t>
  </si>
  <si>
    <t>fernanda_martins2@hotmail.com</t>
  </si>
  <si>
    <t>Martins, Fernanda/GXG-8067-2022; Langeani, Francisco/B-7880-2012</t>
  </si>
  <si>
    <t>Langeani, Francisco/0000-0001-7376-4798; Martins, Fernanda/0000-0003-0673-7751; ROSA, ALAINA CRISTINE/0000-0002-1068-7913</t>
  </si>
  <si>
    <t>Fundacao de Amparo a Pesquisa do Estado de Sao Paulo (FAPESP) [2012/23231-5, 2012/21728-7, 2012/23224-9]; Conselho Nacional de Desenvolvimento Cientifico e Tecnologico (CNPq) [305.756/2018-4, 425695/2018-2]; Coordenacao de Aperfeicoamento de Pessoal de Nivel Superior (CAPES) [00889834/0001-08]</t>
  </si>
  <si>
    <t>Fundacao de Amparo a Pesquisa do Estado de Sao Paulo (FAPESP)(Fundacao de Amparo a Pesquisa do Estado de Sao Paulo (FAPESP)); Conselho Nacional de Desenvolvimento Cientifico e Tecnologico (CNPq)(Conselho Nacional de Desenvolvimento Cientifico e Tecnologico (CNPQ)); Coordenacao de Aperfeicoamento de Pessoal de Nivel Superior (CAPES)(Coordenacao de Aperfeicoamento de Pessoal de Nivel Superior (CAPES))</t>
  </si>
  <si>
    <t>We are grateful to Carla S. Pavanelli (NUP), Carlos A. Lucena (MCP), Claudio Oliveira (LBP), Luiz Roberto Malabarba (UFRGS), Marcelo Britto (MNRJ), Mario de Pinna (MZUSP), Osvaldo Oyakawa (MZUSP), Paulo A. Buckup (MNRJ), and Roberto E. Reis (MCP) for the loan of specimens, Fabio M. Pupo for the help and assistance with comparative material, and Brian Sidlauskas for the English revision. TNT is provided free by the Willi Hennig Society. The authors were supported by fellowships from Fundacao de Amparo a Pesquisa do Estado de Sao Paulo (FAPESP, 2012/23231-5 to ACR; 2012/21728-7 to FOM; 2012/23224-9 to FL), Conselho Nacional de Desenvolvimento Cientifico e Tecnologico (CNPq, 305.756/2018-4 to FL; 425695/2018-2 to FOM), and Coordenacao de Aperfeicoamento de Pessoal de Nivel Superior (CAPES, 00889834/0001-08, to ACR).</t>
  </si>
  <si>
    <t>WILEY-HINDAWI</t>
  </si>
  <si>
    <t>ADAM HOUSE, 3RD FL, 1 FITZROY SQ, LONDON, WIT 5HE, ENGLAND</t>
  </si>
  <si>
    <t>0947-5745</t>
  </si>
  <si>
    <t>1439-0469</t>
  </si>
  <si>
    <t>J ZOOL SYST EVOL RES</t>
  </si>
  <si>
    <t>J. Zool. Syst. Evol. Res.</t>
  </si>
  <si>
    <t>10.1111/jzs.12424</t>
  </si>
  <si>
    <t>Evolutionary Biology; Zoology</t>
  </si>
  <si>
    <t>PN2RK</t>
  </si>
  <si>
    <t>WOS:000588791700001</t>
  </si>
  <si>
    <t>Baumer, MM; Wagner, B; Meyer, H; Leicher, N; Lenz, M; Fedorov, G; Pestryakova, LA; Melles, M</t>
  </si>
  <si>
    <t>Baumer, Marlene M.; Wagner, Bernd; Meyer, Hanno; Leicher, Niklas; Lenz, Matthias; Fedorov, Grigory; Pestryakova, Luidmila A.; Melles, Martin</t>
  </si>
  <si>
    <t>Climatic and environmental changes in the Yana Highlands of north-eastern Siberia over the last c. 57 000 years, derived from a sediment core from Lake Emanda</t>
  </si>
  <si>
    <t>LATE QUATERNARY GLACIATIONS; POLAR URAL MOUNTAINS; LENA RIVER DELTA; SEA-LEVEL CHANGE; VERKHOYANSK MOUNTAINS; ORGANIC-MATTER; POLLEN RECORD; HOLOCENE TRANSITION; VEGETATION HISTORY; ICE COMPLEX</t>
  </si>
  <si>
    <t>The sediment succession of Lake Emanda in the Yana Highlands was investigated to reconstruct the regional late Quaternary climate and environmental history. Hydro-acoustic data obtained during a field campaign in 2017 show laminated sediments in the north-western and deepest (up to -m) part of the lake, where a similar to 6-m-long sediment core (Co1412) was retrieved. The sediment core was studied with a multi-proxy approach including sedimentological and geochemical analyses. The chronology of Co1412 is based on C-14 AMS dating on plant fragments from the upper 4.65 m and by extrapolation suggests a basal age of c. 57 cal. ka BP. Pronounced changes in the proxy data indicate that early Marine Isotope Stage (MIS) 3 was characterized by unstable environmental conditions associated with short-term temperature and/or precipitation variations. This interval was followed by progressively colder and likely drier conditions during mid-MIS 3. A lake-level decline between 32.0 and 19.1 cal. ka BP was presumably related to increased continentality and dry conditions peaking during the Last Glacial Maximum (LGM). A subsequent rise in lake level could accordingly have been the result of increased rainfall, probably in combination with seasonally high meltwater input. A milder or wetter Lateglacial climate increased lake productivity and vegetation growth, the latter stabilizing the catchment and reducing clastic input into the lake. The Bolling-Allerod warming, Younger Dryas cooling and Holocene Thermal Maximum (HTM) are indicated by distinct changes in the environment around Lake Emanda. Unstable, but similar-to-present-day climatic and environmental conditions have persisted since c. 5 cal. ka BP. The results emphasize the highly continental setting of the study site and therefore suggest that the climate at Lake Emanda was predominantly controlled by changes in summer insolation, global sea level, and the extent of ice sheets over Eurasia, which influenced atmospheric circulation patterns.</t>
  </si>
  <si>
    <t>[Baumer, Marlene M.; Wagner, Bernd; Leicher, Niklas; Lenz, Matthias; Melles, Martin] Univ Cologne, Inst Geol &amp; Mineral, Zulpicher Str 49a, D-50674 Cologne, Germany; [Meyer, Hanno] Res Dept Potsdam, Helmholtz Ctr Polar &amp; Marine Res, Alfred Wegener Inst, Dept Periglacial Res, Telegrafenberg A43, D-14473 Potsdam, Germany; [Fedorov, Grigory] St Petersburg State Univ, Inst Earth Sci, Geomorphol Dept, Univ Skaya Nab 7-9, St Petersburg 199034, Russia; [Fedorov, Grigory] Arctic &amp; Antarctic Res Inst, Dept Geog Polar Reg, Bering Str 38, St Petersburg 199397, Russia; [Pestryakova, Luidmila A.] North Eastern Fed Univ Yakutsk, Inst Biochem &amp; Biol, Belinsky St 58, Yakutsk 677000, Russia</t>
  </si>
  <si>
    <t>University of Cologne; Helmholtz Association; Alfred Wegener Institute, Helmholtz Centre for Polar &amp; Marine Research; Saint Petersburg State University; Arctic &amp; Antarctic Research Institute; North-Eastern Federal University in Yakutsk</t>
  </si>
  <si>
    <t>Baumer, MM (corresponding author), Univ Cologne, Inst Geol &amp; Mineral, Zulpicher Str 49a, D-50674 Cologne, Germany.</t>
  </si>
  <si>
    <t>baumermarlene@googlemail.com</t>
  </si>
  <si>
    <t>Fedorov, Grigory/N-5788-2019; Pestryakova, Luidmila/Q-9900-2016; Meyer, Hanno/AAQ-4260-2021; Wagner, Bernd/J-4682-2012; Melles, Martin/J-4070-2012</t>
  </si>
  <si>
    <t>Fedorov, Grigory/0000-0003-2269-4501; Pestryakova, Luidmila/0000-0001-5347-4478; Meyer, Hanno/0000-0003-4129-4706; Wagner, Bernd/0000-0002-1369-7893; Melles, Martin/0000-0003-0977-9463; Leicher, Niklas/0000-0002-3367-5982; Lenz (nee Baumer), Marlene Margit/0000-0002-5352-3900</t>
  </si>
  <si>
    <t>German Federal Ministry of Education and Research (BMBF) [03F0830A]; Russian Foundation for Basic Research [18-45-140053 r_a]; Russian Ministry of Education and Science [FSRG-2020-0019]; Projekt DEAL</t>
  </si>
  <si>
    <t>German Federal Ministry of Education and Research (BMBF)(Federal Ministry of Education &amp; Research (BMBF)); Russian Foundation for Basic Research(Russian Foundation for Basic Research (RFBR)Spanish Government); Russian Ministry of Education and Science(Ministry of Education and Science, Russian Federation); Projekt DEAL</t>
  </si>
  <si>
    <t>Financial support for this study was provided by the German Federal Ministry of Education and Research (BMBF; grant no. 03F0830A). The work of L. Pestryakova was sponsored by the Russian Foundation for Basic Research (grant no. 18-45-140053 r_a) and the Russian Ministry of Education and Science (FSRG-2020-0019). We are grateful to various colleagues from the North-Eastern Federal University in Yakutsk for their logistical help during the fieldwork in summer 2017. We also acknowledge Dima Bolshiyanov from the Arctic and Antarctic Research Institute in St. Petersburg for his participation in the field campaign. Nicole Mantke and Dorothea Klinghardt from the University of Cologne are acknowledged for their assistance during laboratory work. We also thank P. Tarasov and another anonymous reviewer as well as the editor Jan A. Piotrowski for their constructive comments. Proxy data of core Co1412 are available via the PANGAEA data repository after publication. The authors have no conflict of interest, financial or otherwise, to declare. Open access funding enabled and organized by Projekt DEAL.</t>
  </si>
  <si>
    <t>10.1111/bor.12476</t>
  </si>
  <si>
    <t>WOS:000588710900001</t>
  </si>
  <si>
    <t>Ichii, T; Mori, Y; Mahapatra, K; Trathan, PN; Okazaki, M; Hayashi, T; Okuda, T</t>
  </si>
  <si>
    <t>Ichii, Taro; Mori, Yoshihisa; Mahapatra, Kedarnath; Trathan, Philip N.; Okazaki, Makoto; Hayashi, Tomonari; Okuda, Takehiro</t>
  </si>
  <si>
    <t>Body length-dependent diel vertical migration of Antarctic krill in relation to food availability and predator avoidance in winter at South Georgia</t>
  </si>
  <si>
    <t>Euphausia superba; Overwintering; DVM; Predator avoidance; Trade-off; Antarctic fur seal; Optimal foraging dive; South Georgia</t>
  </si>
  <si>
    <t>EUPHAUSIA-SUPERBA; FUR SEALS; RESPONSES; BEHAVIOR; ZOOPLANKTON; POPULATIONS; COVER; WATER</t>
  </si>
  <si>
    <t>We analyzed diel vertical migration (DVM) of overwintering Antarctic krill at South Georgia, a region that remains ice-free during the austral winter. We considered DVM in relation to krill body length, based on Japanese krill fishery data (1990-2012), and examined DVM in relation to food availability and predator (Antarctic fur seal) avoidance. We report that diel changes in median trawling depth (a proxy for krill vertical distribution) showed significant interannual variation; the overall trend was such that during both daytime and nighttime, the larger the average size of krill, the deeper their median depth. Consistent with the literature, this size-dependent DVM relates to food availability and size-dependent diet; that is, with increasing body length, krill tend to rely less on phytoplankton (which are available in surface layers) as a winter food source. Concerning predator avoidance, and based on analyses using an optimal foraging dive model for fur seals, DVM showed close agreement with size-dependent predation risk; that is, larger krill remained deeper, thereby reducing mortality from fur seals. Therefore, DVM of overwintering krill appears to reflect a compromise between adequate feeding conditions and minimizing predation risk. There was, however, an exception that krill occurred at a shallow depth in winter 2006 when phytoplankton abundance was particularly low and krill density was very high. This supports the hypothesis that physiological demands (i.e. hunger) may become a more important factor affecting DVM than predator avoidance under conditions of insufficient food availability.</t>
  </si>
  <si>
    <t>[Ichii, Taro; Okazaki, Makoto; Okuda, Takehiro] Japan Fisheries Res &amp; Educ Agcy, Fisheries Resources Inst, 2-12-4 Fukuura, Yokohama, Kanagawa 2368648, Japan; [Mori, Yoshihisa] Teikyo Univ Sci &amp; Technol, Dept Anim Sci, 2525 Yatsusawa, Uenohara, Yamanashi 4090193, Japan; [Mahapatra, Kedarnath] Tokai Univ, Sch Marine Sci &amp; Technol, 3-20-1 Orido, Shizuoka, Shizuoka 4248610, Japan; [Trathan, Philip N.] British Antarctic Survey, Nat Environm Res Council, Madingley Rd, Cambridge CB3 0ET, England; [Hayashi, Tomonari] Japan Fisheries Resource Conservat Assoc, Chuo Ku, Towa Akashi Bldg,1-1 Akashi, Tokyo 1040044, Japan</t>
  </si>
  <si>
    <t>Japan Fisheries Research &amp; Education Agency (FRA); Tokai University; UK Research &amp; Innovation (UKRI); Natural Environment Research Council (NERC); NERC British Antarctic Survey</t>
  </si>
  <si>
    <t>Ichii, T (corresponding author), Japan Fisheries Res &amp; Educ Agcy, Fisheries Resources Inst, 2-12-4 Fukuura, Yokohama, Kanagawa 2368648, Japan.</t>
  </si>
  <si>
    <t>ichii@affrc.go.jp</t>
  </si>
  <si>
    <t>Ichii, Taro/0000-0001-6587-2174</t>
  </si>
  <si>
    <t>project on the evaluation of status of international fishery resources by Fisheries Agency of Japan; NERC [bas0100035] Funding Source: UKRI</t>
  </si>
  <si>
    <t>project on the evaluation of status of international fishery resources by Fisheries Agency of Japan; NERC(UK Research &amp; Innovation (UKRI)Natural Environment Research Council (NERC))</t>
  </si>
  <si>
    <t>This study was supported by the project on the evaluation of status of international fishery resources by Fisheries Agency of Japan. We thank K. Sawada for statistical support and M. Kitamura for information on phyto-and zooplankton. We acknowledge the anonymous reviewers for their constructive and insightful comments, which improved the manuscript.</t>
  </si>
  <si>
    <t>NOV 12</t>
  </si>
  <si>
    <t>10.3354/meps13508</t>
  </si>
  <si>
    <t>QL7AS</t>
  </si>
  <si>
    <t>WOS:000621236300004</t>
  </si>
  <si>
    <t>Riaz, J; Bestley, S; Wotherspoon, S; Freyer, J; Emmerson, L</t>
  </si>
  <si>
    <t>Riaz, Javed; Bestley, Sophie; Wotherspoon, Simon; Freyer, Julien; Emmerson, Louise</t>
  </si>
  <si>
    <t>From trips to bouts to dives: temporal patterns in the diving behaviour of chick-rearing Adelie penguins, East Antarctica</t>
  </si>
  <si>
    <t>Foraging behaviour; Pygoscelis adeliae; Diving; Chick provisioning; Guard; Creche; East Antarctic</t>
  </si>
  <si>
    <t>KRILL EUPHAUSIA-SUPERBA; FORAGING BEHAVIOR; PYGOSCELIS-ADELIAE; SEA-ICE; BECHERVAISE-ISLAND; SEASONAL-CHANGES; AD,LIE PENGUINS; EMPEROR PENGUINS; POINTE GEOLOGIE; KING PENGUINS</t>
  </si>
  <si>
    <t>Breeding Adelie penguins forage at sea and return to land to provision their chicks, adjusting their foraging behaviour in response to environmental fluctuations over time. At Becher-vaise Island, a nesting site in an East Antarctic population, Adelie penguin diving behaviour remains undocumented. This represents a key area of uncertainty in efforts to understand and predict foraging success at this colony. We compiled a multi-year telemetry dataset from time-depth recorders deployed from 1992 to 2004 on 64 birds at Bechervaise Island. We examined diving activity at multiple scales, ranging from foraging trips (n = 125) to dive bouts (n = 3461) to individual dives (n = 84 521), and then characterised the stage- and sex-specific variation in diving behaviour of chick-rearing Adelie penguins using linear mixed effect models. Total foraging trip effort (trip duration, number of dives, vertical distance travelled and number of wiggles [a proxy for prey ingestion]) substantially increased as the chick-rearing period progressed (guard through creche), consistent with increasing chick provisioning and self-maintenance requirements over time. Foraging activity was predominantly structured in periods of sustained diving bouts, indicating sustained foraging effort over the course of the foraging trip. Diving behaviour (dive-level depth, duration, bottom time and attempts of catch per unit effort) varied in relation to sex and chick-rearing stage. Dives were performed more frequently during high and low levels of solar light, which is likely linked to visual predation strategies or prey activity. Our findings advance our understanding of this population's foraging behaviour, which is ultimately required to underpin the conservation and management of this breeding colony.</t>
  </si>
  <si>
    <t>[Riaz, Javed; Bestley, Sophie; Wotherspoon, Simon; Freyer, Julien] Univ Tasmania, Inst Marine &amp; Antarctic Studies, Private Bag 129, Hobart, Tas 7001, Australia; [Riaz, Javed; Wotherspoon, Simon; Emmerson, Louise] Australian Antarctic Div, 203 Channel Highway, Kingston, Tas 7050, Australia</t>
  </si>
  <si>
    <t>University of Tasmania; Australian Antarctic Division</t>
  </si>
  <si>
    <t>Riaz, J (corresponding author), Univ Tasmania, Inst Marine &amp; Antarctic Studies, Private Bag 129, Hobart, Tas 7001, Australia.;Riaz, J (corresponding author), Australian Antarctic Div, 203 Channel Highway, Kingston, Tas 7050, Australia.</t>
  </si>
  <si>
    <t>javed.riaz@utas.edu.au</t>
  </si>
  <si>
    <t>Wotherspoon, Simon J/B-2390-2013; Bestley, Sophie/AAN-2483-2021</t>
  </si>
  <si>
    <t>Wotherspoon, Simon J/0000-0002-6947-4445; Bestley, Sophie/0000-0001-9342-669X; Riaz, Javed/0000-0002-2729-6433</t>
  </si>
  <si>
    <t>Australian Research Council Discovery Early Career Research Award (DECRA) [DE180100828]; AAS projects [2205, 2722, 4087]</t>
  </si>
  <si>
    <t>Australian Research Council Discovery Early Career Research Award (DECRA)(Australian Research Council); AAS projects</t>
  </si>
  <si>
    <t>We thank the many field staff and engineers who assisted in monitoring the Adelie penguins at Bechervaise Island. We also thank Knowles Kerry, now retired from the Australian Antarctic Division, and Judy Clarke for their efforts in instigating and overseeing the initial years of the long-term Adelie penguin monitoring programme. Attachment of instruments and the implantation of electronic tags to penguins occurred with approval from the Australian Antarctic Division Animal Ethics Committee. S.B. was supported under the Australian Research Council Discovery Early Career Research Award (DECRA) project DE180100828. This research was supported by AAS projects 2205, 2722 and 4087.</t>
  </si>
  <si>
    <t>10.3354/meps13519</t>
  </si>
  <si>
    <t>WOS:000621236300012</t>
  </si>
  <si>
    <t>Carlsen, T; Birnbaum, G; Ehrlich, A; Helm, V; Jäkel, E; Schäfer, M; Wendisch, M</t>
  </si>
  <si>
    <t>Carlsen, Tim; Birnbaum, Gerit; Ehrlich, Andre; Helm, Veit; Jaekel, Evelyn; Schaefer, Michael; Wendisch, Manfred</t>
  </si>
  <si>
    <t>Parameterizing anisotropic reflectance of snow surfaces from airborne digital camera observations in Antarctica</t>
  </si>
  <si>
    <t>AEROSOL OPTICAL DEPTH; BROAD-BAND ALBEDO; BIDIRECTIONAL-REFLECTANCE; SEA-ICE; RADIATIVE-TRANSFER; GRAIN-SIZE; IN-SITU; NARROW-BAND; RETRIEVAL; BRDF</t>
  </si>
  <si>
    <t>The surface reflection of solar radiation comprises an important boundary condition for solar radiative transfer simulations. In polar regions above snow surfaces, the surface reflection is particularly anisotropic due to low Sun elevations and the highly anisotropic scattering phase function of the snow crystals. The characterization of this surface reflection anisotropy is essential for satellite remote sensing over both the Arctic and Antarctica. To quantify the angular snow reflection properties, the hemispherical-directional reflectance factor (HDRF) of snow surfaces was derived from airborne measurements in Antarctica during austral summer in 2013/14. For this purpose, a digital 180 degrees fisheye camera (green channel, 490-585 nm wavelength band) was used. The HDRF was measured for different surface roughness conditions, optical-equivalent snow grain sizes, and solar zenith angles. The airborne observations covered an area of around 1000 km x 1000 km in the vicinity of Kohnen Station (75 degrees 0' S, 0 degrees 4' E) at the outer part of the East Antarctic Plateau. The observations include regions with higher (coastal areas) and lower (inner Antarctica) precipitation amounts and frequencies. The digital camera provided upward, angular-dependent radiance measurements from the lower hemisphere. The comparison of the measured HDRF derived for smooth and rough snow surfaces (sastrugi) showed significant differences, which are superimposed on the diurnal cycle. By inverting a semiempirical kernel-driven bidirectional reflectance distribution function (BRDF) model, the measured HDRF of snow surfaces was parameterized as a function of solar zenith angle, surface roughness, and optical-equivalent snow grain size. This allows a direct comparison of the HDRF measurements with the BRDF derived from the Moderate Resolution Imaging Spectroradiometer (MODIS) satellite product MCD43. For the analyzed cases, MODIS observations (545-565 nm wavelength band) generally underestimated the anisotropy of the surface reflection. The largest deviations were found for the volumetric model weight fvol (average underestimation by a factor of 10). These deviations are likely linked to short-term changes in snow properties.</t>
  </si>
  <si>
    <t>[Carlsen, Tim; Ehrlich, Andre; Jaekel, Evelyn; Schaefer, Michael; Wendisch, Manfred] Univ Leipzig, Leipzig Inst Meteorol, Leipzig, Germany; [Birnbaum, Gerit; Helm, Veit] Alfred Wegener Inst, Helmholtz Ctr Polar &amp; Marine Res, Bremerhaven, Germany; [Carlsen, Tim] Univ Oslo, Dept Geosci, Oslo, Norway</t>
  </si>
  <si>
    <t>Leipzig University; Helmholtz Association; Alfred Wegener Institute, Helmholtz Centre for Polar &amp; Marine Research; University of Oslo</t>
  </si>
  <si>
    <t>Carlsen, T (corresponding author), Univ Leipzig, Leipzig Inst Meteorol, Leipzig, Germany.</t>
  </si>
  <si>
    <t>tim.carlsen@geo.uio.no</t>
  </si>
  <si>
    <t>amplification, ³ - Arctic/AAU-6640-2020; Carlsen, Tim/G-2195-2017; Wendisch, Manfred/E-4175-2013; Ehrlich, André/H-9670-2013</t>
  </si>
  <si>
    <t>Carlsen, Tim/0000-0003-0695-9047; Wendisch, Manfred/0000-0002-4652-5561; Ehrlich, André/0000-0003-0860-8216; Jakel, Evelyn/0009-0008-9181-3432; Helm, Veit/0000-0001-7788-9328</t>
  </si>
  <si>
    <t>Deutsche Forschungsgemeinschaft [WE1900/29-1, BI 816/4-1, 268020496]; European Research Council [StG 778005]</t>
  </si>
  <si>
    <t>Deutsche Forschungsgemeinschaft(German Research Foundation (DFG)); European Research Council(European Research Council (ERC))</t>
  </si>
  <si>
    <t>This research has been supported by the Deutsche Forschungsgemeinschaft (grant nos. WE1900/29-1, BI 816/4-1, and 268020496) and the European Research Council (grant StG 778005).</t>
  </si>
  <si>
    <t>10.5194/tc-14-3959-2020</t>
  </si>
  <si>
    <t>OV8QW</t>
  </si>
  <si>
    <t>WOS:000592468300001</t>
  </si>
  <si>
    <t>Lee, H; Lee, K; Lunder, CR; Krejci, R; Aas, W; Park, J; Park, KT; Lee, BY; Yoon, YJ; Park, K</t>
  </si>
  <si>
    <t>Lee, Haebum; Lee, Kwangyul; Lunder, Chris Rene; Krejci, Radovan; Aas, Wenche; Park, Jiyeon; Park, Ki-Tae; Lee, Bang Yong; Yoon, Young Jun; Park, Kihong</t>
  </si>
  <si>
    <t>Atmospheric new particle formation characteristics in the Arctic as measured at Mount Zeppelin, Svalbard, from 2016 to 2018</t>
  </si>
  <si>
    <t>AEROSOL-SIZE DISTRIBUTION; MARINE BOUNDARY-LAYER; KING SEJONG STATION; DIMETHYL SULFIDE; FORMATION EVENTS; ANTARCTIC PENINSULA; AIR-POLLUTION; BLACK CARBON; RIVER DELTA; NY-ALESUND</t>
  </si>
  <si>
    <t>We conducted continuous measurements of nanoparticles down to 3 nm size in the Arctic at Mount Zeppelin, Ny Alesund, Svalbard, from October 2016 to December 2018, providing a size distribution of nanoparticles (3-60 nm). A significant number of nanoparticles as small as 3 nm were often observed during new particle formation (NPF), particularly in summer, suggesting that these were likely produced near the site rather than being transported from other regions after growth. The average NPF frequency per year was 23 %, having the highest percentage in August (63 %). The average formation rate (J) and growth rate (GR) for 3-7 nm particles were 0.04 cm(-3) s(-1) and 2.07 nm h(-1), respectively. Although NPF frequency in the Arctic was comparable to that in continental areas, the J and GR were much lower. The number of nanoparticles increased more frequently when air mass originated over the south and southwest ocean regions; this pattern overlapped with regions having strong chlorophyll a concentration and dimethyl sulfide (DMS) production capacity (southwest ocean) and was also associated with increased NH3 and H2SO4 concentration, suggesting that marine biogenic sources were responsible for gaseous precursors to NPF. Our results show that previously developed NPF occurrence criteria (low loss rate and high cluster growth rate favor NPF) are also applicable to NPF in the Arctic.</t>
  </si>
  <si>
    <t>[Lee, Haebum; Lee, Kwangyul; Park, Kihong] Gwangju Inst Sci &amp; Technol, Sch Earth Sci &amp; Environm Engn, 123 Cheomdangwagiro, Gwangju 61005, South Korea; [Lunder, Chris Rene; Aas, Wenche] NILU Norwegian Inst Air Res, Dept Atmospher &amp; Climate Res, Kjeller, Norway; [Krejci, Radovan] Stockholm Univ, Dept Environm Sci, S-10691 Stockholm, Sweden; [Krejci, Radovan] Stockholm Univ, Bolin Ctr Climate Res, S-10691 Stockholm, Sweden; [Park, Jiyeon; Park, Ki-Tae; Lee, Bang Yong; Yoon, Young Jun] Korea Polar Res Inst, 26 Songdo Mirae Ro, Incheon, South Korea</t>
  </si>
  <si>
    <t>Gwangju Institute of Science &amp; Technology (GIST); NILU; Stockholm University; Stockholm University; Korea Polar Research Institute (KOPRI)</t>
  </si>
  <si>
    <t>Park, K (corresponding author), Gwangju Inst Sci &amp; Technol, Sch Earth Sci &amp; Environm Engn, 123 Cheomdangwagiro, Gwangju 61005, South Korea.;Yoon, YJ (corresponding author), Korea Polar Res Inst, 26 Songdo Mirae Ro, Incheon, South Korea.</t>
  </si>
  <si>
    <t>yjyoon@kopri.re.kr; kpark@gist.ac.kr</t>
  </si>
  <si>
    <t>Lee, Haebum/ISS-1832-2023; Aas, Wenche/GMX-4244-2022; Krejci, Radovan/L-3257-2013; Park, Ki-Tae/CAF-2480-2022; Aas, Wenche/K-6439-2012</t>
  </si>
  <si>
    <t>Lee, Haebum/0009-0001-2045-8532; Krejci, Radovan/0000-0002-9384-9702; Aas, Wenche/0000-0002-2908-1970</t>
  </si>
  <si>
    <t>National Research Foundation of Korea grants from the Korean Government [NRF-2016M1A5A1901779, NRF-2019R1A2C3007202]; Knut and Alice Wallenberg Foundation within the ACAS project [2016.0024]; FORMAS [2016-01427]; Formas [2016-01427] Funding Source: Formas</t>
  </si>
  <si>
    <t>National Research Foundation of Korea grants from the Korean Government(National Research Foundation of Korea); Knut and Alice Wallenberg Foundation within the ACAS project; FORMAS(Swedish Research Council Formas); Formas(Swedish Research Council Formas)</t>
  </si>
  <si>
    <t>This research has been supported by National Research Foundation of Korea grants from the Korean Government (grant nos. NRF-2016M1A5A1901779 and NRF-2019R1A2C3007202), the Knut and Alice Wallenberg Foundation within the ACAS project (Arctic Climate Across Scales, project no. 2016.0024), and FORMAS (project no. 2016-01427).</t>
  </si>
  <si>
    <t>10.5194/acp-20-13425-2020</t>
  </si>
  <si>
    <t>OQ2IC</t>
  </si>
  <si>
    <t>WOS:000588611700002</t>
  </si>
  <si>
    <t>Crisp, JRA; Ellison, JC; Fischer, A</t>
  </si>
  <si>
    <t>Crisp, Jake R. A.; Ellison, Joanna C.; Fischer, Andrew</t>
  </si>
  <si>
    <t>Current trends and future directions in quantitative geodiversity assessment</t>
  </si>
  <si>
    <t>PROGRESS IN PHYSICAL GEOGRAPHY-EARTH AND ENVIRONMENT</t>
  </si>
  <si>
    <t>Scientometric; natural; diversity; geodiversity; biodiversity; assessment</t>
  </si>
  <si>
    <t>GEOMORPHOLOGICAL HETEROGENEITY; BIODIVERSITY; DIVERSITY; GEOCONSERVATION; AREA; BRAZIL; INDEX; STATE; LANDSCAPES; PROTECTION</t>
  </si>
  <si>
    <t>Geodiversity assessment is recent and is passing through a stage of methodological development and consolidation. With rapid environmental change, improving the developmental states of geodiversity assessment is of paramount importance. A scientometric analysis is presented to identify knowledge gaps, current trends and avenues for future research in quantitative geodiversity assessment literature. The study is categorised into three areas of analysis: (a) methodological intentions of geodiversity assessment, (b) current trends in geodiversity assessment methods and (c) current geographic trends. A ranking tool was developed to determine whether the current methodological intentions of geodiversity assessments trend towards combined geodiversity and biodiversity assessments or towards the independent assessment of geodiversity. Results showed that about 50% of publications independently assessed geodiversity with no consideration for biodiversity, 32% discussed or reviewed geodiversity by mentioning potential links to biodiversity and 12% more strongly linked geodiversity assessment to biodiversity assessment. Tools used by scholars to determine geodiversity values varied from statistical through to the more frequently adopted geographic information systems (GIS) and spatial analytical software approaches. Study sites selected for geodiversity assessments were predominantly terrestrial at the state-wide scale. Marine assessments, or seabed geodiversity, were mostly absent from the literature, with only two publications found. Brazil in South America had many geodiversity assessments and European scholars have played crucial roles in the development of quantitative geodiversity assessment in recent years. Subsequent research will benefit from developing a unified geodiversity assessment approach, reaching a consensus on an accepted definition and standardising the geodiversity concept, broadening research site environment types and developing strategies to promote further international and intranational collaboration.</t>
  </si>
  <si>
    <t>[Crisp, Jake R. A.; Ellison, Joanna C.] Univ Tasmania, Sch Geog Planning &amp; Spatial Sci, Launceston, Tas 7250, Australia; [Fischer, Andrew] Univ Tasmania, Inst Marine &amp; Antarctic Studies, Launceston, Tas, Australia</t>
  </si>
  <si>
    <t>Crisp, JRA (corresponding author), Univ Tasmania, Sch Geog Planning &amp; Spatial Sci, Launceston, Tas 7250, Australia.</t>
  </si>
  <si>
    <t>jracrisp@utas.edu.au</t>
  </si>
  <si>
    <t>Crisp, Dr Jake RA/JFB-2378-2023; Ellison, Joanna/C-2372-2014</t>
  </si>
  <si>
    <t>Fischer, Andrew/0000-0001-5284-6428; Crisp, Dr Jake RA/0000-0001-5038-6392; Ellison, Joanna/0000-0003-0692-8347</t>
  </si>
  <si>
    <t>SAGE PUBLICATIONS LTD</t>
  </si>
  <si>
    <t>1 OLIVERS YARD, 55 CITY ROAD, LONDON EC1Y 1SP, ENGLAND</t>
  </si>
  <si>
    <t>0309-1333</t>
  </si>
  <si>
    <t>1477-0296</t>
  </si>
  <si>
    <t>PROG PHYS GEOG</t>
  </si>
  <si>
    <t>Prog. Phys. Geogr.</t>
  </si>
  <si>
    <t>10.1177/0309133320967219</t>
  </si>
  <si>
    <t>TV5CJ</t>
  </si>
  <si>
    <t>WOS:000618461700001</t>
  </si>
  <si>
    <t>Walsh, J; Reiss, C</t>
  </si>
  <si>
    <t>Walsh, Jennifer; Reiss, Christian</t>
  </si>
  <si>
    <t>Lipid content and stable isotopes of zooplankton during five winters around the northern Antarctic Peninsula</t>
  </si>
  <si>
    <t>SCIENTIFIC DATA</t>
  </si>
  <si>
    <t>FOOD-WEB; THEMISTO-GAUDICHAUDII; TROPHIC ECOLOGY; DYNAMICS; SUMMER; OCEAN; KRILL; C-13; SEA; ICE</t>
  </si>
  <si>
    <t>The Southern Ocean zooplankton community is diverse, yet most species are understudied, especially with respect to their overwinter feeding ecologies. Here we present body condition and trophic biomarker data (lipid content and stable isotopes of carbon and nitrogen) from 19 zooplankton species collected over five consecutive winters (August and September 2012-2016) around the northern Antarctic Peninsula. We report environmental data (percent sea-ice cover, sea-ice type, water temperature, salinity, and integrated chl-a) as well as species abundance data at each sampling location to provide additional context for interpreting the lipid and stable isotope data. For most species, these are the first winter measurements or time series of body condition, trophic position, and abundance in relation to environmental variables. These data are critical for evaluating changes in ecosystem structure and predator-prey relationships in a region of Antarctica that is warming faster than most other areas on Earth as a result of climate change.</t>
  </si>
  <si>
    <t>[Walsh, Jennifer; Reiss, Christian] NOAA, Antarctic Ecosyst Res Div, Southwest Fisheries Sci Ctr, Natl Marine Fisheries Serv, La Jolla, CA 92037 USA</t>
  </si>
  <si>
    <t>Walsh, J (corresponding author), NOAA, Antarctic Ecosyst Res Div, Southwest Fisheries Sci Ctr, Natl Marine Fisheries Serv, La Jolla, CA 92037 USA.</t>
  </si>
  <si>
    <t>jen.walsh@noaa.gov</t>
  </si>
  <si>
    <t>Walsh, Jennifer/0000-0003-0481-4899</t>
  </si>
  <si>
    <t>U.S. AMLR Program</t>
  </si>
  <si>
    <t>The authors would like to thank the crew and scientific support staff of the U.S. National Science Foundation vessel RVIB Nathaniel B. Palmer. We would also like to thank all of the technicians throughout our 5-year study for their hard work, dedication, and enthusiasm in collecting these samples. We extend a special thank-you to our lead zooplankton specialist, Kim Dietrich, our two senior zooplankton specialists, Ryan Driscoll and Rachel Pound, and our phytoplankton specialist, Elliot Weiss. We also thank the entire U.S. AMLR Program for support, and especially Anthony Cossio for all things logistical. We would also like to thank two anonymous reviewers for their helpful comments in revising this manuscript.</t>
  </si>
  <si>
    <t>2052-4463</t>
  </si>
  <si>
    <t>SCI DATA</t>
  </si>
  <si>
    <t>Sci. Data</t>
  </si>
  <si>
    <t>NOV 11</t>
  </si>
  <si>
    <t>10.1038/s41597-020-00722-9</t>
  </si>
  <si>
    <t>OX9WQ</t>
  </si>
  <si>
    <t>WOS:000593906800002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</si>
</sst>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65</v>
      </c>
      <c r="AH2">
        <v>2</v>
      </c>
      <c r="AI2">
        <v>2</v>
      </c>
      <c r="AJ2">
        <v>5</v>
      </c>
      <c r="AK2">
        <v>47</v>
      </c>
      <c r="AL2" t="s">
        <v>92</v>
      </c>
      <c r="AM2" t="s">
        <v>93</v>
      </c>
      <c r="AN2" t="s">
        <v>94</v>
      </c>
      <c r="AO2" t="s">
        <v>95</v>
      </c>
      <c r="AP2" t="s">
        <v>96</v>
      </c>
      <c r="AQ2" t="s">
        <v>74</v>
      </c>
      <c r="AR2" t="s">
        <v>97</v>
      </c>
      <c r="AS2" t="s">
        <v>98</v>
      </c>
      <c r="AT2" t="s">
        <v>99</v>
      </c>
      <c r="AU2">
        <v>2021</v>
      </c>
      <c r="AV2">
        <v>770</v>
      </c>
      <c r="AW2" t="s">
        <v>74</v>
      </c>
      <c r="AX2" t="s">
        <v>74</v>
      </c>
      <c r="AY2" t="s">
        <v>74</v>
      </c>
      <c r="AZ2" t="s">
        <v>74</v>
      </c>
      <c r="BA2" t="s">
        <v>74</v>
      </c>
      <c r="BB2" t="s">
        <v>74</v>
      </c>
      <c r="BC2" t="s">
        <v>74</v>
      </c>
      <c r="BD2">
        <v>144557</v>
      </c>
      <c r="BE2" t="s">
        <v>100</v>
      </c>
      <c r="BF2" t="str">
        <f>HYPERLINK("http://dx.doi.org/10.1016/j.scitotenv.2020.144557","http://dx.doi.org/10.1016/j.scitotenv.2020.144557")</f>
        <v>http://dx.doi.org/10.1016/j.scitotenv.2020.144557</v>
      </c>
      <c r="BG2" t="s">
        <v>74</v>
      </c>
      <c r="BH2" t="s">
        <v>101</v>
      </c>
      <c r="BI2">
        <v>7</v>
      </c>
      <c r="BJ2" t="s">
        <v>102</v>
      </c>
      <c r="BK2" t="s">
        <v>103</v>
      </c>
      <c r="BL2" t="s">
        <v>104</v>
      </c>
      <c r="BM2" t="s">
        <v>105</v>
      </c>
      <c r="BN2">
        <v>33508664</v>
      </c>
      <c r="BO2" t="s">
        <v>74</v>
      </c>
      <c r="BP2" t="s">
        <v>74</v>
      </c>
      <c r="BQ2" t="s">
        <v>74</v>
      </c>
      <c r="BR2" t="s">
        <v>106</v>
      </c>
      <c r="BS2" t="s">
        <v>107</v>
      </c>
      <c r="BT2" t="str">
        <f>HYPERLINK("https%3A%2F%2Fwww.webofscience.com%2Fwos%2Fwoscc%2Ffull-record%2FWOS:000627896100005","View Full Record in Web of Science")</f>
        <v>View Full Record in Web of Science</v>
      </c>
    </row>
    <row r="3" spans="1:72" x14ac:dyDescent="0.15">
      <c r="A3" t="s">
        <v>72</v>
      </c>
      <c r="B3" t="s">
        <v>108</v>
      </c>
      <c r="C3" t="s">
        <v>74</v>
      </c>
      <c r="D3" t="s">
        <v>74</v>
      </c>
      <c r="E3" t="s">
        <v>74</v>
      </c>
      <c r="F3" t="s">
        <v>109</v>
      </c>
      <c r="G3" t="s">
        <v>74</v>
      </c>
      <c r="H3" t="s">
        <v>74</v>
      </c>
      <c r="I3" t="s">
        <v>110</v>
      </c>
      <c r="J3" t="s">
        <v>111</v>
      </c>
      <c r="K3" t="s">
        <v>74</v>
      </c>
      <c r="L3" t="s">
        <v>74</v>
      </c>
      <c r="M3" t="s">
        <v>78</v>
      </c>
      <c r="N3" t="s">
        <v>79</v>
      </c>
      <c r="O3" t="s">
        <v>74</v>
      </c>
      <c r="P3" t="s">
        <v>74</v>
      </c>
      <c r="Q3" t="s">
        <v>74</v>
      </c>
      <c r="R3" t="s">
        <v>74</v>
      </c>
      <c r="S3" t="s">
        <v>74</v>
      </c>
      <c r="T3" t="s">
        <v>74</v>
      </c>
      <c r="U3" t="s">
        <v>112</v>
      </c>
      <c r="V3" t="s">
        <v>113</v>
      </c>
      <c r="W3" t="s">
        <v>114</v>
      </c>
      <c r="X3" t="s">
        <v>115</v>
      </c>
      <c r="Y3" t="s">
        <v>116</v>
      </c>
      <c r="Z3" t="s">
        <v>117</v>
      </c>
      <c r="AA3" t="s">
        <v>118</v>
      </c>
      <c r="AB3" t="s">
        <v>119</v>
      </c>
      <c r="AC3" t="s">
        <v>120</v>
      </c>
      <c r="AD3" t="s">
        <v>121</v>
      </c>
      <c r="AE3" t="s">
        <v>122</v>
      </c>
      <c r="AF3" t="s">
        <v>74</v>
      </c>
      <c r="AG3">
        <v>73</v>
      </c>
      <c r="AH3">
        <v>15</v>
      </c>
      <c r="AI3">
        <v>15</v>
      </c>
      <c r="AJ3">
        <v>0</v>
      </c>
      <c r="AK3">
        <v>4</v>
      </c>
      <c r="AL3" t="s">
        <v>123</v>
      </c>
      <c r="AM3" t="s">
        <v>124</v>
      </c>
      <c r="AN3" t="s">
        <v>125</v>
      </c>
      <c r="AO3" t="s">
        <v>126</v>
      </c>
      <c r="AP3" t="s">
        <v>127</v>
      </c>
      <c r="AQ3" t="s">
        <v>74</v>
      </c>
      <c r="AR3" t="s">
        <v>128</v>
      </c>
      <c r="AS3" t="s">
        <v>129</v>
      </c>
      <c r="AT3" t="s">
        <v>130</v>
      </c>
      <c r="AU3">
        <v>2021</v>
      </c>
      <c r="AV3">
        <v>21</v>
      </c>
      <c r="AW3">
        <v>2</v>
      </c>
      <c r="AX3" t="s">
        <v>74</v>
      </c>
      <c r="AY3" t="s">
        <v>74</v>
      </c>
      <c r="AZ3" t="s">
        <v>74</v>
      </c>
      <c r="BA3" t="s">
        <v>74</v>
      </c>
      <c r="BB3">
        <v>927</v>
      </c>
      <c r="BC3">
        <v>949</v>
      </c>
      <c r="BD3" t="s">
        <v>74</v>
      </c>
      <c r="BE3" t="s">
        <v>131</v>
      </c>
      <c r="BF3" t="str">
        <f>HYPERLINK("http://dx.doi.org/10.5194/acp-21-927-2021","http://dx.doi.org/10.5194/acp-21-927-2021")</f>
        <v>http://dx.doi.org/10.5194/acp-21-927-2021</v>
      </c>
      <c r="BG3" t="s">
        <v>74</v>
      </c>
      <c r="BH3" t="s">
        <v>74</v>
      </c>
      <c r="BI3">
        <v>23</v>
      </c>
      <c r="BJ3" t="s">
        <v>132</v>
      </c>
      <c r="BK3" t="s">
        <v>103</v>
      </c>
      <c r="BL3" t="s">
        <v>133</v>
      </c>
      <c r="BM3" t="s">
        <v>134</v>
      </c>
      <c r="BN3" t="s">
        <v>74</v>
      </c>
      <c r="BO3" t="s">
        <v>135</v>
      </c>
      <c r="BP3" t="s">
        <v>74</v>
      </c>
      <c r="BQ3" t="s">
        <v>74</v>
      </c>
      <c r="BR3" t="s">
        <v>106</v>
      </c>
      <c r="BS3" t="s">
        <v>136</v>
      </c>
      <c r="BT3" t="str">
        <f>HYPERLINK("https%3A%2F%2Fwww.webofscience.com%2Fwos%2Fwoscc%2Ffull-record%2FWOS:000613269200001","View Full Record in Web of Science")</f>
        <v>View Full Record in Web of Science</v>
      </c>
    </row>
    <row r="4" spans="1:72" x14ac:dyDescent="0.15">
      <c r="A4" t="s">
        <v>72</v>
      </c>
      <c r="B4" t="s">
        <v>137</v>
      </c>
      <c r="C4" t="s">
        <v>74</v>
      </c>
      <c r="D4" t="s">
        <v>74</v>
      </c>
      <c r="E4" t="s">
        <v>74</v>
      </c>
      <c r="F4" t="s">
        <v>138</v>
      </c>
      <c r="G4" t="s">
        <v>74</v>
      </c>
      <c r="H4" t="s">
        <v>74</v>
      </c>
      <c r="I4" t="s">
        <v>139</v>
      </c>
      <c r="J4" t="s">
        <v>140</v>
      </c>
      <c r="K4" t="s">
        <v>74</v>
      </c>
      <c r="L4" t="s">
        <v>74</v>
      </c>
      <c r="M4" t="s">
        <v>78</v>
      </c>
      <c r="N4" t="s">
        <v>141</v>
      </c>
      <c r="O4" t="s">
        <v>74</v>
      </c>
      <c r="P4" t="s">
        <v>74</v>
      </c>
      <c r="Q4" t="s">
        <v>74</v>
      </c>
      <c r="R4" t="s">
        <v>74</v>
      </c>
      <c r="S4" t="s">
        <v>74</v>
      </c>
      <c r="T4" t="s">
        <v>74</v>
      </c>
      <c r="U4" t="s">
        <v>142</v>
      </c>
      <c r="V4" t="s">
        <v>143</v>
      </c>
      <c r="W4" t="s">
        <v>144</v>
      </c>
      <c r="X4" t="s">
        <v>145</v>
      </c>
      <c r="Y4" t="s">
        <v>146</v>
      </c>
      <c r="Z4" t="s">
        <v>147</v>
      </c>
      <c r="AA4" t="s">
        <v>74</v>
      </c>
      <c r="AB4" t="s">
        <v>148</v>
      </c>
      <c r="AC4" t="s">
        <v>149</v>
      </c>
      <c r="AD4" t="s">
        <v>150</v>
      </c>
      <c r="AE4" t="s">
        <v>151</v>
      </c>
      <c r="AF4" t="s">
        <v>74</v>
      </c>
      <c r="AG4">
        <v>106</v>
      </c>
      <c r="AH4">
        <v>67</v>
      </c>
      <c r="AI4">
        <v>72</v>
      </c>
      <c r="AJ4">
        <v>4</v>
      </c>
      <c r="AK4">
        <v>62</v>
      </c>
      <c r="AL4" t="s">
        <v>123</v>
      </c>
      <c r="AM4" t="s">
        <v>124</v>
      </c>
      <c r="AN4" t="s">
        <v>125</v>
      </c>
      <c r="AO4" t="s">
        <v>152</v>
      </c>
      <c r="AP4" t="s">
        <v>153</v>
      </c>
      <c r="AQ4" t="s">
        <v>74</v>
      </c>
      <c r="AR4" t="s">
        <v>140</v>
      </c>
      <c r="AS4" t="s">
        <v>154</v>
      </c>
      <c r="AT4" t="s">
        <v>130</v>
      </c>
      <c r="AU4">
        <v>2021</v>
      </c>
      <c r="AV4">
        <v>15</v>
      </c>
      <c r="AW4">
        <v>1</v>
      </c>
      <c r="AX4" t="s">
        <v>74</v>
      </c>
      <c r="AY4" t="s">
        <v>74</v>
      </c>
      <c r="AZ4" t="s">
        <v>74</v>
      </c>
      <c r="BA4" t="s">
        <v>74</v>
      </c>
      <c r="BB4">
        <v>233</v>
      </c>
      <c r="BC4">
        <v>246</v>
      </c>
      <c r="BD4" t="s">
        <v>74</v>
      </c>
      <c r="BE4" t="s">
        <v>155</v>
      </c>
      <c r="BF4" t="str">
        <f>HYPERLINK("http://dx.doi.org/10.5194/tc-15-233-2021","http://dx.doi.org/10.5194/tc-15-233-2021")</f>
        <v>http://dx.doi.org/10.5194/tc-15-233-2021</v>
      </c>
      <c r="BG4" t="s">
        <v>74</v>
      </c>
      <c r="BH4" t="s">
        <v>74</v>
      </c>
      <c r="BI4">
        <v>14</v>
      </c>
      <c r="BJ4" t="s">
        <v>156</v>
      </c>
      <c r="BK4" t="s">
        <v>103</v>
      </c>
      <c r="BL4" t="s">
        <v>157</v>
      </c>
      <c r="BM4" t="s">
        <v>158</v>
      </c>
      <c r="BN4" t="s">
        <v>74</v>
      </c>
      <c r="BO4" t="s">
        <v>159</v>
      </c>
      <c r="BP4" t="s">
        <v>74</v>
      </c>
      <c r="BQ4" t="s">
        <v>74</v>
      </c>
      <c r="BR4" t="s">
        <v>106</v>
      </c>
      <c r="BS4" t="s">
        <v>160</v>
      </c>
      <c r="BT4" t="str">
        <f>HYPERLINK("https%3A%2F%2Fwww.webofscience.com%2Fwos%2Fwoscc%2Ffull-record%2FWOS:000611538500001","View Full Record in Web of Science")</f>
        <v>View Full Record in Web of Science</v>
      </c>
    </row>
    <row r="5" spans="1:72" x14ac:dyDescent="0.15">
      <c r="A5" t="s">
        <v>72</v>
      </c>
      <c r="B5" t="s">
        <v>161</v>
      </c>
      <c r="C5" t="s">
        <v>74</v>
      </c>
      <c r="D5" t="s">
        <v>74</v>
      </c>
      <c r="E5" t="s">
        <v>74</v>
      </c>
      <c r="F5" t="s">
        <v>162</v>
      </c>
      <c r="G5" t="s">
        <v>74</v>
      </c>
      <c r="H5" t="s">
        <v>74</v>
      </c>
      <c r="I5" t="s">
        <v>163</v>
      </c>
      <c r="J5" t="s">
        <v>164</v>
      </c>
      <c r="K5" t="s">
        <v>74</v>
      </c>
      <c r="L5" t="s">
        <v>74</v>
      </c>
      <c r="M5" t="s">
        <v>78</v>
      </c>
      <c r="N5" t="s">
        <v>79</v>
      </c>
      <c r="O5" t="s">
        <v>74</v>
      </c>
      <c r="P5" t="s">
        <v>74</v>
      </c>
      <c r="Q5" t="s">
        <v>74</v>
      </c>
      <c r="R5" t="s">
        <v>74</v>
      </c>
      <c r="S5" t="s">
        <v>74</v>
      </c>
      <c r="T5" t="s">
        <v>165</v>
      </c>
      <c r="U5" t="s">
        <v>166</v>
      </c>
      <c r="V5" t="s">
        <v>167</v>
      </c>
      <c r="W5" t="s">
        <v>168</v>
      </c>
      <c r="X5" t="s">
        <v>169</v>
      </c>
      <c r="Y5" t="s">
        <v>170</v>
      </c>
      <c r="Z5" t="s">
        <v>171</v>
      </c>
      <c r="AA5" t="s">
        <v>172</v>
      </c>
      <c r="AB5" t="s">
        <v>173</v>
      </c>
      <c r="AC5" t="s">
        <v>174</v>
      </c>
      <c r="AD5" t="s">
        <v>175</v>
      </c>
      <c r="AE5" t="s">
        <v>176</v>
      </c>
      <c r="AF5" t="s">
        <v>74</v>
      </c>
      <c r="AG5">
        <v>154</v>
      </c>
      <c r="AH5">
        <v>33</v>
      </c>
      <c r="AI5">
        <v>36</v>
      </c>
      <c r="AJ5">
        <v>8</v>
      </c>
      <c r="AK5">
        <v>37</v>
      </c>
      <c r="AL5" t="s">
        <v>177</v>
      </c>
      <c r="AM5" t="s">
        <v>178</v>
      </c>
      <c r="AN5" t="s">
        <v>179</v>
      </c>
      <c r="AO5" t="s">
        <v>180</v>
      </c>
      <c r="AP5" t="s">
        <v>181</v>
      </c>
      <c r="AQ5" t="s">
        <v>74</v>
      </c>
      <c r="AR5" t="s">
        <v>182</v>
      </c>
      <c r="AS5" t="s">
        <v>183</v>
      </c>
      <c r="AT5" t="s">
        <v>184</v>
      </c>
      <c r="AU5">
        <v>2021</v>
      </c>
      <c r="AV5">
        <v>9</v>
      </c>
      <c r="AW5">
        <v>1</v>
      </c>
      <c r="AX5" t="s">
        <v>74</v>
      </c>
      <c r="AY5" t="s">
        <v>74</v>
      </c>
      <c r="AZ5" t="s">
        <v>74</v>
      </c>
      <c r="BA5" t="s">
        <v>74</v>
      </c>
      <c r="BB5" t="s">
        <v>74</v>
      </c>
      <c r="BC5" t="s">
        <v>74</v>
      </c>
      <c r="BD5">
        <v>104607</v>
      </c>
      <c r="BE5" t="s">
        <v>185</v>
      </c>
      <c r="BF5" t="str">
        <f>HYPERLINK("http://dx.doi.org/10.1016/j.jece.2020.104607","http://dx.doi.org/10.1016/j.jece.2020.104607")</f>
        <v>http://dx.doi.org/10.1016/j.jece.2020.104607</v>
      </c>
      <c r="BG5" t="s">
        <v>74</v>
      </c>
      <c r="BH5" t="s">
        <v>101</v>
      </c>
      <c r="BI5">
        <v>16</v>
      </c>
      <c r="BJ5" t="s">
        <v>186</v>
      </c>
      <c r="BK5" t="s">
        <v>103</v>
      </c>
      <c r="BL5" t="s">
        <v>187</v>
      </c>
      <c r="BM5" t="s">
        <v>188</v>
      </c>
      <c r="BN5" t="s">
        <v>74</v>
      </c>
      <c r="BO5" t="s">
        <v>189</v>
      </c>
      <c r="BP5" t="s">
        <v>74</v>
      </c>
      <c r="BQ5" t="s">
        <v>74</v>
      </c>
      <c r="BR5" t="s">
        <v>106</v>
      </c>
      <c r="BS5" t="s">
        <v>190</v>
      </c>
      <c r="BT5" t="str">
        <f>HYPERLINK("https%3A%2F%2Fwww.webofscience.com%2Fwos%2Fwoscc%2Ffull-record%2FWOS:000615066600004","View Full Record in Web of Science")</f>
        <v>View Full Record in Web of Science</v>
      </c>
    </row>
    <row r="6" spans="1:72" x14ac:dyDescent="0.15">
      <c r="A6" t="s">
        <v>72</v>
      </c>
      <c r="B6" t="s">
        <v>191</v>
      </c>
      <c r="C6" t="s">
        <v>74</v>
      </c>
      <c r="D6" t="s">
        <v>74</v>
      </c>
      <c r="E6" t="s">
        <v>74</v>
      </c>
      <c r="F6" t="s">
        <v>192</v>
      </c>
      <c r="G6" t="s">
        <v>74</v>
      </c>
      <c r="H6" t="s">
        <v>74</v>
      </c>
      <c r="I6" t="s">
        <v>193</v>
      </c>
      <c r="J6" t="s">
        <v>194</v>
      </c>
      <c r="K6" t="s">
        <v>74</v>
      </c>
      <c r="L6" t="s">
        <v>74</v>
      </c>
      <c r="M6" t="s">
        <v>78</v>
      </c>
      <c r="N6" t="s">
        <v>79</v>
      </c>
      <c r="O6" t="s">
        <v>74</v>
      </c>
      <c r="P6" t="s">
        <v>74</v>
      </c>
      <c r="Q6" t="s">
        <v>74</v>
      </c>
      <c r="R6" t="s">
        <v>74</v>
      </c>
      <c r="S6" t="s">
        <v>74</v>
      </c>
      <c r="T6" t="s">
        <v>195</v>
      </c>
      <c r="U6" t="s">
        <v>196</v>
      </c>
      <c r="V6" t="s">
        <v>197</v>
      </c>
      <c r="W6" t="s">
        <v>198</v>
      </c>
      <c r="X6" t="s">
        <v>199</v>
      </c>
      <c r="Y6" t="s">
        <v>200</v>
      </c>
      <c r="Z6" t="s">
        <v>201</v>
      </c>
      <c r="AA6" t="s">
        <v>202</v>
      </c>
      <c r="AB6" t="s">
        <v>203</v>
      </c>
      <c r="AC6" t="s">
        <v>204</v>
      </c>
      <c r="AD6" t="s">
        <v>205</v>
      </c>
      <c r="AE6" t="s">
        <v>206</v>
      </c>
      <c r="AF6" t="s">
        <v>74</v>
      </c>
      <c r="AG6">
        <v>71</v>
      </c>
      <c r="AH6">
        <v>11</v>
      </c>
      <c r="AI6">
        <v>11</v>
      </c>
      <c r="AJ6">
        <v>0</v>
      </c>
      <c r="AK6">
        <v>6</v>
      </c>
      <c r="AL6" t="s">
        <v>207</v>
      </c>
      <c r="AM6" t="s">
        <v>208</v>
      </c>
      <c r="AN6" t="s">
        <v>209</v>
      </c>
      <c r="AO6" t="s">
        <v>210</v>
      </c>
      <c r="AP6" t="s">
        <v>211</v>
      </c>
      <c r="AQ6" t="s">
        <v>74</v>
      </c>
      <c r="AR6" t="s">
        <v>212</v>
      </c>
      <c r="AS6" t="s">
        <v>213</v>
      </c>
      <c r="AT6" t="s">
        <v>214</v>
      </c>
      <c r="AU6">
        <v>2021</v>
      </c>
      <c r="AV6">
        <v>33</v>
      </c>
      <c r="AW6">
        <v>2</v>
      </c>
      <c r="AX6" t="s">
        <v>74</v>
      </c>
      <c r="AY6" t="s">
        <v>74</v>
      </c>
      <c r="AZ6" t="s">
        <v>74</v>
      </c>
      <c r="BA6" t="s">
        <v>74</v>
      </c>
      <c r="BB6">
        <v>1157</v>
      </c>
      <c r="BC6">
        <v>1170</v>
      </c>
      <c r="BD6" t="s">
        <v>74</v>
      </c>
      <c r="BE6" t="s">
        <v>215</v>
      </c>
      <c r="BF6" t="str">
        <f>HYPERLINK("http://dx.doi.org/10.1007/s10811-020-02365-0","http://dx.doi.org/10.1007/s10811-020-02365-0")</f>
        <v>http://dx.doi.org/10.1007/s10811-020-02365-0</v>
      </c>
      <c r="BG6" t="s">
        <v>74</v>
      </c>
      <c r="BH6" t="s">
        <v>101</v>
      </c>
      <c r="BI6">
        <v>14</v>
      </c>
      <c r="BJ6" t="s">
        <v>216</v>
      </c>
      <c r="BK6" t="s">
        <v>103</v>
      </c>
      <c r="BL6" t="s">
        <v>216</v>
      </c>
      <c r="BM6" t="s">
        <v>217</v>
      </c>
      <c r="BN6" t="s">
        <v>74</v>
      </c>
      <c r="BO6" t="s">
        <v>218</v>
      </c>
      <c r="BP6" t="s">
        <v>74</v>
      </c>
      <c r="BQ6" t="s">
        <v>74</v>
      </c>
      <c r="BR6" t="s">
        <v>106</v>
      </c>
      <c r="BS6" t="s">
        <v>219</v>
      </c>
      <c r="BT6" t="str">
        <f>HYPERLINK("https%3A%2F%2Fwww.webofscience.com%2Fwos%2Fwoscc%2Ffull-record%2FWOS:000611012900001","View Full Record in Web of Science")</f>
        <v>View Full Record in Web of Science</v>
      </c>
    </row>
    <row r="7" spans="1:72" x14ac:dyDescent="0.15">
      <c r="A7" t="s">
        <v>72</v>
      </c>
      <c r="B7" t="s">
        <v>220</v>
      </c>
      <c r="C7" t="s">
        <v>74</v>
      </c>
      <c r="D7" t="s">
        <v>74</v>
      </c>
      <c r="E7" t="s">
        <v>74</v>
      </c>
      <c r="F7" t="s">
        <v>221</v>
      </c>
      <c r="G7" t="s">
        <v>74</v>
      </c>
      <c r="H7" t="s">
        <v>74</v>
      </c>
      <c r="I7" t="s">
        <v>222</v>
      </c>
      <c r="J7" t="s">
        <v>223</v>
      </c>
      <c r="K7" t="s">
        <v>74</v>
      </c>
      <c r="L7" t="s">
        <v>74</v>
      </c>
      <c r="M7" t="s">
        <v>78</v>
      </c>
      <c r="N7" t="s">
        <v>79</v>
      </c>
      <c r="O7" t="s">
        <v>74</v>
      </c>
      <c r="P7" t="s">
        <v>74</v>
      </c>
      <c r="Q7" t="s">
        <v>74</v>
      </c>
      <c r="R7" t="s">
        <v>74</v>
      </c>
      <c r="S7" t="s">
        <v>74</v>
      </c>
      <c r="T7" t="s">
        <v>74</v>
      </c>
      <c r="U7" t="s">
        <v>224</v>
      </c>
      <c r="V7" t="s">
        <v>225</v>
      </c>
      <c r="W7" t="s">
        <v>226</v>
      </c>
      <c r="X7" t="s">
        <v>227</v>
      </c>
      <c r="Y7" t="s">
        <v>228</v>
      </c>
      <c r="Z7" t="s">
        <v>229</v>
      </c>
      <c r="AA7" t="s">
        <v>230</v>
      </c>
      <c r="AB7" t="s">
        <v>231</v>
      </c>
      <c r="AC7" t="s">
        <v>232</v>
      </c>
      <c r="AD7" t="s">
        <v>233</v>
      </c>
      <c r="AE7" t="s">
        <v>234</v>
      </c>
      <c r="AF7" t="s">
        <v>74</v>
      </c>
      <c r="AG7">
        <v>64</v>
      </c>
      <c r="AH7">
        <v>14</v>
      </c>
      <c r="AI7">
        <v>14</v>
      </c>
      <c r="AJ7">
        <v>1</v>
      </c>
      <c r="AK7">
        <v>10</v>
      </c>
      <c r="AL7" t="s">
        <v>235</v>
      </c>
      <c r="AM7" t="s">
        <v>236</v>
      </c>
      <c r="AN7" t="s">
        <v>237</v>
      </c>
      <c r="AO7" t="s">
        <v>74</v>
      </c>
      <c r="AP7" t="s">
        <v>238</v>
      </c>
      <c r="AQ7" t="s">
        <v>74</v>
      </c>
      <c r="AR7" t="s">
        <v>239</v>
      </c>
      <c r="AS7" t="s">
        <v>240</v>
      </c>
      <c r="AT7" t="s">
        <v>241</v>
      </c>
      <c r="AU7">
        <v>2021</v>
      </c>
      <c r="AV7">
        <v>2</v>
      </c>
      <c r="AW7">
        <v>1</v>
      </c>
      <c r="AX7" t="s">
        <v>74</v>
      </c>
      <c r="AY7" t="s">
        <v>74</v>
      </c>
      <c r="AZ7" t="s">
        <v>74</v>
      </c>
      <c r="BA7" t="s">
        <v>74</v>
      </c>
      <c r="BB7" t="s">
        <v>74</v>
      </c>
      <c r="BC7" t="s">
        <v>74</v>
      </c>
      <c r="BD7">
        <v>18</v>
      </c>
      <c r="BE7" t="s">
        <v>242</v>
      </c>
      <c r="BF7" t="str">
        <f>HYPERLINK("http://dx.doi.org/10.1038/s43247-020-00088-1","http://dx.doi.org/10.1038/s43247-020-00088-1")</f>
        <v>http://dx.doi.org/10.1038/s43247-020-00088-1</v>
      </c>
      <c r="BG7" t="s">
        <v>74</v>
      </c>
      <c r="BH7" t="s">
        <v>74</v>
      </c>
      <c r="BI7">
        <v>11</v>
      </c>
      <c r="BJ7" t="s">
        <v>243</v>
      </c>
      <c r="BK7" t="s">
        <v>103</v>
      </c>
      <c r="BL7" t="s">
        <v>244</v>
      </c>
      <c r="BM7" t="s">
        <v>245</v>
      </c>
      <c r="BN7" t="s">
        <v>74</v>
      </c>
      <c r="BO7" t="s">
        <v>246</v>
      </c>
      <c r="BP7" t="s">
        <v>74</v>
      </c>
      <c r="BQ7" t="s">
        <v>74</v>
      </c>
      <c r="BR7" t="s">
        <v>106</v>
      </c>
      <c r="BS7" t="s">
        <v>247</v>
      </c>
      <c r="BT7" t="str">
        <f>HYPERLINK("https%3A%2F%2Fwww.webofscience.com%2Fwos%2Fwoscc%2Ffull-record%2FWOS:000665734300003","View Full Record in Web of Science")</f>
        <v>View Full Record in Web of Science</v>
      </c>
    </row>
    <row r="8" spans="1:72" x14ac:dyDescent="0.15">
      <c r="A8" t="s">
        <v>72</v>
      </c>
      <c r="B8" t="s">
        <v>248</v>
      </c>
      <c r="C8" t="s">
        <v>74</v>
      </c>
      <c r="D8" t="s">
        <v>74</v>
      </c>
      <c r="E8" t="s">
        <v>74</v>
      </c>
      <c r="F8" t="s">
        <v>249</v>
      </c>
      <c r="G8" t="s">
        <v>74</v>
      </c>
      <c r="H8" t="s">
        <v>74</v>
      </c>
      <c r="I8" t="s">
        <v>250</v>
      </c>
      <c r="J8" t="s">
        <v>251</v>
      </c>
      <c r="K8" t="s">
        <v>74</v>
      </c>
      <c r="L8" t="s">
        <v>74</v>
      </c>
      <c r="M8" t="s">
        <v>78</v>
      </c>
      <c r="N8" t="s">
        <v>141</v>
      </c>
      <c r="O8" t="s">
        <v>74</v>
      </c>
      <c r="P8" t="s">
        <v>74</v>
      </c>
      <c r="Q8" t="s">
        <v>74</v>
      </c>
      <c r="R8" t="s">
        <v>74</v>
      </c>
      <c r="S8" t="s">
        <v>74</v>
      </c>
      <c r="T8" t="s">
        <v>74</v>
      </c>
      <c r="U8" t="s">
        <v>252</v>
      </c>
      <c r="V8" t="s">
        <v>253</v>
      </c>
      <c r="W8" t="s">
        <v>254</v>
      </c>
      <c r="X8" t="s">
        <v>255</v>
      </c>
      <c r="Y8" t="s">
        <v>256</v>
      </c>
      <c r="Z8" t="s">
        <v>257</v>
      </c>
      <c r="AA8" t="s">
        <v>258</v>
      </c>
      <c r="AB8" t="s">
        <v>259</v>
      </c>
      <c r="AC8" t="s">
        <v>260</v>
      </c>
      <c r="AD8" t="s">
        <v>261</v>
      </c>
      <c r="AE8" t="s">
        <v>262</v>
      </c>
      <c r="AF8" t="s">
        <v>74</v>
      </c>
      <c r="AG8">
        <v>91</v>
      </c>
      <c r="AH8">
        <v>53</v>
      </c>
      <c r="AI8">
        <v>60</v>
      </c>
      <c r="AJ8">
        <v>7</v>
      </c>
      <c r="AK8">
        <v>39</v>
      </c>
      <c r="AL8" t="s">
        <v>263</v>
      </c>
      <c r="AM8" t="s">
        <v>264</v>
      </c>
      <c r="AN8" t="s">
        <v>265</v>
      </c>
      <c r="AO8" t="s">
        <v>266</v>
      </c>
      <c r="AP8" t="s">
        <v>267</v>
      </c>
      <c r="AQ8" t="s">
        <v>74</v>
      </c>
      <c r="AR8" t="s">
        <v>251</v>
      </c>
      <c r="AS8" t="s">
        <v>268</v>
      </c>
      <c r="AT8" t="s">
        <v>241</v>
      </c>
      <c r="AU8">
        <v>2021</v>
      </c>
      <c r="AV8">
        <v>4</v>
      </c>
      <c r="AW8">
        <v>1</v>
      </c>
      <c r="AX8" t="s">
        <v>74</v>
      </c>
      <c r="AY8" t="s">
        <v>74</v>
      </c>
      <c r="AZ8" t="s">
        <v>74</v>
      </c>
      <c r="BA8" t="s">
        <v>74</v>
      </c>
      <c r="BB8">
        <v>75</v>
      </c>
      <c r="BC8">
        <v>87</v>
      </c>
      <c r="BD8" t="s">
        <v>74</v>
      </c>
      <c r="BE8" t="s">
        <v>269</v>
      </c>
      <c r="BF8" t="str">
        <f>HYPERLINK("http://dx.doi.org/10.1016/j.oneear.2020.12.011","http://dx.doi.org/10.1016/j.oneear.2020.12.011")</f>
        <v>http://dx.doi.org/10.1016/j.oneear.2020.12.011</v>
      </c>
      <c r="BG8" t="s">
        <v>74</v>
      </c>
      <c r="BH8" t="s">
        <v>101</v>
      </c>
      <c r="BI8">
        <v>13</v>
      </c>
      <c r="BJ8" t="s">
        <v>270</v>
      </c>
      <c r="BK8" t="s">
        <v>271</v>
      </c>
      <c r="BL8" t="s">
        <v>272</v>
      </c>
      <c r="BM8" t="s">
        <v>273</v>
      </c>
      <c r="BN8" t="s">
        <v>74</v>
      </c>
      <c r="BO8" t="s">
        <v>274</v>
      </c>
      <c r="BP8" t="s">
        <v>74</v>
      </c>
      <c r="BQ8" t="s">
        <v>74</v>
      </c>
      <c r="BR8" t="s">
        <v>106</v>
      </c>
      <c r="BS8" t="s">
        <v>275</v>
      </c>
      <c r="BT8" t="str">
        <f>HYPERLINK("https%3A%2F%2Fwww.webofscience.com%2Fwos%2Fwoscc%2Ffull-record%2FWOS:000646449800012","View Full Record in Web of Science")</f>
        <v>View Full Record in Web of Science</v>
      </c>
    </row>
    <row r="9" spans="1:72" x14ac:dyDescent="0.15">
      <c r="A9" t="s">
        <v>72</v>
      </c>
      <c r="B9" t="s">
        <v>276</v>
      </c>
      <c r="C9" t="s">
        <v>74</v>
      </c>
      <c r="D9" t="s">
        <v>74</v>
      </c>
      <c r="E9" t="s">
        <v>74</v>
      </c>
      <c r="F9" t="s">
        <v>277</v>
      </c>
      <c r="G9" t="s">
        <v>74</v>
      </c>
      <c r="H9" t="s">
        <v>74</v>
      </c>
      <c r="I9" t="s">
        <v>278</v>
      </c>
      <c r="J9" t="s">
        <v>279</v>
      </c>
      <c r="K9" t="s">
        <v>74</v>
      </c>
      <c r="L9" t="s">
        <v>74</v>
      </c>
      <c r="M9" t="s">
        <v>78</v>
      </c>
      <c r="N9" t="s">
        <v>79</v>
      </c>
      <c r="O9" t="s">
        <v>74</v>
      </c>
      <c r="P9" t="s">
        <v>74</v>
      </c>
      <c r="Q9" t="s">
        <v>74</v>
      </c>
      <c r="R9" t="s">
        <v>74</v>
      </c>
      <c r="S9" t="s">
        <v>74</v>
      </c>
      <c r="T9" t="s">
        <v>280</v>
      </c>
      <c r="U9" t="s">
        <v>74</v>
      </c>
      <c r="V9" t="s">
        <v>281</v>
      </c>
      <c r="W9" t="s">
        <v>282</v>
      </c>
      <c r="X9" t="s">
        <v>283</v>
      </c>
      <c r="Y9" t="s">
        <v>284</v>
      </c>
      <c r="Z9" t="s">
        <v>285</v>
      </c>
      <c r="AA9" t="s">
        <v>286</v>
      </c>
      <c r="AB9" t="s">
        <v>287</v>
      </c>
      <c r="AC9" t="s">
        <v>288</v>
      </c>
      <c r="AD9" t="s">
        <v>288</v>
      </c>
      <c r="AE9" t="s">
        <v>289</v>
      </c>
      <c r="AF9" t="s">
        <v>74</v>
      </c>
      <c r="AG9">
        <v>61</v>
      </c>
      <c r="AH9">
        <v>9</v>
      </c>
      <c r="AI9">
        <v>9</v>
      </c>
      <c r="AJ9">
        <v>0</v>
      </c>
      <c r="AK9">
        <v>6</v>
      </c>
      <c r="AL9" t="s">
        <v>92</v>
      </c>
      <c r="AM9" t="s">
        <v>93</v>
      </c>
      <c r="AN9" t="s">
        <v>94</v>
      </c>
      <c r="AO9" t="s">
        <v>290</v>
      </c>
      <c r="AP9" t="s">
        <v>291</v>
      </c>
      <c r="AQ9" t="s">
        <v>74</v>
      </c>
      <c r="AR9" t="s">
        <v>292</v>
      </c>
      <c r="AS9" t="s">
        <v>293</v>
      </c>
      <c r="AT9" t="s">
        <v>294</v>
      </c>
      <c r="AU9">
        <v>2021</v>
      </c>
      <c r="AV9">
        <v>566</v>
      </c>
      <c r="AW9" t="s">
        <v>74</v>
      </c>
      <c r="AX9" t="s">
        <v>74</v>
      </c>
      <c r="AY9" t="s">
        <v>74</v>
      </c>
      <c r="AZ9" t="s">
        <v>74</v>
      </c>
      <c r="BA9" t="s">
        <v>74</v>
      </c>
      <c r="BB9" t="s">
        <v>74</v>
      </c>
      <c r="BC9" t="s">
        <v>74</v>
      </c>
      <c r="BD9">
        <v>110207</v>
      </c>
      <c r="BE9" t="s">
        <v>295</v>
      </c>
      <c r="BF9" t="str">
        <f>HYPERLINK("http://dx.doi.org/10.1016/j.palaeo.2020.110207","http://dx.doi.org/10.1016/j.palaeo.2020.110207")</f>
        <v>http://dx.doi.org/10.1016/j.palaeo.2020.110207</v>
      </c>
      <c r="BG9" t="s">
        <v>74</v>
      </c>
      <c r="BH9" t="s">
        <v>101</v>
      </c>
      <c r="BI9">
        <v>8</v>
      </c>
      <c r="BJ9" t="s">
        <v>296</v>
      </c>
      <c r="BK9" t="s">
        <v>103</v>
      </c>
      <c r="BL9" t="s">
        <v>297</v>
      </c>
      <c r="BM9" t="s">
        <v>298</v>
      </c>
      <c r="BN9" t="s">
        <v>74</v>
      </c>
      <c r="BO9" t="s">
        <v>74</v>
      </c>
      <c r="BP9" t="s">
        <v>74</v>
      </c>
      <c r="BQ9" t="s">
        <v>74</v>
      </c>
      <c r="BR9" t="s">
        <v>106</v>
      </c>
      <c r="BS9" t="s">
        <v>299</v>
      </c>
      <c r="BT9" t="str">
        <f>HYPERLINK("https%3A%2F%2Fwww.webofscience.com%2Fwos%2Fwoscc%2Ffull-record%2FWOS:000636760500003","View Full Record in Web of Science")</f>
        <v>View Full Record in Web of Science</v>
      </c>
    </row>
    <row r="10" spans="1:72" x14ac:dyDescent="0.15">
      <c r="A10" t="s">
        <v>72</v>
      </c>
      <c r="B10" t="s">
        <v>300</v>
      </c>
      <c r="C10" t="s">
        <v>74</v>
      </c>
      <c r="D10" t="s">
        <v>74</v>
      </c>
      <c r="E10" t="s">
        <v>74</v>
      </c>
      <c r="F10" t="s">
        <v>301</v>
      </c>
      <c r="G10" t="s">
        <v>74</v>
      </c>
      <c r="H10" t="s">
        <v>74</v>
      </c>
      <c r="I10" t="s">
        <v>302</v>
      </c>
      <c r="J10" t="s">
        <v>303</v>
      </c>
      <c r="K10" t="s">
        <v>74</v>
      </c>
      <c r="L10" t="s">
        <v>74</v>
      </c>
      <c r="M10" t="s">
        <v>78</v>
      </c>
      <c r="N10" t="s">
        <v>79</v>
      </c>
      <c r="O10" t="s">
        <v>74</v>
      </c>
      <c r="P10" t="s">
        <v>74</v>
      </c>
      <c r="Q10" t="s">
        <v>74</v>
      </c>
      <c r="R10" t="s">
        <v>74</v>
      </c>
      <c r="S10" t="s">
        <v>74</v>
      </c>
      <c r="T10" t="s">
        <v>304</v>
      </c>
      <c r="U10" t="s">
        <v>305</v>
      </c>
      <c r="V10" t="s">
        <v>306</v>
      </c>
      <c r="W10" t="s">
        <v>307</v>
      </c>
      <c r="X10" t="s">
        <v>308</v>
      </c>
      <c r="Y10" t="s">
        <v>309</v>
      </c>
      <c r="Z10" t="s">
        <v>310</v>
      </c>
      <c r="AA10" t="s">
        <v>311</v>
      </c>
      <c r="AB10" t="s">
        <v>74</v>
      </c>
      <c r="AC10" t="s">
        <v>312</v>
      </c>
      <c r="AD10" t="s">
        <v>313</v>
      </c>
      <c r="AE10" t="s">
        <v>314</v>
      </c>
      <c r="AF10" t="s">
        <v>74</v>
      </c>
      <c r="AG10">
        <v>47</v>
      </c>
      <c r="AH10">
        <v>2</v>
      </c>
      <c r="AI10">
        <v>2</v>
      </c>
      <c r="AJ10">
        <v>1</v>
      </c>
      <c r="AK10">
        <v>11</v>
      </c>
      <c r="AL10" t="s">
        <v>315</v>
      </c>
      <c r="AM10" t="s">
        <v>316</v>
      </c>
      <c r="AN10" t="s">
        <v>317</v>
      </c>
      <c r="AO10" t="s">
        <v>318</v>
      </c>
      <c r="AP10" t="s">
        <v>319</v>
      </c>
      <c r="AQ10" t="s">
        <v>74</v>
      </c>
      <c r="AR10" t="s">
        <v>320</v>
      </c>
      <c r="AS10" t="s">
        <v>321</v>
      </c>
      <c r="AT10" t="s">
        <v>241</v>
      </c>
      <c r="AU10">
        <v>2021</v>
      </c>
      <c r="AV10">
        <v>40</v>
      </c>
      <c r="AW10" t="s">
        <v>74</v>
      </c>
      <c r="AX10" t="s">
        <v>74</v>
      </c>
      <c r="AY10" t="s">
        <v>74</v>
      </c>
      <c r="AZ10" t="s">
        <v>74</v>
      </c>
      <c r="BA10" t="s">
        <v>74</v>
      </c>
      <c r="BB10" t="s">
        <v>74</v>
      </c>
      <c r="BC10" t="s">
        <v>74</v>
      </c>
      <c r="BD10">
        <v>3377</v>
      </c>
      <c r="BE10" t="s">
        <v>322</v>
      </c>
      <c r="BF10" t="str">
        <f>HYPERLINK("http://dx.doi.org/10.33265/polar.v40.3377","http://dx.doi.org/10.33265/polar.v40.3377")</f>
        <v>http://dx.doi.org/10.33265/polar.v40.3377</v>
      </c>
      <c r="BG10" t="s">
        <v>74</v>
      </c>
      <c r="BH10" t="s">
        <v>74</v>
      </c>
      <c r="BI10">
        <v>11</v>
      </c>
      <c r="BJ10" t="s">
        <v>323</v>
      </c>
      <c r="BK10" t="s">
        <v>103</v>
      </c>
      <c r="BL10" t="s">
        <v>324</v>
      </c>
      <c r="BM10" t="s">
        <v>325</v>
      </c>
      <c r="BN10" t="s">
        <v>74</v>
      </c>
      <c r="BO10" t="s">
        <v>326</v>
      </c>
      <c r="BP10" t="s">
        <v>74</v>
      </c>
      <c r="BQ10" t="s">
        <v>74</v>
      </c>
      <c r="BR10" t="s">
        <v>106</v>
      </c>
      <c r="BS10" t="s">
        <v>327</v>
      </c>
      <c r="BT10" t="str">
        <f>HYPERLINK("https%3A%2F%2Fwww.webofscience.com%2Fwos%2Fwoscc%2Ffull-record%2FWOS:000614126800001","View Full Record in Web of Science")</f>
        <v>View Full Record in Web of Science</v>
      </c>
    </row>
    <row r="11" spans="1:72" x14ac:dyDescent="0.15">
      <c r="A11" t="s">
        <v>72</v>
      </c>
      <c r="B11" t="s">
        <v>328</v>
      </c>
      <c r="C11" t="s">
        <v>74</v>
      </c>
      <c r="D11" t="s">
        <v>74</v>
      </c>
      <c r="E11" t="s">
        <v>74</v>
      </c>
      <c r="F11" t="s">
        <v>329</v>
      </c>
      <c r="G11" t="s">
        <v>74</v>
      </c>
      <c r="H11" t="s">
        <v>74</v>
      </c>
      <c r="I11" t="s">
        <v>330</v>
      </c>
      <c r="J11" t="s">
        <v>331</v>
      </c>
      <c r="K11" t="s">
        <v>74</v>
      </c>
      <c r="L11" t="s">
        <v>74</v>
      </c>
      <c r="M11" t="s">
        <v>78</v>
      </c>
      <c r="N11" t="s">
        <v>79</v>
      </c>
      <c r="O11" t="s">
        <v>74</v>
      </c>
      <c r="P11" t="s">
        <v>74</v>
      </c>
      <c r="Q11" t="s">
        <v>74</v>
      </c>
      <c r="R11" t="s">
        <v>74</v>
      </c>
      <c r="S11" t="s">
        <v>74</v>
      </c>
      <c r="T11" t="s">
        <v>332</v>
      </c>
      <c r="U11" t="s">
        <v>74</v>
      </c>
      <c r="V11" t="s">
        <v>333</v>
      </c>
      <c r="W11" t="s">
        <v>334</v>
      </c>
      <c r="X11" t="s">
        <v>335</v>
      </c>
      <c r="Y11" t="s">
        <v>336</v>
      </c>
      <c r="Z11" t="s">
        <v>337</v>
      </c>
      <c r="AA11" t="s">
        <v>338</v>
      </c>
      <c r="AB11" t="s">
        <v>339</v>
      </c>
      <c r="AC11" t="s">
        <v>340</v>
      </c>
      <c r="AD11" t="s">
        <v>341</v>
      </c>
      <c r="AE11" t="s">
        <v>342</v>
      </c>
      <c r="AF11" t="s">
        <v>74</v>
      </c>
      <c r="AG11">
        <v>56</v>
      </c>
      <c r="AH11">
        <v>15</v>
      </c>
      <c r="AI11">
        <v>15</v>
      </c>
      <c r="AJ11">
        <v>2</v>
      </c>
      <c r="AK11">
        <v>7</v>
      </c>
      <c r="AL11" t="s">
        <v>92</v>
      </c>
      <c r="AM11" t="s">
        <v>93</v>
      </c>
      <c r="AN11" t="s">
        <v>94</v>
      </c>
      <c r="AO11" t="s">
        <v>343</v>
      </c>
      <c r="AP11" t="s">
        <v>344</v>
      </c>
      <c r="AQ11" t="s">
        <v>74</v>
      </c>
      <c r="AR11" t="s">
        <v>345</v>
      </c>
      <c r="AS11" t="s">
        <v>346</v>
      </c>
      <c r="AT11" t="s">
        <v>347</v>
      </c>
      <c r="AU11">
        <v>2021</v>
      </c>
      <c r="AV11">
        <v>183</v>
      </c>
      <c r="AW11" t="s">
        <v>74</v>
      </c>
      <c r="AX11" t="s">
        <v>74</v>
      </c>
      <c r="AY11" t="s">
        <v>74</v>
      </c>
      <c r="AZ11" t="s">
        <v>74</v>
      </c>
      <c r="BA11" t="s">
        <v>74</v>
      </c>
      <c r="BB11" t="s">
        <v>74</v>
      </c>
      <c r="BC11" t="s">
        <v>74</v>
      </c>
      <c r="BD11">
        <v>103233</v>
      </c>
      <c r="BE11" t="s">
        <v>348</v>
      </c>
      <c r="BF11" t="str">
        <f>HYPERLINK("http://dx.doi.org/10.1016/j.coldregions.2021.103233","http://dx.doi.org/10.1016/j.coldregions.2021.103233")</f>
        <v>http://dx.doi.org/10.1016/j.coldregions.2021.103233</v>
      </c>
      <c r="BG11" t="s">
        <v>74</v>
      </c>
      <c r="BH11" t="s">
        <v>101</v>
      </c>
      <c r="BI11">
        <v>14</v>
      </c>
      <c r="BJ11" t="s">
        <v>349</v>
      </c>
      <c r="BK11" t="s">
        <v>103</v>
      </c>
      <c r="BL11" t="s">
        <v>350</v>
      </c>
      <c r="BM11" t="s">
        <v>351</v>
      </c>
      <c r="BN11" t="s">
        <v>74</v>
      </c>
      <c r="BO11" t="s">
        <v>352</v>
      </c>
      <c r="BP11" t="s">
        <v>74</v>
      </c>
      <c r="BQ11" t="s">
        <v>74</v>
      </c>
      <c r="BR11" t="s">
        <v>106</v>
      </c>
      <c r="BS11" t="s">
        <v>353</v>
      </c>
      <c r="BT11" t="str">
        <f>HYPERLINK("https%3A%2F%2Fwww.webofscience.com%2Fwos%2Fwoscc%2Ffull-record%2FWOS:000617782700007","View Full Record in Web of Science")</f>
        <v>View Full Record in Web of Science</v>
      </c>
    </row>
    <row r="12" spans="1:72" x14ac:dyDescent="0.15">
      <c r="A12" t="s">
        <v>72</v>
      </c>
      <c r="B12" t="s">
        <v>354</v>
      </c>
      <c r="C12" t="s">
        <v>74</v>
      </c>
      <c r="D12" t="s">
        <v>74</v>
      </c>
      <c r="E12" t="s">
        <v>74</v>
      </c>
      <c r="F12" t="s">
        <v>355</v>
      </c>
      <c r="G12" t="s">
        <v>74</v>
      </c>
      <c r="H12" t="s">
        <v>74</v>
      </c>
      <c r="I12" t="s">
        <v>356</v>
      </c>
      <c r="J12" t="s">
        <v>357</v>
      </c>
      <c r="K12" t="s">
        <v>74</v>
      </c>
      <c r="L12" t="s">
        <v>74</v>
      </c>
      <c r="M12" t="s">
        <v>78</v>
      </c>
      <c r="N12" t="s">
        <v>79</v>
      </c>
      <c r="O12" t="s">
        <v>74</v>
      </c>
      <c r="P12" t="s">
        <v>74</v>
      </c>
      <c r="Q12" t="s">
        <v>74</v>
      </c>
      <c r="R12" t="s">
        <v>74</v>
      </c>
      <c r="S12" t="s">
        <v>74</v>
      </c>
      <c r="T12" t="s">
        <v>358</v>
      </c>
      <c r="U12" t="s">
        <v>359</v>
      </c>
      <c r="V12" t="s">
        <v>360</v>
      </c>
      <c r="W12" t="s">
        <v>361</v>
      </c>
      <c r="X12" t="s">
        <v>362</v>
      </c>
      <c r="Y12" t="s">
        <v>363</v>
      </c>
      <c r="Z12" t="s">
        <v>364</v>
      </c>
      <c r="AA12" t="s">
        <v>365</v>
      </c>
      <c r="AB12" t="s">
        <v>366</v>
      </c>
      <c r="AC12" t="s">
        <v>367</v>
      </c>
      <c r="AD12" t="s">
        <v>368</v>
      </c>
      <c r="AE12" t="s">
        <v>369</v>
      </c>
      <c r="AF12" t="s">
        <v>74</v>
      </c>
      <c r="AG12">
        <v>32</v>
      </c>
      <c r="AH12">
        <v>10</v>
      </c>
      <c r="AI12">
        <v>10</v>
      </c>
      <c r="AJ12">
        <v>3</v>
      </c>
      <c r="AK12">
        <v>22</v>
      </c>
      <c r="AL12" t="s">
        <v>177</v>
      </c>
      <c r="AM12" t="s">
        <v>178</v>
      </c>
      <c r="AN12" t="s">
        <v>179</v>
      </c>
      <c r="AO12" t="s">
        <v>370</v>
      </c>
      <c r="AP12" t="s">
        <v>371</v>
      </c>
      <c r="AQ12" t="s">
        <v>74</v>
      </c>
      <c r="AR12" t="s">
        <v>372</v>
      </c>
      <c r="AS12" t="s">
        <v>373</v>
      </c>
      <c r="AT12" t="s">
        <v>374</v>
      </c>
      <c r="AU12">
        <v>2021</v>
      </c>
      <c r="AV12">
        <v>106</v>
      </c>
      <c r="AW12" t="s">
        <v>74</v>
      </c>
      <c r="AX12" t="s">
        <v>74</v>
      </c>
      <c r="AY12" t="s">
        <v>74</v>
      </c>
      <c r="AZ12" t="s">
        <v>74</v>
      </c>
      <c r="BA12" t="s">
        <v>74</v>
      </c>
      <c r="BB12" t="s">
        <v>74</v>
      </c>
      <c r="BC12" t="s">
        <v>74</v>
      </c>
      <c r="BD12">
        <v>102466</v>
      </c>
      <c r="BE12" t="s">
        <v>375</v>
      </c>
      <c r="BF12" t="str">
        <f>HYPERLINK("http://dx.doi.org/10.1016/j.apor.2020.102466","http://dx.doi.org/10.1016/j.apor.2020.102466")</f>
        <v>http://dx.doi.org/10.1016/j.apor.2020.102466</v>
      </c>
      <c r="BG12" t="s">
        <v>74</v>
      </c>
      <c r="BH12" t="s">
        <v>101</v>
      </c>
      <c r="BI12">
        <v>12</v>
      </c>
      <c r="BJ12" t="s">
        <v>376</v>
      </c>
      <c r="BK12" t="s">
        <v>103</v>
      </c>
      <c r="BL12" t="s">
        <v>377</v>
      </c>
      <c r="BM12" t="s">
        <v>378</v>
      </c>
      <c r="BN12" t="s">
        <v>74</v>
      </c>
      <c r="BO12" t="s">
        <v>74</v>
      </c>
      <c r="BP12" t="s">
        <v>74</v>
      </c>
      <c r="BQ12" t="s">
        <v>74</v>
      </c>
      <c r="BR12" t="s">
        <v>106</v>
      </c>
      <c r="BS12" t="s">
        <v>379</v>
      </c>
      <c r="BT12" t="str">
        <f>HYPERLINK("https%3A%2F%2Fwww.webofscience.com%2Fwos%2Fwoscc%2Ffull-record%2FWOS:000612307200003","View Full Record in Web of Science")</f>
        <v>View Full Record in Web of Science</v>
      </c>
    </row>
    <row r="13" spans="1:72" x14ac:dyDescent="0.15">
      <c r="A13" t="s">
        <v>72</v>
      </c>
      <c r="B13" t="s">
        <v>380</v>
      </c>
      <c r="C13" t="s">
        <v>74</v>
      </c>
      <c r="D13" t="s">
        <v>74</v>
      </c>
      <c r="E13" t="s">
        <v>74</v>
      </c>
      <c r="F13" t="s">
        <v>381</v>
      </c>
      <c r="G13" t="s">
        <v>74</v>
      </c>
      <c r="H13" t="s">
        <v>74</v>
      </c>
      <c r="I13" t="s">
        <v>382</v>
      </c>
      <c r="J13" t="s">
        <v>383</v>
      </c>
      <c r="K13" t="s">
        <v>74</v>
      </c>
      <c r="L13" t="s">
        <v>74</v>
      </c>
      <c r="M13" t="s">
        <v>78</v>
      </c>
      <c r="N13" t="s">
        <v>79</v>
      </c>
      <c r="O13" t="s">
        <v>74</v>
      </c>
      <c r="P13" t="s">
        <v>74</v>
      </c>
      <c r="Q13" t="s">
        <v>74</v>
      </c>
      <c r="R13" t="s">
        <v>74</v>
      </c>
      <c r="S13" t="s">
        <v>74</v>
      </c>
      <c r="T13" t="s">
        <v>384</v>
      </c>
      <c r="U13" t="s">
        <v>385</v>
      </c>
      <c r="V13" t="s">
        <v>386</v>
      </c>
      <c r="W13" t="s">
        <v>387</v>
      </c>
      <c r="X13" t="s">
        <v>388</v>
      </c>
      <c r="Y13" t="s">
        <v>389</v>
      </c>
      <c r="Z13" t="s">
        <v>390</v>
      </c>
      <c r="AA13" t="s">
        <v>391</v>
      </c>
      <c r="AB13" t="s">
        <v>392</v>
      </c>
      <c r="AC13" t="s">
        <v>393</v>
      </c>
      <c r="AD13" t="s">
        <v>394</v>
      </c>
      <c r="AE13" t="s">
        <v>395</v>
      </c>
      <c r="AF13" t="s">
        <v>74</v>
      </c>
      <c r="AG13">
        <v>121</v>
      </c>
      <c r="AH13">
        <v>14</v>
      </c>
      <c r="AI13">
        <v>14</v>
      </c>
      <c r="AJ13">
        <v>0</v>
      </c>
      <c r="AK13">
        <v>6</v>
      </c>
      <c r="AL13" t="s">
        <v>92</v>
      </c>
      <c r="AM13" t="s">
        <v>93</v>
      </c>
      <c r="AN13" t="s">
        <v>94</v>
      </c>
      <c r="AO13" t="s">
        <v>396</v>
      </c>
      <c r="AP13" t="s">
        <v>397</v>
      </c>
      <c r="AQ13" t="s">
        <v>74</v>
      </c>
      <c r="AR13" t="s">
        <v>398</v>
      </c>
      <c r="AS13" t="s">
        <v>399</v>
      </c>
      <c r="AT13" t="s">
        <v>214</v>
      </c>
      <c r="AU13">
        <v>2021</v>
      </c>
      <c r="AV13">
        <v>355</v>
      </c>
      <c r="AW13" t="s">
        <v>74</v>
      </c>
      <c r="AX13" t="s">
        <v>74</v>
      </c>
      <c r="AY13" t="s">
        <v>74</v>
      </c>
      <c r="AZ13" t="s">
        <v>74</v>
      </c>
      <c r="BA13" t="s">
        <v>74</v>
      </c>
      <c r="BB13" t="s">
        <v>74</v>
      </c>
      <c r="BC13" t="s">
        <v>74</v>
      </c>
      <c r="BD13">
        <v>106080</v>
      </c>
      <c r="BE13" t="s">
        <v>400</v>
      </c>
      <c r="BF13" t="str">
        <f>HYPERLINK("http://dx.doi.org/10.1016/j.precamres.2020.106080","http://dx.doi.org/10.1016/j.precamres.2020.106080")</f>
        <v>http://dx.doi.org/10.1016/j.precamres.2020.106080</v>
      </c>
      <c r="BG13" t="s">
        <v>74</v>
      </c>
      <c r="BH13" t="s">
        <v>101</v>
      </c>
      <c r="BI13">
        <v>23</v>
      </c>
      <c r="BJ13" t="s">
        <v>401</v>
      </c>
      <c r="BK13" t="s">
        <v>103</v>
      </c>
      <c r="BL13" t="s">
        <v>402</v>
      </c>
      <c r="BM13" t="s">
        <v>403</v>
      </c>
      <c r="BN13" t="s">
        <v>74</v>
      </c>
      <c r="BO13" t="s">
        <v>74</v>
      </c>
      <c r="BP13" t="s">
        <v>74</v>
      </c>
      <c r="BQ13" t="s">
        <v>74</v>
      </c>
      <c r="BR13" t="s">
        <v>106</v>
      </c>
      <c r="BS13" t="s">
        <v>404</v>
      </c>
      <c r="BT13" t="str">
        <f>HYPERLINK("https%3A%2F%2Fwww.webofscience.com%2Fwos%2Fwoscc%2Ffull-record%2FWOS:000652026000006","View Full Record in Web of Science")</f>
        <v>View Full Record in Web of Science</v>
      </c>
    </row>
    <row r="14" spans="1:72" x14ac:dyDescent="0.15">
      <c r="A14" t="s">
        <v>72</v>
      </c>
      <c r="B14" t="s">
        <v>405</v>
      </c>
      <c r="C14" t="s">
        <v>74</v>
      </c>
      <c r="D14" t="s">
        <v>74</v>
      </c>
      <c r="E14" t="s">
        <v>74</v>
      </c>
      <c r="F14" t="s">
        <v>406</v>
      </c>
      <c r="G14" t="s">
        <v>74</v>
      </c>
      <c r="H14" t="s">
        <v>74</v>
      </c>
      <c r="I14" t="s">
        <v>407</v>
      </c>
      <c r="J14" t="s">
        <v>408</v>
      </c>
      <c r="K14" t="s">
        <v>74</v>
      </c>
      <c r="L14" t="s">
        <v>74</v>
      </c>
      <c r="M14" t="s">
        <v>78</v>
      </c>
      <c r="N14" t="s">
        <v>79</v>
      </c>
      <c r="O14" t="s">
        <v>74</v>
      </c>
      <c r="P14" t="s">
        <v>74</v>
      </c>
      <c r="Q14" t="s">
        <v>74</v>
      </c>
      <c r="R14" t="s">
        <v>74</v>
      </c>
      <c r="S14" t="s">
        <v>74</v>
      </c>
      <c r="T14" t="s">
        <v>409</v>
      </c>
      <c r="U14" t="s">
        <v>74</v>
      </c>
      <c r="V14" t="s">
        <v>410</v>
      </c>
      <c r="W14" t="s">
        <v>411</v>
      </c>
      <c r="X14" t="s">
        <v>412</v>
      </c>
      <c r="Y14" t="s">
        <v>413</v>
      </c>
      <c r="Z14" t="s">
        <v>414</v>
      </c>
      <c r="AA14" t="s">
        <v>74</v>
      </c>
      <c r="AB14" t="s">
        <v>74</v>
      </c>
      <c r="AC14" t="s">
        <v>415</v>
      </c>
      <c r="AD14" t="s">
        <v>416</v>
      </c>
      <c r="AE14" t="s">
        <v>417</v>
      </c>
      <c r="AF14" t="s">
        <v>74</v>
      </c>
      <c r="AG14">
        <v>121</v>
      </c>
      <c r="AH14">
        <v>18</v>
      </c>
      <c r="AI14">
        <v>19</v>
      </c>
      <c r="AJ14">
        <v>0</v>
      </c>
      <c r="AK14">
        <v>7</v>
      </c>
      <c r="AL14" t="s">
        <v>418</v>
      </c>
      <c r="AM14" t="s">
        <v>178</v>
      </c>
      <c r="AN14" t="s">
        <v>419</v>
      </c>
      <c r="AO14" t="s">
        <v>420</v>
      </c>
      <c r="AP14" t="s">
        <v>421</v>
      </c>
      <c r="AQ14" t="s">
        <v>74</v>
      </c>
      <c r="AR14" t="s">
        <v>422</v>
      </c>
      <c r="AS14" t="s">
        <v>423</v>
      </c>
      <c r="AT14" t="s">
        <v>424</v>
      </c>
      <c r="AU14">
        <v>2021</v>
      </c>
      <c r="AV14">
        <v>296</v>
      </c>
      <c r="AW14" t="s">
        <v>74</v>
      </c>
      <c r="AX14" t="s">
        <v>74</v>
      </c>
      <c r="AY14" t="s">
        <v>74</v>
      </c>
      <c r="AZ14" t="s">
        <v>74</v>
      </c>
      <c r="BA14" t="s">
        <v>74</v>
      </c>
      <c r="BB14">
        <v>18</v>
      </c>
      <c r="BC14">
        <v>37</v>
      </c>
      <c r="BD14" t="s">
        <v>74</v>
      </c>
      <c r="BE14" t="s">
        <v>425</v>
      </c>
      <c r="BF14" t="str">
        <f>HYPERLINK("http://dx.doi.org/10.1016/j.gca.2020.12.025","http://dx.doi.org/10.1016/j.gca.2020.12.025")</f>
        <v>http://dx.doi.org/10.1016/j.gca.2020.12.025</v>
      </c>
      <c r="BG14" t="s">
        <v>74</v>
      </c>
      <c r="BH14" t="s">
        <v>101</v>
      </c>
      <c r="BI14">
        <v>20</v>
      </c>
      <c r="BJ14" t="s">
        <v>426</v>
      </c>
      <c r="BK14" t="s">
        <v>103</v>
      </c>
      <c r="BL14" t="s">
        <v>426</v>
      </c>
      <c r="BM14" t="s">
        <v>427</v>
      </c>
      <c r="BN14" t="s">
        <v>74</v>
      </c>
      <c r="BO14" t="s">
        <v>428</v>
      </c>
      <c r="BP14" t="s">
        <v>74</v>
      </c>
      <c r="BQ14" t="s">
        <v>74</v>
      </c>
      <c r="BR14" t="s">
        <v>106</v>
      </c>
      <c r="BS14" t="s">
        <v>429</v>
      </c>
      <c r="BT14" t="str">
        <f>HYPERLINK("https%3A%2F%2Fwww.webofscience.com%2Fwos%2Fwoscc%2Ffull-record%2FWOS:000623916400002","View Full Record in Web of Science")</f>
        <v>View Full Record in Web of Science</v>
      </c>
    </row>
    <row r="15" spans="1:72" x14ac:dyDescent="0.15">
      <c r="A15" t="s">
        <v>72</v>
      </c>
      <c r="B15" t="s">
        <v>430</v>
      </c>
      <c r="C15" t="s">
        <v>74</v>
      </c>
      <c r="D15" t="s">
        <v>74</v>
      </c>
      <c r="E15" t="s">
        <v>74</v>
      </c>
      <c r="F15" t="s">
        <v>431</v>
      </c>
      <c r="G15" t="s">
        <v>74</v>
      </c>
      <c r="H15" t="s">
        <v>74</v>
      </c>
      <c r="I15" t="s">
        <v>432</v>
      </c>
      <c r="J15" t="s">
        <v>433</v>
      </c>
      <c r="K15" t="s">
        <v>74</v>
      </c>
      <c r="L15" t="s">
        <v>74</v>
      </c>
      <c r="M15" t="s">
        <v>78</v>
      </c>
      <c r="N15" t="s">
        <v>79</v>
      </c>
      <c r="O15" t="s">
        <v>74</v>
      </c>
      <c r="P15" t="s">
        <v>74</v>
      </c>
      <c r="Q15" t="s">
        <v>74</v>
      </c>
      <c r="R15" t="s">
        <v>74</v>
      </c>
      <c r="S15" t="s">
        <v>74</v>
      </c>
      <c r="T15" t="s">
        <v>434</v>
      </c>
      <c r="U15" t="s">
        <v>435</v>
      </c>
      <c r="V15" t="s">
        <v>436</v>
      </c>
      <c r="W15" t="s">
        <v>437</v>
      </c>
      <c r="X15" t="s">
        <v>438</v>
      </c>
      <c r="Y15" t="s">
        <v>439</v>
      </c>
      <c r="Z15" t="s">
        <v>440</v>
      </c>
      <c r="AA15" t="s">
        <v>441</v>
      </c>
      <c r="AB15" t="s">
        <v>442</v>
      </c>
      <c r="AC15" t="s">
        <v>443</v>
      </c>
      <c r="AD15" t="s">
        <v>444</v>
      </c>
      <c r="AE15" t="s">
        <v>445</v>
      </c>
      <c r="AF15" t="s">
        <v>74</v>
      </c>
      <c r="AG15">
        <v>83</v>
      </c>
      <c r="AH15">
        <v>2</v>
      </c>
      <c r="AI15">
        <v>2</v>
      </c>
      <c r="AJ15">
        <v>0</v>
      </c>
      <c r="AK15">
        <v>6</v>
      </c>
      <c r="AL15" t="s">
        <v>446</v>
      </c>
      <c r="AM15" t="s">
        <v>447</v>
      </c>
      <c r="AN15" t="s">
        <v>448</v>
      </c>
      <c r="AO15" t="s">
        <v>449</v>
      </c>
      <c r="AP15" t="s">
        <v>450</v>
      </c>
      <c r="AQ15" t="s">
        <v>74</v>
      </c>
      <c r="AR15" t="s">
        <v>451</v>
      </c>
      <c r="AS15" t="s">
        <v>452</v>
      </c>
      <c r="AT15" t="s">
        <v>453</v>
      </c>
      <c r="AU15">
        <v>2021</v>
      </c>
      <c r="AV15">
        <v>658</v>
      </c>
      <c r="AW15" t="s">
        <v>74</v>
      </c>
      <c r="AX15" t="s">
        <v>74</v>
      </c>
      <c r="AY15" t="s">
        <v>74</v>
      </c>
      <c r="AZ15" t="s">
        <v>74</v>
      </c>
      <c r="BA15" t="s">
        <v>74</v>
      </c>
      <c r="BB15">
        <v>105</v>
      </c>
      <c r="BC15">
        <v>115</v>
      </c>
      <c r="BD15" t="s">
        <v>74</v>
      </c>
      <c r="BE15" t="s">
        <v>454</v>
      </c>
      <c r="BF15" t="str">
        <f>HYPERLINK("http://dx.doi.org/10.3354/meps13556","http://dx.doi.org/10.3354/meps13556")</f>
        <v>http://dx.doi.org/10.3354/meps13556</v>
      </c>
      <c r="BG15" t="s">
        <v>74</v>
      </c>
      <c r="BH15" t="s">
        <v>74</v>
      </c>
      <c r="BI15">
        <v>11</v>
      </c>
      <c r="BJ15" t="s">
        <v>455</v>
      </c>
      <c r="BK15" t="s">
        <v>103</v>
      </c>
      <c r="BL15" t="s">
        <v>456</v>
      </c>
      <c r="BM15" t="s">
        <v>457</v>
      </c>
      <c r="BN15" t="s">
        <v>74</v>
      </c>
      <c r="BO15" t="s">
        <v>74</v>
      </c>
      <c r="BP15" t="s">
        <v>74</v>
      </c>
      <c r="BQ15" t="s">
        <v>74</v>
      </c>
      <c r="BR15" t="s">
        <v>106</v>
      </c>
      <c r="BS15" t="s">
        <v>458</v>
      </c>
      <c r="BT15" t="str">
        <f>HYPERLINK("https%3A%2F%2Fwww.webofscience.com%2Fwos%2Fwoscc%2Ffull-record%2FWOS:000621349000007","View Full Record in Web of Science")</f>
        <v>View Full Record in Web of Science</v>
      </c>
    </row>
    <row r="16" spans="1:72" x14ac:dyDescent="0.15">
      <c r="A16" t="s">
        <v>72</v>
      </c>
      <c r="B16" t="s">
        <v>459</v>
      </c>
      <c r="C16" t="s">
        <v>74</v>
      </c>
      <c r="D16" t="s">
        <v>74</v>
      </c>
      <c r="E16" t="s">
        <v>74</v>
      </c>
      <c r="F16" t="s">
        <v>460</v>
      </c>
      <c r="G16" t="s">
        <v>74</v>
      </c>
      <c r="H16" t="s">
        <v>74</v>
      </c>
      <c r="I16" t="s">
        <v>461</v>
      </c>
      <c r="J16" t="s">
        <v>462</v>
      </c>
      <c r="K16" t="s">
        <v>74</v>
      </c>
      <c r="L16" t="s">
        <v>74</v>
      </c>
      <c r="M16" t="s">
        <v>78</v>
      </c>
      <c r="N16" t="s">
        <v>79</v>
      </c>
      <c r="O16" t="s">
        <v>74</v>
      </c>
      <c r="P16" t="s">
        <v>74</v>
      </c>
      <c r="Q16" t="s">
        <v>74</v>
      </c>
      <c r="R16" t="s">
        <v>74</v>
      </c>
      <c r="S16" t="s">
        <v>74</v>
      </c>
      <c r="T16" t="s">
        <v>74</v>
      </c>
      <c r="U16" t="s">
        <v>74</v>
      </c>
      <c r="V16" t="s">
        <v>463</v>
      </c>
      <c r="W16" t="s">
        <v>464</v>
      </c>
      <c r="X16" t="s">
        <v>465</v>
      </c>
      <c r="Y16" t="s">
        <v>466</v>
      </c>
      <c r="Z16" t="s">
        <v>467</v>
      </c>
      <c r="AA16" t="s">
        <v>468</v>
      </c>
      <c r="AB16" t="s">
        <v>469</v>
      </c>
      <c r="AC16" t="s">
        <v>470</v>
      </c>
      <c r="AD16" t="s">
        <v>471</v>
      </c>
      <c r="AE16" t="s">
        <v>472</v>
      </c>
      <c r="AF16" t="s">
        <v>74</v>
      </c>
      <c r="AG16">
        <v>68</v>
      </c>
      <c r="AH16">
        <v>6</v>
      </c>
      <c r="AI16">
        <v>6</v>
      </c>
      <c r="AJ16">
        <v>2</v>
      </c>
      <c r="AK16">
        <v>17</v>
      </c>
      <c r="AL16" t="s">
        <v>207</v>
      </c>
      <c r="AM16" t="s">
        <v>473</v>
      </c>
      <c r="AN16" t="s">
        <v>474</v>
      </c>
      <c r="AO16" t="s">
        <v>475</v>
      </c>
      <c r="AP16" t="s">
        <v>476</v>
      </c>
      <c r="AQ16" t="s">
        <v>74</v>
      </c>
      <c r="AR16" t="s">
        <v>477</v>
      </c>
      <c r="AS16" t="s">
        <v>478</v>
      </c>
      <c r="AT16" t="s">
        <v>184</v>
      </c>
      <c r="AU16">
        <v>2021</v>
      </c>
      <c r="AV16">
        <v>80</v>
      </c>
      <c r="AW16">
        <v>2</v>
      </c>
      <c r="AX16" t="s">
        <v>74</v>
      </c>
      <c r="AY16" t="s">
        <v>74</v>
      </c>
      <c r="AZ16" t="s">
        <v>74</v>
      </c>
      <c r="BA16" t="s">
        <v>74</v>
      </c>
      <c r="BB16">
        <v>368</v>
      </c>
      <c r="BC16">
        <v>388</v>
      </c>
      <c r="BD16" t="s">
        <v>74</v>
      </c>
      <c r="BE16" t="s">
        <v>479</v>
      </c>
      <c r="BF16" t="str">
        <f>HYPERLINK("http://dx.doi.org/10.1007/s00244-021-00808-4","http://dx.doi.org/10.1007/s00244-021-00808-4")</f>
        <v>http://dx.doi.org/10.1007/s00244-021-00808-4</v>
      </c>
      <c r="BG16" t="s">
        <v>74</v>
      </c>
      <c r="BH16" t="s">
        <v>101</v>
      </c>
      <c r="BI16">
        <v>21</v>
      </c>
      <c r="BJ16" t="s">
        <v>480</v>
      </c>
      <c r="BK16" t="s">
        <v>103</v>
      </c>
      <c r="BL16" t="s">
        <v>481</v>
      </c>
      <c r="BM16" t="s">
        <v>482</v>
      </c>
      <c r="BN16">
        <v>33475760</v>
      </c>
      <c r="BO16" t="s">
        <v>74</v>
      </c>
      <c r="BP16" t="s">
        <v>74</v>
      </c>
      <c r="BQ16" t="s">
        <v>74</v>
      </c>
      <c r="BR16" t="s">
        <v>106</v>
      </c>
      <c r="BS16" t="s">
        <v>483</v>
      </c>
      <c r="BT16" t="str">
        <f>HYPERLINK("https%3A%2F%2Fwww.webofscience.com%2Fwos%2Fwoscc%2Ffull-record%2FWOS:000609406700001","View Full Record in Web of Science")</f>
        <v>View Full Record in Web of Science</v>
      </c>
    </row>
    <row r="17" spans="1:72" x14ac:dyDescent="0.15">
      <c r="A17" t="s">
        <v>72</v>
      </c>
      <c r="B17" t="s">
        <v>484</v>
      </c>
      <c r="C17" t="s">
        <v>74</v>
      </c>
      <c r="D17" t="s">
        <v>74</v>
      </c>
      <c r="E17" t="s">
        <v>74</v>
      </c>
      <c r="F17" t="s">
        <v>485</v>
      </c>
      <c r="G17" t="s">
        <v>74</v>
      </c>
      <c r="H17" t="s">
        <v>74</v>
      </c>
      <c r="I17" t="s">
        <v>486</v>
      </c>
      <c r="J17" t="s">
        <v>487</v>
      </c>
      <c r="K17" t="s">
        <v>74</v>
      </c>
      <c r="L17" t="s">
        <v>74</v>
      </c>
      <c r="M17" t="s">
        <v>78</v>
      </c>
      <c r="N17" t="s">
        <v>79</v>
      </c>
      <c r="O17" t="s">
        <v>74</v>
      </c>
      <c r="P17" t="s">
        <v>74</v>
      </c>
      <c r="Q17" t="s">
        <v>74</v>
      </c>
      <c r="R17" t="s">
        <v>74</v>
      </c>
      <c r="S17" t="s">
        <v>74</v>
      </c>
      <c r="T17" t="s">
        <v>488</v>
      </c>
      <c r="U17" t="s">
        <v>489</v>
      </c>
      <c r="V17" t="s">
        <v>490</v>
      </c>
      <c r="W17" t="s">
        <v>491</v>
      </c>
      <c r="X17" t="s">
        <v>492</v>
      </c>
      <c r="Y17" t="s">
        <v>493</v>
      </c>
      <c r="Z17" t="s">
        <v>494</v>
      </c>
      <c r="AA17" t="s">
        <v>495</v>
      </c>
      <c r="AB17" t="s">
        <v>496</v>
      </c>
      <c r="AC17" t="s">
        <v>497</v>
      </c>
      <c r="AD17" t="s">
        <v>498</v>
      </c>
      <c r="AE17" t="s">
        <v>499</v>
      </c>
      <c r="AF17" t="s">
        <v>74</v>
      </c>
      <c r="AG17">
        <v>96</v>
      </c>
      <c r="AH17">
        <v>2</v>
      </c>
      <c r="AI17">
        <v>2</v>
      </c>
      <c r="AJ17">
        <v>1</v>
      </c>
      <c r="AK17">
        <v>35</v>
      </c>
      <c r="AL17" t="s">
        <v>500</v>
      </c>
      <c r="AM17" t="s">
        <v>501</v>
      </c>
      <c r="AN17" t="s">
        <v>502</v>
      </c>
      <c r="AO17" t="s">
        <v>74</v>
      </c>
      <c r="AP17" t="s">
        <v>503</v>
      </c>
      <c r="AQ17" t="s">
        <v>74</v>
      </c>
      <c r="AR17" t="s">
        <v>504</v>
      </c>
      <c r="AS17" t="s">
        <v>505</v>
      </c>
      <c r="AT17" t="s">
        <v>453</v>
      </c>
      <c r="AU17">
        <v>2021</v>
      </c>
      <c r="AV17">
        <v>7</v>
      </c>
      <c r="AW17" t="s">
        <v>74</v>
      </c>
      <c r="AX17" t="s">
        <v>74</v>
      </c>
      <c r="AY17" t="s">
        <v>74</v>
      </c>
      <c r="AZ17" t="s">
        <v>74</v>
      </c>
      <c r="BA17" t="s">
        <v>74</v>
      </c>
      <c r="BB17" t="s">
        <v>74</v>
      </c>
      <c r="BC17" t="s">
        <v>74</v>
      </c>
      <c r="BD17">
        <v>602767</v>
      </c>
      <c r="BE17" t="s">
        <v>506</v>
      </c>
      <c r="BF17" t="str">
        <f>HYPERLINK("http://dx.doi.org/10.3389/fmars.2020.602767","http://dx.doi.org/10.3389/fmars.2020.602767")</f>
        <v>http://dx.doi.org/10.3389/fmars.2020.602767</v>
      </c>
      <c r="BG17" t="s">
        <v>74</v>
      </c>
      <c r="BH17" t="s">
        <v>74</v>
      </c>
      <c r="BI17">
        <v>18</v>
      </c>
      <c r="BJ17" t="s">
        <v>507</v>
      </c>
      <c r="BK17" t="s">
        <v>271</v>
      </c>
      <c r="BL17" t="s">
        <v>508</v>
      </c>
      <c r="BM17" t="s">
        <v>509</v>
      </c>
      <c r="BN17" t="s">
        <v>74</v>
      </c>
      <c r="BO17" t="s">
        <v>510</v>
      </c>
      <c r="BP17" t="s">
        <v>74</v>
      </c>
      <c r="BQ17" t="s">
        <v>74</v>
      </c>
      <c r="BR17" t="s">
        <v>106</v>
      </c>
      <c r="BS17" t="s">
        <v>511</v>
      </c>
      <c r="BT17" t="str">
        <f>HYPERLINK("https%3A%2F%2Fwww.webofscience.com%2Fwos%2Fwoscc%2Ffull-record%2FWOS:000613344400001","View Full Record in Web of Science")</f>
        <v>View Full Record in Web of Science</v>
      </c>
    </row>
    <row r="18" spans="1:72" x14ac:dyDescent="0.15">
      <c r="A18" t="s">
        <v>72</v>
      </c>
      <c r="B18" t="s">
        <v>512</v>
      </c>
      <c r="C18" t="s">
        <v>74</v>
      </c>
      <c r="D18" t="s">
        <v>74</v>
      </c>
      <c r="E18" t="s">
        <v>74</v>
      </c>
      <c r="F18" t="s">
        <v>513</v>
      </c>
      <c r="G18" t="s">
        <v>74</v>
      </c>
      <c r="H18" t="s">
        <v>74</v>
      </c>
      <c r="I18" t="s">
        <v>514</v>
      </c>
      <c r="J18" t="s">
        <v>515</v>
      </c>
      <c r="K18" t="s">
        <v>74</v>
      </c>
      <c r="L18" t="s">
        <v>74</v>
      </c>
      <c r="M18" t="s">
        <v>78</v>
      </c>
      <c r="N18" t="s">
        <v>79</v>
      </c>
      <c r="O18" t="s">
        <v>74</v>
      </c>
      <c r="P18" t="s">
        <v>74</v>
      </c>
      <c r="Q18" t="s">
        <v>74</v>
      </c>
      <c r="R18" t="s">
        <v>74</v>
      </c>
      <c r="S18" t="s">
        <v>74</v>
      </c>
      <c r="T18" t="s">
        <v>74</v>
      </c>
      <c r="U18" t="s">
        <v>516</v>
      </c>
      <c r="V18" t="s">
        <v>517</v>
      </c>
      <c r="W18" t="s">
        <v>518</v>
      </c>
      <c r="X18" t="s">
        <v>519</v>
      </c>
      <c r="Y18" t="s">
        <v>520</v>
      </c>
      <c r="Z18" t="s">
        <v>521</v>
      </c>
      <c r="AA18" t="s">
        <v>522</v>
      </c>
      <c r="AB18" t="s">
        <v>523</v>
      </c>
      <c r="AC18" t="s">
        <v>524</v>
      </c>
      <c r="AD18" t="s">
        <v>525</v>
      </c>
      <c r="AE18" t="s">
        <v>526</v>
      </c>
      <c r="AF18" t="s">
        <v>74</v>
      </c>
      <c r="AG18">
        <v>54</v>
      </c>
      <c r="AH18">
        <v>39</v>
      </c>
      <c r="AI18">
        <v>40</v>
      </c>
      <c r="AJ18">
        <v>3</v>
      </c>
      <c r="AK18">
        <v>12</v>
      </c>
      <c r="AL18" t="s">
        <v>527</v>
      </c>
      <c r="AM18" t="s">
        <v>528</v>
      </c>
      <c r="AN18" t="s">
        <v>529</v>
      </c>
      <c r="AO18" t="s">
        <v>74</v>
      </c>
      <c r="AP18" t="s">
        <v>530</v>
      </c>
      <c r="AQ18" t="s">
        <v>74</v>
      </c>
      <c r="AR18" t="s">
        <v>531</v>
      </c>
      <c r="AS18" t="s">
        <v>532</v>
      </c>
      <c r="AT18" t="s">
        <v>453</v>
      </c>
      <c r="AU18">
        <v>2021</v>
      </c>
      <c r="AV18">
        <v>12</v>
      </c>
      <c r="AW18">
        <v>1</v>
      </c>
      <c r="AX18" t="s">
        <v>74</v>
      </c>
      <c r="AY18" t="s">
        <v>74</v>
      </c>
      <c r="AZ18" t="s">
        <v>74</v>
      </c>
      <c r="BA18" t="s">
        <v>74</v>
      </c>
      <c r="BB18" t="s">
        <v>74</v>
      </c>
      <c r="BC18" t="s">
        <v>74</v>
      </c>
      <c r="BD18">
        <v>514</v>
      </c>
      <c r="BE18" t="s">
        <v>533</v>
      </c>
      <c r="BF18" t="str">
        <f>HYPERLINK("http://dx.doi.org/10.1038/s41467-020-20781-1","http://dx.doi.org/10.1038/s41467-020-20781-1")</f>
        <v>http://dx.doi.org/10.1038/s41467-020-20781-1</v>
      </c>
      <c r="BG18" t="s">
        <v>74</v>
      </c>
      <c r="BH18" t="s">
        <v>74</v>
      </c>
      <c r="BI18">
        <v>9</v>
      </c>
      <c r="BJ18" t="s">
        <v>534</v>
      </c>
      <c r="BK18" t="s">
        <v>103</v>
      </c>
      <c r="BL18" t="s">
        <v>535</v>
      </c>
      <c r="BM18" t="s">
        <v>536</v>
      </c>
      <c r="BN18">
        <v>33479205</v>
      </c>
      <c r="BO18" t="s">
        <v>537</v>
      </c>
      <c r="BP18" t="s">
        <v>74</v>
      </c>
      <c r="BQ18" t="s">
        <v>74</v>
      </c>
      <c r="BR18" t="s">
        <v>106</v>
      </c>
      <c r="BS18" t="s">
        <v>538</v>
      </c>
      <c r="BT18" t="str">
        <f>HYPERLINK("https%3A%2F%2Fwww.webofscience.com%2Fwos%2Fwoscc%2Ffull-record%2FWOS:000613043600008","View Full Record in Web of Science")</f>
        <v>View Full Record in Web of Science</v>
      </c>
    </row>
    <row r="19" spans="1:72" x14ac:dyDescent="0.15">
      <c r="A19" t="s">
        <v>72</v>
      </c>
      <c r="B19" t="s">
        <v>539</v>
      </c>
      <c r="C19" t="s">
        <v>74</v>
      </c>
      <c r="D19" t="s">
        <v>74</v>
      </c>
      <c r="E19" t="s">
        <v>74</v>
      </c>
      <c r="F19" t="s">
        <v>540</v>
      </c>
      <c r="G19" t="s">
        <v>74</v>
      </c>
      <c r="H19" t="s">
        <v>74</v>
      </c>
      <c r="I19" t="s">
        <v>541</v>
      </c>
      <c r="J19" t="s">
        <v>542</v>
      </c>
      <c r="K19" t="s">
        <v>74</v>
      </c>
      <c r="L19" t="s">
        <v>74</v>
      </c>
      <c r="M19" t="s">
        <v>78</v>
      </c>
      <c r="N19" t="s">
        <v>79</v>
      </c>
      <c r="O19" t="s">
        <v>74</v>
      </c>
      <c r="P19" t="s">
        <v>74</v>
      </c>
      <c r="Q19" t="s">
        <v>74</v>
      </c>
      <c r="R19" t="s">
        <v>74</v>
      </c>
      <c r="S19" t="s">
        <v>74</v>
      </c>
      <c r="T19" t="s">
        <v>74</v>
      </c>
      <c r="U19" t="s">
        <v>74</v>
      </c>
      <c r="V19" t="s">
        <v>543</v>
      </c>
      <c r="W19" t="s">
        <v>544</v>
      </c>
      <c r="X19" t="s">
        <v>545</v>
      </c>
      <c r="Y19" t="s">
        <v>546</v>
      </c>
      <c r="Z19" t="s">
        <v>547</v>
      </c>
      <c r="AA19" t="s">
        <v>74</v>
      </c>
      <c r="AB19" t="s">
        <v>548</v>
      </c>
      <c r="AC19" t="s">
        <v>549</v>
      </c>
      <c r="AD19" t="s">
        <v>550</v>
      </c>
      <c r="AE19" t="s">
        <v>551</v>
      </c>
      <c r="AF19" t="s">
        <v>74</v>
      </c>
      <c r="AG19">
        <v>69</v>
      </c>
      <c r="AH19">
        <v>4</v>
      </c>
      <c r="AI19">
        <v>4</v>
      </c>
      <c r="AJ19">
        <v>0</v>
      </c>
      <c r="AK19">
        <v>4</v>
      </c>
      <c r="AL19" t="s">
        <v>552</v>
      </c>
      <c r="AM19" t="s">
        <v>553</v>
      </c>
      <c r="AN19" t="s">
        <v>554</v>
      </c>
      <c r="AO19" t="s">
        <v>555</v>
      </c>
      <c r="AP19" t="s">
        <v>556</v>
      </c>
      <c r="AQ19" t="s">
        <v>74</v>
      </c>
      <c r="AR19" t="s">
        <v>557</v>
      </c>
      <c r="AS19" t="s">
        <v>558</v>
      </c>
      <c r="AT19" t="s">
        <v>184</v>
      </c>
      <c r="AU19">
        <v>2021</v>
      </c>
      <c r="AV19">
        <v>36</v>
      </c>
      <c r="AW19">
        <v>2</v>
      </c>
      <c r="AX19" t="s">
        <v>74</v>
      </c>
      <c r="AY19" t="s">
        <v>74</v>
      </c>
      <c r="AZ19" t="s">
        <v>74</v>
      </c>
      <c r="BA19" t="s">
        <v>74</v>
      </c>
      <c r="BB19">
        <v>153</v>
      </c>
      <c r="BC19">
        <v>168</v>
      </c>
      <c r="BD19" t="s">
        <v>74</v>
      </c>
      <c r="BE19" t="s">
        <v>559</v>
      </c>
      <c r="BF19" t="str">
        <f>HYPERLINK("http://dx.doi.org/10.1002/jqs.3266","http://dx.doi.org/10.1002/jqs.3266")</f>
        <v>http://dx.doi.org/10.1002/jqs.3266</v>
      </c>
      <c r="BG19" t="s">
        <v>74</v>
      </c>
      <c r="BH19" t="s">
        <v>101</v>
      </c>
      <c r="BI19">
        <v>16</v>
      </c>
      <c r="BJ19" t="s">
        <v>156</v>
      </c>
      <c r="BK19" t="s">
        <v>103</v>
      </c>
      <c r="BL19" t="s">
        <v>157</v>
      </c>
      <c r="BM19" t="s">
        <v>560</v>
      </c>
      <c r="BN19" t="s">
        <v>74</v>
      </c>
      <c r="BO19" t="s">
        <v>561</v>
      </c>
      <c r="BP19" t="s">
        <v>74</v>
      </c>
      <c r="BQ19" t="s">
        <v>74</v>
      </c>
      <c r="BR19" t="s">
        <v>106</v>
      </c>
      <c r="BS19" t="s">
        <v>562</v>
      </c>
      <c r="BT19" t="str">
        <f>HYPERLINK("https%3A%2F%2Fwww.webofscience.com%2Fwos%2Fwoscc%2Ffull-record%2FWOS:000609281800001","View Full Record in Web of Science")</f>
        <v>View Full Record in Web of Science</v>
      </c>
    </row>
    <row r="20" spans="1:72" x14ac:dyDescent="0.15">
      <c r="A20" t="s">
        <v>72</v>
      </c>
      <c r="B20" t="s">
        <v>563</v>
      </c>
      <c r="C20" t="s">
        <v>74</v>
      </c>
      <c r="D20" t="s">
        <v>74</v>
      </c>
      <c r="E20" t="s">
        <v>74</v>
      </c>
      <c r="F20" t="s">
        <v>564</v>
      </c>
      <c r="G20" t="s">
        <v>74</v>
      </c>
      <c r="H20" t="s">
        <v>74</v>
      </c>
      <c r="I20" t="s">
        <v>565</v>
      </c>
      <c r="J20" t="s">
        <v>566</v>
      </c>
      <c r="K20" t="s">
        <v>74</v>
      </c>
      <c r="L20" t="s">
        <v>74</v>
      </c>
      <c r="M20" t="s">
        <v>78</v>
      </c>
      <c r="N20" t="s">
        <v>79</v>
      </c>
      <c r="O20" t="s">
        <v>74</v>
      </c>
      <c r="P20" t="s">
        <v>74</v>
      </c>
      <c r="Q20" t="s">
        <v>74</v>
      </c>
      <c r="R20" t="s">
        <v>74</v>
      </c>
      <c r="S20" t="s">
        <v>74</v>
      </c>
      <c r="T20" t="s">
        <v>567</v>
      </c>
      <c r="U20" t="s">
        <v>568</v>
      </c>
      <c r="V20" t="s">
        <v>569</v>
      </c>
      <c r="W20" t="s">
        <v>570</v>
      </c>
      <c r="X20" t="s">
        <v>571</v>
      </c>
      <c r="Y20" t="s">
        <v>572</v>
      </c>
      <c r="Z20" t="s">
        <v>573</v>
      </c>
      <c r="AA20" t="s">
        <v>574</v>
      </c>
      <c r="AB20" t="s">
        <v>575</v>
      </c>
      <c r="AC20" t="s">
        <v>576</v>
      </c>
      <c r="AD20" t="s">
        <v>576</v>
      </c>
      <c r="AE20" t="s">
        <v>577</v>
      </c>
      <c r="AF20" t="s">
        <v>74</v>
      </c>
      <c r="AG20">
        <v>148</v>
      </c>
      <c r="AH20">
        <v>23</v>
      </c>
      <c r="AI20">
        <v>23</v>
      </c>
      <c r="AJ20">
        <v>1</v>
      </c>
      <c r="AK20">
        <v>24</v>
      </c>
      <c r="AL20" t="s">
        <v>207</v>
      </c>
      <c r="AM20" t="s">
        <v>208</v>
      </c>
      <c r="AN20" t="s">
        <v>209</v>
      </c>
      <c r="AO20" t="s">
        <v>578</v>
      </c>
      <c r="AP20" t="s">
        <v>579</v>
      </c>
      <c r="AQ20" t="s">
        <v>74</v>
      </c>
      <c r="AR20" t="s">
        <v>580</v>
      </c>
      <c r="AS20" t="s">
        <v>581</v>
      </c>
      <c r="AT20" t="s">
        <v>347</v>
      </c>
      <c r="AU20">
        <v>2022</v>
      </c>
      <c r="AV20">
        <v>32</v>
      </c>
      <c r="AW20">
        <v>1</v>
      </c>
      <c r="AX20" t="s">
        <v>74</v>
      </c>
      <c r="AY20" t="s">
        <v>74</v>
      </c>
      <c r="AZ20" t="s">
        <v>582</v>
      </c>
      <c r="BA20" t="s">
        <v>74</v>
      </c>
      <c r="BB20">
        <v>209</v>
      </c>
      <c r="BC20">
        <v>230</v>
      </c>
      <c r="BD20" t="s">
        <v>74</v>
      </c>
      <c r="BE20" t="s">
        <v>583</v>
      </c>
      <c r="BF20" t="str">
        <f>HYPERLINK("http://dx.doi.org/10.1007/s11160-020-09628-6","http://dx.doi.org/10.1007/s11160-020-09628-6")</f>
        <v>http://dx.doi.org/10.1007/s11160-020-09628-6</v>
      </c>
      <c r="BG20" t="s">
        <v>74</v>
      </c>
      <c r="BH20" t="s">
        <v>101</v>
      </c>
      <c r="BI20">
        <v>22</v>
      </c>
      <c r="BJ20" t="s">
        <v>584</v>
      </c>
      <c r="BK20" t="s">
        <v>271</v>
      </c>
      <c r="BL20" t="s">
        <v>584</v>
      </c>
      <c r="BM20" t="s">
        <v>585</v>
      </c>
      <c r="BN20">
        <v>33500602</v>
      </c>
      <c r="BO20" t="s">
        <v>586</v>
      </c>
      <c r="BP20" t="s">
        <v>74</v>
      </c>
      <c r="BQ20" t="s">
        <v>74</v>
      </c>
      <c r="BR20" t="s">
        <v>106</v>
      </c>
      <c r="BS20" t="s">
        <v>587</v>
      </c>
      <c r="BT20" t="str">
        <f>HYPERLINK("https%3A%2F%2Fwww.webofscience.com%2Fwos%2Fwoscc%2Ffull-record%2FWOS:000609365300001","View Full Record in Web of Science")</f>
        <v>View Full Record in Web of Science</v>
      </c>
    </row>
    <row r="21" spans="1:72" x14ac:dyDescent="0.15">
      <c r="A21" t="s">
        <v>72</v>
      </c>
      <c r="B21" t="s">
        <v>588</v>
      </c>
      <c r="C21" t="s">
        <v>74</v>
      </c>
      <c r="D21" t="s">
        <v>74</v>
      </c>
      <c r="E21" t="s">
        <v>74</v>
      </c>
      <c r="F21" t="s">
        <v>589</v>
      </c>
      <c r="G21" t="s">
        <v>74</v>
      </c>
      <c r="H21" t="s">
        <v>74</v>
      </c>
      <c r="I21" t="s">
        <v>590</v>
      </c>
      <c r="J21" t="s">
        <v>591</v>
      </c>
      <c r="K21" t="s">
        <v>74</v>
      </c>
      <c r="L21" t="s">
        <v>74</v>
      </c>
      <c r="M21" t="s">
        <v>78</v>
      </c>
      <c r="N21" t="s">
        <v>79</v>
      </c>
      <c r="O21" t="s">
        <v>74</v>
      </c>
      <c r="P21" t="s">
        <v>74</v>
      </c>
      <c r="Q21" t="s">
        <v>74</v>
      </c>
      <c r="R21" t="s">
        <v>74</v>
      </c>
      <c r="S21" t="s">
        <v>74</v>
      </c>
      <c r="T21" t="s">
        <v>592</v>
      </c>
      <c r="U21" t="s">
        <v>74</v>
      </c>
      <c r="V21" t="s">
        <v>593</v>
      </c>
      <c r="W21" t="s">
        <v>594</v>
      </c>
      <c r="X21" t="s">
        <v>595</v>
      </c>
      <c r="Y21" t="s">
        <v>596</v>
      </c>
      <c r="Z21" t="s">
        <v>597</v>
      </c>
      <c r="AA21" t="s">
        <v>74</v>
      </c>
      <c r="AB21" t="s">
        <v>598</v>
      </c>
      <c r="AC21" t="s">
        <v>599</v>
      </c>
      <c r="AD21" t="s">
        <v>600</v>
      </c>
      <c r="AE21" t="s">
        <v>601</v>
      </c>
      <c r="AF21" t="s">
        <v>74</v>
      </c>
      <c r="AG21">
        <v>76</v>
      </c>
      <c r="AH21">
        <v>7</v>
      </c>
      <c r="AI21">
        <v>7</v>
      </c>
      <c r="AJ21">
        <v>3</v>
      </c>
      <c r="AK21">
        <v>13</v>
      </c>
      <c r="AL21" t="s">
        <v>602</v>
      </c>
      <c r="AM21" t="s">
        <v>603</v>
      </c>
      <c r="AN21" t="s">
        <v>604</v>
      </c>
      <c r="AO21" t="s">
        <v>605</v>
      </c>
      <c r="AP21" t="s">
        <v>606</v>
      </c>
      <c r="AQ21" t="s">
        <v>74</v>
      </c>
      <c r="AR21" t="s">
        <v>607</v>
      </c>
      <c r="AS21" t="s">
        <v>608</v>
      </c>
      <c r="AT21" t="s">
        <v>347</v>
      </c>
      <c r="AU21">
        <v>2021</v>
      </c>
      <c r="AV21">
        <v>191</v>
      </c>
      <c r="AW21">
        <v>2</v>
      </c>
      <c r="AX21" t="s">
        <v>74</v>
      </c>
      <c r="AY21" t="s">
        <v>74</v>
      </c>
      <c r="AZ21" t="s">
        <v>74</v>
      </c>
      <c r="BA21" t="s">
        <v>74</v>
      </c>
      <c r="BB21">
        <v>289</v>
      </c>
      <c r="BC21">
        <v>300</v>
      </c>
      <c r="BD21" t="s">
        <v>74</v>
      </c>
      <c r="BE21" t="s">
        <v>609</v>
      </c>
      <c r="BF21" t="str">
        <f>HYPERLINK("http://dx.doi.org/10.1007/s00360-020-01339-5","http://dx.doi.org/10.1007/s00360-020-01339-5")</f>
        <v>http://dx.doi.org/10.1007/s00360-020-01339-5</v>
      </c>
      <c r="BG21" t="s">
        <v>74</v>
      </c>
      <c r="BH21" t="s">
        <v>101</v>
      </c>
      <c r="BI21">
        <v>12</v>
      </c>
      <c r="BJ21" t="s">
        <v>610</v>
      </c>
      <c r="BK21" t="s">
        <v>103</v>
      </c>
      <c r="BL21" t="s">
        <v>610</v>
      </c>
      <c r="BM21" t="s">
        <v>611</v>
      </c>
      <c r="BN21">
        <v>33479792</v>
      </c>
      <c r="BO21" t="s">
        <v>189</v>
      </c>
      <c r="BP21" t="s">
        <v>74</v>
      </c>
      <c r="BQ21" t="s">
        <v>74</v>
      </c>
      <c r="BR21" t="s">
        <v>106</v>
      </c>
      <c r="BS21" t="s">
        <v>612</v>
      </c>
      <c r="BT21" t="str">
        <f>HYPERLINK("https%3A%2F%2Fwww.webofscience.com%2Fwos%2Fwoscc%2Ffull-record%2FWOS:000609333500001","View Full Record in Web of Science")</f>
        <v>View Full Record in Web of Science</v>
      </c>
    </row>
    <row r="22" spans="1:72" x14ac:dyDescent="0.15">
      <c r="A22" t="s">
        <v>72</v>
      </c>
      <c r="B22" t="s">
        <v>613</v>
      </c>
      <c r="C22" t="s">
        <v>74</v>
      </c>
      <c r="D22" t="s">
        <v>74</v>
      </c>
      <c r="E22" t="s">
        <v>74</v>
      </c>
      <c r="F22" t="s">
        <v>614</v>
      </c>
      <c r="G22" t="s">
        <v>74</v>
      </c>
      <c r="H22" t="s">
        <v>74</v>
      </c>
      <c r="I22" t="s">
        <v>615</v>
      </c>
      <c r="J22" t="s">
        <v>616</v>
      </c>
      <c r="K22" t="s">
        <v>74</v>
      </c>
      <c r="L22" t="s">
        <v>74</v>
      </c>
      <c r="M22" t="s">
        <v>78</v>
      </c>
      <c r="N22" t="s">
        <v>79</v>
      </c>
      <c r="O22" t="s">
        <v>74</v>
      </c>
      <c r="P22" t="s">
        <v>74</v>
      </c>
      <c r="Q22" t="s">
        <v>74</v>
      </c>
      <c r="R22" t="s">
        <v>74</v>
      </c>
      <c r="S22" t="s">
        <v>74</v>
      </c>
      <c r="T22" t="s">
        <v>74</v>
      </c>
      <c r="U22" t="s">
        <v>617</v>
      </c>
      <c r="V22" t="s">
        <v>618</v>
      </c>
      <c r="W22" t="s">
        <v>619</v>
      </c>
      <c r="X22" t="s">
        <v>620</v>
      </c>
      <c r="Y22" t="s">
        <v>621</v>
      </c>
      <c r="Z22" t="s">
        <v>622</v>
      </c>
      <c r="AA22" t="s">
        <v>623</v>
      </c>
      <c r="AB22" t="s">
        <v>624</v>
      </c>
      <c r="AC22" t="s">
        <v>625</v>
      </c>
      <c r="AD22" t="s">
        <v>626</v>
      </c>
      <c r="AE22" t="s">
        <v>627</v>
      </c>
      <c r="AF22" t="s">
        <v>74</v>
      </c>
      <c r="AG22">
        <v>23</v>
      </c>
      <c r="AH22">
        <v>24</v>
      </c>
      <c r="AI22">
        <v>25</v>
      </c>
      <c r="AJ22">
        <v>8</v>
      </c>
      <c r="AK22">
        <v>48</v>
      </c>
      <c r="AL22" t="s">
        <v>628</v>
      </c>
      <c r="AM22" t="s">
        <v>629</v>
      </c>
      <c r="AN22" t="s">
        <v>630</v>
      </c>
      <c r="AO22" t="s">
        <v>631</v>
      </c>
      <c r="AP22" t="s">
        <v>632</v>
      </c>
      <c r="AQ22" t="s">
        <v>74</v>
      </c>
      <c r="AR22" t="s">
        <v>633</v>
      </c>
      <c r="AS22" t="s">
        <v>634</v>
      </c>
      <c r="AT22" t="s">
        <v>635</v>
      </c>
      <c r="AU22">
        <v>2021</v>
      </c>
      <c r="AV22">
        <v>86</v>
      </c>
      <c r="AW22">
        <v>3</v>
      </c>
      <c r="AX22" t="s">
        <v>74</v>
      </c>
      <c r="AY22" t="s">
        <v>74</v>
      </c>
      <c r="AZ22" t="s">
        <v>74</v>
      </c>
      <c r="BA22" t="s">
        <v>74</v>
      </c>
      <c r="BB22">
        <v>2431</v>
      </c>
      <c r="BC22">
        <v>2436</v>
      </c>
      <c r="BD22" t="s">
        <v>74</v>
      </c>
      <c r="BE22" t="s">
        <v>636</v>
      </c>
      <c r="BF22" t="str">
        <f>HYPERLINK("http://dx.doi.org/10.1021/acs.joc.0c02575","http://dx.doi.org/10.1021/acs.joc.0c02575")</f>
        <v>http://dx.doi.org/10.1021/acs.joc.0c02575</v>
      </c>
      <c r="BG22" t="s">
        <v>74</v>
      </c>
      <c r="BH22" t="s">
        <v>101</v>
      </c>
      <c r="BI22">
        <v>6</v>
      </c>
      <c r="BJ22" t="s">
        <v>637</v>
      </c>
      <c r="BK22" t="s">
        <v>638</v>
      </c>
      <c r="BL22" t="s">
        <v>639</v>
      </c>
      <c r="BM22" t="s">
        <v>640</v>
      </c>
      <c r="BN22">
        <v>33472001</v>
      </c>
      <c r="BO22" t="s">
        <v>74</v>
      </c>
      <c r="BP22" t="s">
        <v>74</v>
      </c>
      <c r="BQ22" t="s">
        <v>74</v>
      </c>
      <c r="BR22" t="s">
        <v>106</v>
      </c>
      <c r="BS22" t="s">
        <v>641</v>
      </c>
      <c r="BT22" t="str">
        <f>HYPERLINK("https%3A%2F%2Fwww.webofscience.com%2Fwos%2Fwoscc%2Ffull-record%2FWOS:000618540600030","View Full Record in Web of Science")</f>
        <v>View Full Record in Web of Science</v>
      </c>
    </row>
    <row r="23" spans="1:72" x14ac:dyDescent="0.15">
      <c r="A23" t="s">
        <v>72</v>
      </c>
      <c r="B23" t="s">
        <v>642</v>
      </c>
      <c r="C23" t="s">
        <v>74</v>
      </c>
      <c r="D23" t="s">
        <v>74</v>
      </c>
      <c r="E23" t="s">
        <v>74</v>
      </c>
      <c r="F23" t="s">
        <v>643</v>
      </c>
      <c r="G23" t="s">
        <v>74</v>
      </c>
      <c r="H23" t="s">
        <v>74</v>
      </c>
      <c r="I23" t="s">
        <v>644</v>
      </c>
      <c r="J23" t="s">
        <v>487</v>
      </c>
      <c r="K23" t="s">
        <v>74</v>
      </c>
      <c r="L23" t="s">
        <v>74</v>
      </c>
      <c r="M23" t="s">
        <v>78</v>
      </c>
      <c r="N23" t="s">
        <v>79</v>
      </c>
      <c r="O23" t="s">
        <v>74</v>
      </c>
      <c r="P23" t="s">
        <v>74</v>
      </c>
      <c r="Q23" t="s">
        <v>74</v>
      </c>
      <c r="R23" t="s">
        <v>74</v>
      </c>
      <c r="S23" t="s">
        <v>74</v>
      </c>
      <c r="T23" t="s">
        <v>645</v>
      </c>
      <c r="U23" t="s">
        <v>646</v>
      </c>
      <c r="V23" t="s">
        <v>647</v>
      </c>
      <c r="W23" t="s">
        <v>648</v>
      </c>
      <c r="X23" t="s">
        <v>649</v>
      </c>
      <c r="Y23" t="s">
        <v>650</v>
      </c>
      <c r="Z23" t="s">
        <v>651</v>
      </c>
      <c r="AA23" t="s">
        <v>652</v>
      </c>
      <c r="AB23" t="s">
        <v>653</v>
      </c>
      <c r="AC23" t="s">
        <v>654</v>
      </c>
      <c r="AD23" t="s">
        <v>655</v>
      </c>
      <c r="AE23" t="s">
        <v>656</v>
      </c>
      <c r="AF23" t="s">
        <v>74</v>
      </c>
      <c r="AG23">
        <v>134</v>
      </c>
      <c r="AH23">
        <v>18</v>
      </c>
      <c r="AI23">
        <v>19</v>
      </c>
      <c r="AJ23">
        <v>3</v>
      </c>
      <c r="AK23">
        <v>34</v>
      </c>
      <c r="AL23" t="s">
        <v>500</v>
      </c>
      <c r="AM23" t="s">
        <v>501</v>
      </c>
      <c r="AN23" t="s">
        <v>502</v>
      </c>
      <c r="AO23" t="s">
        <v>74</v>
      </c>
      <c r="AP23" t="s">
        <v>503</v>
      </c>
      <c r="AQ23" t="s">
        <v>74</v>
      </c>
      <c r="AR23" t="s">
        <v>504</v>
      </c>
      <c r="AS23" t="s">
        <v>505</v>
      </c>
      <c r="AT23" t="s">
        <v>657</v>
      </c>
      <c r="AU23">
        <v>2021</v>
      </c>
      <c r="AV23">
        <v>7</v>
      </c>
      <c r="AW23" t="s">
        <v>74</v>
      </c>
      <c r="AX23" t="s">
        <v>74</v>
      </c>
      <c r="AY23" t="s">
        <v>74</v>
      </c>
      <c r="AZ23" t="s">
        <v>74</v>
      </c>
      <c r="BA23" t="s">
        <v>74</v>
      </c>
      <c r="BB23" t="s">
        <v>74</v>
      </c>
      <c r="BC23" t="s">
        <v>74</v>
      </c>
      <c r="BD23">
        <v>602972</v>
      </c>
      <c r="BE23" t="s">
        <v>658</v>
      </c>
      <c r="BF23" t="str">
        <f>HYPERLINK("http://dx.doi.org/10.3389/fmars.2020.602972","http://dx.doi.org/10.3389/fmars.2020.602972")</f>
        <v>http://dx.doi.org/10.3389/fmars.2020.602972</v>
      </c>
      <c r="BG23" t="s">
        <v>74</v>
      </c>
      <c r="BH23" t="s">
        <v>74</v>
      </c>
      <c r="BI23">
        <v>17</v>
      </c>
      <c r="BJ23" t="s">
        <v>507</v>
      </c>
      <c r="BK23" t="s">
        <v>271</v>
      </c>
      <c r="BL23" t="s">
        <v>508</v>
      </c>
      <c r="BM23" t="s">
        <v>659</v>
      </c>
      <c r="BN23" t="s">
        <v>74</v>
      </c>
      <c r="BO23" t="s">
        <v>660</v>
      </c>
      <c r="BP23" t="s">
        <v>74</v>
      </c>
      <c r="BQ23" t="s">
        <v>74</v>
      </c>
      <c r="BR23" t="s">
        <v>106</v>
      </c>
      <c r="BS23" t="s">
        <v>661</v>
      </c>
      <c r="BT23" t="str">
        <f>HYPERLINK("https%3A%2F%2Fwww.webofscience.com%2Fwos%2Fwoscc%2Ffull-record%2FWOS:000612354800001","View Full Record in Web of Science")</f>
        <v>View Full Record in Web of Science</v>
      </c>
    </row>
    <row r="24" spans="1:72" x14ac:dyDescent="0.15">
      <c r="A24" t="s">
        <v>72</v>
      </c>
      <c r="B24" t="s">
        <v>662</v>
      </c>
      <c r="C24" t="s">
        <v>74</v>
      </c>
      <c r="D24" t="s">
        <v>74</v>
      </c>
      <c r="E24" t="s">
        <v>74</v>
      </c>
      <c r="F24" t="s">
        <v>663</v>
      </c>
      <c r="G24" t="s">
        <v>74</v>
      </c>
      <c r="H24" t="s">
        <v>74</v>
      </c>
      <c r="I24" t="s">
        <v>664</v>
      </c>
      <c r="J24" t="s">
        <v>665</v>
      </c>
      <c r="K24" t="s">
        <v>74</v>
      </c>
      <c r="L24" t="s">
        <v>74</v>
      </c>
      <c r="M24" t="s">
        <v>78</v>
      </c>
      <c r="N24" t="s">
        <v>141</v>
      </c>
      <c r="O24" t="s">
        <v>74</v>
      </c>
      <c r="P24" t="s">
        <v>74</v>
      </c>
      <c r="Q24" t="s">
        <v>74</v>
      </c>
      <c r="R24" t="s">
        <v>74</v>
      </c>
      <c r="S24" t="s">
        <v>74</v>
      </c>
      <c r="T24" t="s">
        <v>666</v>
      </c>
      <c r="U24" t="s">
        <v>667</v>
      </c>
      <c r="V24" t="s">
        <v>668</v>
      </c>
      <c r="W24" t="s">
        <v>669</v>
      </c>
      <c r="X24" t="s">
        <v>670</v>
      </c>
      <c r="Y24" t="s">
        <v>671</v>
      </c>
      <c r="Z24" t="s">
        <v>672</v>
      </c>
      <c r="AA24" t="s">
        <v>673</v>
      </c>
      <c r="AB24" t="s">
        <v>674</v>
      </c>
      <c r="AC24" t="s">
        <v>675</v>
      </c>
      <c r="AD24" t="s">
        <v>676</v>
      </c>
      <c r="AE24" t="s">
        <v>677</v>
      </c>
      <c r="AF24" t="s">
        <v>74</v>
      </c>
      <c r="AG24">
        <v>37</v>
      </c>
      <c r="AH24">
        <v>12</v>
      </c>
      <c r="AI24">
        <v>12</v>
      </c>
      <c r="AJ24">
        <v>8</v>
      </c>
      <c r="AK24">
        <v>40</v>
      </c>
      <c r="AL24" t="s">
        <v>678</v>
      </c>
      <c r="AM24" t="s">
        <v>679</v>
      </c>
      <c r="AN24" t="s">
        <v>680</v>
      </c>
      <c r="AO24" t="s">
        <v>681</v>
      </c>
      <c r="AP24" t="s">
        <v>682</v>
      </c>
      <c r="AQ24" t="s">
        <v>74</v>
      </c>
      <c r="AR24" t="s">
        <v>683</v>
      </c>
      <c r="AS24" t="s">
        <v>684</v>
      </c>
      <c r="AT24" t="s">
        <v>685</v>
      </c>
      <c r="AU24">
        <v>2021</v>
      </c>
      <c r="AV24">
        <v>57</v>
      </c>
      <c r="AW24">
        <v>4</v>
      </c>
      <c r="AX24" t="s">
        <v>74</v>
      </c>
      <c r="AY24" t="s">
        <v>74</v>
      </c>
      <c r="AZ24" t="s">
        <v>74</v>
      </c>
      <c r="BA24" t="s">
        <v>74</v>
      </c>
      <c r="BB24">
        <v>851</v>
      </c>
      <c r="BC24">
        <v>862</v>
      </c>
      <c r="BD24" t="s">
        <v>74</v>
      </c>
      <c r="BE24" t="s">
        <v>686</v>
      </c>
      <c r="BF24" t="str">
        <f>HYPERLINK("http://dx.doi.org/10.1007/s13143-021-00225-6","http://dx.doi.org/10.1007/s13143-021-00225-6")</f>
        <v>http://dx.doi.org/10.1007/s13143-021-00225-6</v>
      </c>
      <c r="BG24" t="s">
        <v>74</v>
      </c>
      <c r="BH24" t="s">
        <v>101</v>
      </c>
      <c r="BI24">
        <v>12</v>
      </c>
      <c r="BJ24" t="s">
        <v>687</v>
      </c>
      <c r="BK24" t="s">
        <v>103</v>
      </c>
      <c r="BL24" t="s">
        <v>687</v>
      </c>
      <c r="BM24" t="s">
        <v>688</v>
      </c>
      <c r="BN24" t="s">
        <v>74</v>
      </c>
      <c r="BO24" t="s">
        <v>218</v>
      </c>
      <c r="BP24" t="s">
        <v>74</v>
      </c>
      <c r="BQ24" t="s">
        <v>74</v>
      </c>
      <c r="BR24" t="s">
        <v>106</v>
      </c>
      <c r="BS24" t="s">
        <v>689</v>
      </c>
      <c r="BT24" t="str">
        <f>HYPERLINK("https%3A%2F%2Fwww.webofscience.com%2Fwos%2Fwoscc%2Ffull-record%2FWOS:000609065100001","View Full Record in Web of Science")</f>
        <v>View Full Record in Web of Science</v>
      </c>
    </row>
    <row r="25" spans="1:72" x14ac:dyDescent="0.15">
      <c r="A25" t="s">
        <v>72</v>
      </c>
      <c r="B25" t="s">
        <v>690</v>
      </c>
      <c r="C25" t="s">
        <v>74</v>
      </c>
      <c r="D25" t="s">
        <v>74</v>
      </c>
      <c r="E25" t="s">
        <v>74</v>
      </c>
      <c r="F25" t="s">
        <v>691</v>
      </c>
      <c r="G25" t="s">
        <v>74</v>
      </c>
      <c r="H25" t="s">
        <v>74</v>
      </c>
      <c r="I25" t="s">
        <v>692</v>
      </c>
      <c r="J25" t="s">
        <v>693</v>
      </c>
      <c r="K25" t="s">
        <v>74</v>
      </c>
      <c r="L25" t="s">
        <v>74</v>
      </c>
      <c r="M25" t="s">
        <v>78</v>
      </c>
      <c r="N25" t="s">
        <v>79</v>
      </c>
      <c r="O25" t="s">
        <v>74</v>
      </c>
      <c r="P25" t="s">
        <v>74</v>
      </c>
      <c r="Q25" t="s">
        <v>74</v>
      </c>
      <c r="R25" t="s">
        <v>74</v>
      </c>
      <c r="S25" t="s">
        <v>74</v>
      </c>
      <c r="T25" t="s">
        <v>74</v>
      </c>
      <c r="U25" t="s">
        <v>74</v>
      </c>
      <c r="V25" t="s">
        <v>694</v>
      </c>
      <c r="W25" t="s">
        <v>695</v>
      </c>
      <c r="X25" t="s">
        <v>696</v>
      </c>
      <c r="Y25" t="s">
        <v>697</v>
      </c>
      <c r="Z25" t="s">
        <v>698</v>
      </c>
      <c r="AA25" t="s">
        <v>74</v>
      </c>
      <c r="AB25" t="s">
        <v>699</v>
      </c>
      <c r="AC25" t="s">
        <v>700</v>
      </c>
      <c r="AD25" t="s">
        <v>701</v>
      </c>
      <c r="AE25" t="s">
        <v>702</v>
      </c>
      <c r="AF25" t="s">
        <v>74</v>
      </c>
      <c r="AG25">
        <v>31</v>
      </c>
      <c r="AH25">
        <v>5</v>
      </c>
      <c r="AI25">
        <v>5</v>
      </c>
      <c r="AJ25">
        <v>4</v>
      </c>
      <c r="AK25">
        <v>15</v>
      </c>
      <c r="AL25" t="s">
        <v>207</v>
      </c>
      <c r="AM25" t="s">
        <v>208</v>
      </c>
      <c r="AN25" t="s">
        <v>209</v>
      </c>
      <c r="AO25" t="s">
        <v>703</v>
      </c>
      <c r="AP25" t="s">
        <v>704</v>
      </c>
      <c r="AQ25" t="s">
        <v>74</v>
      </c>
      <c r="AR25" t="s">
        <v>705</v>
      </c>
      <c r="AS25" t="s">
        <v>706</v>
      </c>
      <c r="AT25" t="s">
        <v>707</v>
      </c>
      <c r="AU25">
        <v>2021</v>
      </c>
      <c r="AV25">
        <v>66</v>
      </c>
      <c r="AW25">
        <v>3</v>
      </c>
      <c r="AX25" t="s">
        <v>74</v>
      </c>
      <c r="AY25" t="s">
        <v>74</v>
      </c>
      <c r="AZ25" t="s">
        <v>74</v>
      </c>
      <c r="BA25" t="s">
        <v>74</v>
      </c>
      <c r="BB25">
        <v>331</v>
      </c>
      <c r="BC25">
        <v>340</v>
      </c>
      <c r="BD25" t="s">
        <v>74</v>
      </c>
      <c r="BE25" t="s">
        <v>708</v>
      </c>
      <c r="BF25" t="str">
        <f>HYPERLINK("http://dx.doi.org/10.1007/s12223-020-00847-9","http://dx.doi.org/10.1007/s12223-020-00847-9")</f>
        <v>http://dx.doi.org/10.1007/s12223-020-00847-9</v>
      </c>
      <c r="BG25" t="s">
        <v>74</v>
      </c>
      <c r="BH25" t="s">
        <v>101</v>
      </c>
      <c r="BI25">
        <v>10</v>
      </c>
      <c r="BJ25" t="s">
        <v>709</v>
      </c>
      <c r="BK25" t="s">
        <v>103</v>
      </c>
      <c r="BL25" t="s">
        <v>709</v>
      </c>
      <c r="BM25" t="s">
        <v>710</v>
      </c>
      <c r="BN25">
        <v>33471293</v>
      </c>
      <c r="BO25" t="s">
        <v>74</v>
      </c>
      <c r="BP25" t="s">
        <v>74</v>
      </c>
      <c r="BQ25" t="s">
        <v>74</v>
      </c>
      <c r="BR25" t="s">
        <v>106</v>
      </c>
      <c r="BS25" t="s">
        <v>711</v>
      </c>
      <c r="BT25" t="str">
        <f>HYPERLINK("https%3A%2F%2Fwww.webofscience.com%2Fwos%2Fwoscc%2Ffull-record%2FWOS:000609060500003","View Full Record in Web of Science")</f>
        <v>View Full Record in Web of Science</v>
      </c>
    </row>
    <row r="26" spans="1:72" x14ac:dyDescent="0.15">
      <c r="A26" t="s">
        <v>72</v>
      </c>
      <c r="B26" t="s">
        <v>712</v>
      </c>
      <c r="C26" t="s">
        <v>74</v>
      </c>
      <c r="D26" t="s">
        <v>74</v>
      </c>
      <c r="E26" t="s">
        <v>74</v>
      </c>
      <c r="F26" t="s">
        <v>713</v>
      </c>
      <c r="G26" t="s">
        <v>74</v>
      </c>
      <c r="H26" t="s">
        <v>74</v>
      </c>
      <c r="I26" t="s">
        <v>714</v>
      </c>
      <c r="J26" t="s">
        <v>715</v>
      </c>
      <c r="K26" t="s">
        <v>74</v>
      </c>
      <c r="L26" t="s">
        <v>74</v>
      </c>
      <c r="M26" t="s">
        <v>78</v>
      </c>
      <c r="N26" t="s">
        <v>79</v>
      </c>
      <c r="O26" t="s">
        <v>74</v>
      </c>
      <c r="P26" t="s">
        <v>74</v>
      </c>
      <c r="Q26" t="s">
        <v>74</v>
      </c>
      <c r="R26" t="s">
        <v>74</v>
      </c>
      <c r="S26" t="s">
        <v>74</v>
      </c>
      <c r="T26" t="s">
        <v>716</v>
      </c>
      <c r="U26" t="s">
        <v>717</v>
      </c>
      <c r="V26" t="s">
        <v>718</v>
      </c>
      <c r="W26" t="s">
        <v>719</v>
      </c>
      <c r="X26" t="s">
        <v>720</v>
      </c>
      <c r="Y26" t="s">
        <v>721</v>
      </c>
      <c r="Z26" t="s">
        <v>722</v>
      </c>
      <c r="AA26" t="s">
        <v>723</v>
      </c>
      <c r="AB26" t="s">
        <v>724</v>
      </c>
      <c r="AC26" t="s">
        <v>725</v>
      </c>
      <c r="AD26" t="s">
        <v>726</v>
      </c>
      <c r="AE26" t="s">
        <v>727</v>
      </c>
      <c r="AF26" t="s">
        <v>74</v>
      </c>
      <c r="AG26">
        <v>33</v>
      </c>
      <c r="AH26">
        <v>6</v>
      </c>
      <c r="AI26">
        <v>6</v>
      </c>
      <c r="AJ26">
        <v>2</v>
      </c>
      <c r="AK26">
        <v>20</v>
      </c>
      <c r="AL26" t="s">
        <v>92</v>
      </c>
      <c r="AM26" t="s">
        <v>93</v>
      </c>
      <c r="AN26" t="s">
        <v>94</v>
      </c>
      <c r="AO26" t="s">
        <v>728</v>
      </c>
      <c r="AP26" t="s">
        <v>729</v>
      </c>
      <c r="AQ26" t="s">
        <v>74</v>
      </c>
      <c r="AR26" t="s">
        <v>730</v>
      </c>
      <c r="AS26" t="s">
        <v>731</v>
      </c>
      <c r="AT26" t="s">
        <v>657</v>
      </c>
      <c r="AU26">
        <v>2021</v>
      </c>
      <c r="AV26">
        <v>228</v>
      </c>
      <c r="AW26" t="s">
        <v>74</v>
      </c>
      <c r="AX26" t="s">
        <v>74</v>
      </c>
      <c r="AY26" t="s">
        <v>74</v>
      </c>
      <c r="AZ26" t="s">
        <v>74</v>
      </c>
      <c r="BA26" t="s">
        <v>74</v>
      </c>
      <c r="BB26" t="s">
        <v>74</v>
      </c>
      <c r="BC26" t="s">
        <v>74</v>
      </c>
      <c r="BD26">
        <v>103911</v>
      </c>
      <c r="BE26" t="s">
        <v>732</v>
      </c>
      <c r="BF26" t="str">
        <f>HYPERLINK("http://dx.doi.org/10.1016/j.marchem.2020.103911","http://dx.doi.org/10.1016/j.marchem.2020.103911")</f>
        <v>http://dx.doi.org/10.1016/j.marchem.2020.103911</v>
      </c>
      <c r="BG26" t="s">
        <v>74</v>
      </c>
      <c r="BH26" t="s">
        <v>74</v>
      </c>
      <c r="BI26">
        <v>9</v>
      </c>
      <c r="BJ26" t="s">
        <v>733</v>
      </c>
      <c r="BK26" t="s">
        <v>103</v>
      </c>
      <c r="BL26" t="s">
        <v>734</v>
      </c>
      <c r="BM26" t="s">
        <v>735</v>
      </c>
      <c r="BN26" t="s">
        <v>74</v>
      </c>
      <c r="BO26" t="s">
        <v>74</v>
      </c>
      <c r="BP26" t="s">
        <v>74</v>
      </c>
      <c r="BQ26" t="s">
        <v>74</v>
      </c>
      <c r="BR26" t="s">
        <v>106</v>
      </c>
      <c r="BS26" t="s">
        <v>736</v>
      </c>
      <c r="BT26" t="str">
        <f>HYPERLINK("https%3A%2F%2Fwww.webofscience.com%2Fwos%2Fwoscc%2Ffull-record%2FWOS:000608138600004","View Full Record in Web of Science")</f>
        <v>View Full Record in Web of Science</v>
      </c>
    </row>
    <row r="27" spans="1:72" x14ac:dyDescent="0.15">
      <c r="A27" t="s">
        <v>72</v>
      </c>
      <c r="B27" t="s">
        <v>737</v>
      </c>
      <c r="C27" t="s">
        <v>74</v>
      </c>
      <c r="D27" t="s">
        <v>74</v>
      </c>
      <c r="E27" t="s">
        <v>74</v>
      </c>
      <c r="F27" t="s">
        <v>738</v>
      </c>
      <c r="G27" t="s">
        <v>74</v>
      </c>
      <c r="H27" t="s">
        <v>74</v>
      </c>
      <c r="I27" t="s">
        <v>739</v>
      </c>
      <c r="J27" t="s">
        <v>740</v>
      </c>
      <c r="K27" t="s">
        <v>74</v>
      </c>
      <c r="L27" t="s">
        <v>74</v>
      </c>
      <c r="M27" t="s">
        <v>78</v>
      </c>
      <c r="N27" t="s">
        <v>79</v>
      </c>
      <c r="O27" t="s">
        <v>74</v>
      </c>
      <c r="P27" t="s">
        <v>74</v>
      </c>
      <c r="Q27" t="s">
        <v>74</v>
      </c>
      <c r="R27" t="s">
        <v>74</v>
      </c>
      <c r="S27" t="s">
        <v>74</v>
      </c>
      <c r="T27" t="s">
        <v>741</v>
      </c>
      <c r="U27" t="s">
        <v>742</v>
      </c>
      <c r="V27" t="s">
        <v>743</v>
      </c>
      <c r="W27" t="s">
        <v>744</v>
      </c>
      <c r="X27" t="s">
        <v>745</v>
      </c>
      <c r="Y27" t="s">
        <v>746</v>
      </c>
      <c r="Z27" t="s">
        <v>747</v>
      </c>
      <c r="AA27" t="s">
        <v>748</v>
      </c>
      <c r="AB27" t="s">
        <v>749</v>
      </c>
      <c r="AC27" t="s">
        <v>750</v>
      </c>
      <c r="AD27" t="s">
        <v>751</v>
      </c>
      <c r="AE27" t="s">
        <v>752</v>
      </c>
      <c r="AF27" t="s">
        <v>74</v>
      </c>
      <c r="AG27">
        <v>157</v>
      </c>
      <c r="AH27">
        <v>15</v>
      </c>
      <c r="AI27">
        <v>15</v>
      </c>
      <c r="AJ27">
        <v>1</v>
      </c>
      <c r="AK27">
        <v>25</v>
      </c>
      <c r="AL27" t="s">
        <v>552</v>
      </c>
      <c r="AM27" t="s">
        <v>553</v>
      </c>
      <c r="AN27" t="s">
        <v>554</v>
      </c>
      <c r="AO27" t="s">
        <v>753</v>
      </c>
      <c r="AP27" t="s">
        <v>754</v>
      </c>
      <c r="AQ27" t="s">
        <v>74</v>
      </c>
      <c r="AR27" t="s">
        <v>755</v>
      </c>
      <c r="AS27" t="s">
        <v>756</v>
      </c>
      <c r="AT27" t="s">
        <v>184</v>
      </c>
      <c r="AU27">
        <v>2021</v>
      </c>
      <c r="AV27">
        <v>40</v>
      </c>
      <c r="AW27">
        <v>2</v>
      </c>
      <c r="AX27" t="s">
        <v>74</v>
      </c>
      <c r="AY27" t="s">
        <v>74</v>
      </c>
      <c r="AZ27" t="s">
        <v>74</v>
      </c>
      <c r="BA27" t="s">
        <v>74</v>
      </c>
      <c r="BB27">
        <v>454</v>
      </c>
      <c r="BC27">
        <v>472</v>
      </c>
      <c r="BD27" t="s">
        <v>74</v>
      </c>
      <c r="BE27" t="s">
        <v>757</v>
      </c>
      <c r="BF27" t="str">
        <f>HYPERLINK("http://dx.doi.org/10.1002/etc.4933","http://dx.doi.org/10.1002/etc.4933")</f>
        <v>http://dx.doi.org/10.1002/etc.4933</v>
      </c>
      <c r="BG27" t="s">
        <v>74</v>
      </c>
      <c r="BH27" t="s">
        <v>101</v>
      </c>
      <c r="BI27">
        <v>19</v>
      </c>
      <c r="BJ27" t="s">
        <v>480</v>
      </c>
      <c r="BK27" t="s">
        <v>103</v>
      </c>
      <c r="BL27" t="s">
        <v>481</v>
      </c>
      <c r="BM27" t="s">
        <v>758</v>
      </c>
      <c r="BN27">
        <v>33201544</v>
      </c>
      <c r="BO27" t="s">
        <v>759</v>
      </c>
      <c r="BP27" t="s">
        <v>74</v>
      </c>
      <c r="BQ27" t="s">
        <v>74</v>
      </c>
      <c r="BR27" t="s">
        <v>106</v>
      </c>
      <c r="BS27" t="s">
        <v>760</v>
      </c>
      <c r="BT27" t="str">
        <f>HYPERLINK("https%3A%2F%2Fwww.webofscience.com%2Fwos%2Fwoscc%2Ffull-record%2FWOS:000608996000001","View Full Record in Web of Science")</f>
        <v>View Full Record in Web of Science</v>
      </c>
    </row>
    <row r="28" spans="1:72" x14ac:dyDescent="0.15">
      <c r="A28" t="s">
        <v>72</v>
      </c>
      <c r="B28" t="s">
        <v>761</v>
      </c>
      <c r="C28" t="s">
        <v>74</v>
      </c>
      <c r="D28" t="s">
        <v>74</v>
      </c>
      <c r="E28" t="s">
        <v>74</v>
      </c>
      <c r="F28" t="s">
        <v>762</v>
      </c>
      <c r="G28" t="s">
        <v>74</v>
      </c>
      <c r="H28" t="s">
        <v>74</v>
      </c>
      <c r="I28" t="s">
        <v>763</v>
      </c>
      <c r="J28" t="s">
        <v>764</v>
      </c>
      <c r="K28" t="s">
        <v>74</v>
      </c>
      <c r="L28" t="s">
        <v>74</v>
      </c>
      <c r="M28" t="s">
        <v>78</v>
      </c>
      <c r="N28" t="s">
        <v>79</v>
      </c>
      <c r="O28" t="s">
        <v>74</v>
      </c>
      <c r="P28" t="s">
        <v>74</v>
      </c>
      <c r="Q28" t="s">
        <v>74</v>
      </c>
      <c r="R28" t="s">
        <v>74</v>
      </c>
      <c r="S28" t="s">
        <v>74</v>
      </c>
      <c r="T28" t="s">
        <v>74</v>
      </c>
      <c r="U28" t="s">
        <v>765</v>
      </c>
      <c r="V28" t="s">
        <v>766</v>
      </c>
      <c r="W28" t="s">
        <v>767</v>
      </c>
      <c r="X28" t="s">
        <v>768</v>
      </c>
      <c r="Y28" t="s">
        <v>769</v>
      </c>
      <c r="Z28" t="s">
        <v>770</v>
      </c>
      <c r="AA28" t="s">
        <v>771</v>
      </c>
      <c r="AB28" t="s">
        <v>772</v>
      </c>
      <c r="AC28" t="s">
        <v>773</v>
      </c>
      <c r="AD28" t="s">
        <v>774</v>
      </c>
      <c r="AE28" t="s">
        <v>775</v>
      </c>
      <c r="AF28" t="s">
        <v>74</v>
      </c>
      <c r="AG28">
        <v>588</v>
      </c>
      <c r="AH28">
        <v>83</v>
      </c>
      <c r="AI28">
        <v>88</v>
      </c>
      <c r="AJ28">
        <v>11</v>
      </c>
      <c r="AK28">
        <v>112</v>
      </c>
      <c r="AL28" t="s">
        <v>235</v>
      </c>
      <c r="AM28" t="s">
        <v>236</v>
      </c>
      <c r="AN28" t="s">
        <v>237</v>
      </c>
      <c r="AO28" t="s">
        <v>776</v>
      </c>
      <c r="AP28" t="s">
        <v>777</v>
      </c>
      <c r="AQ28" t="s">
        <v>74</v>
      </c>
      <c r="AR28" t="s">
        <v>778</v>
      </c>
      <c r="AS28" t="s">
        <v>779</v>
      </c>
      <c r="AT28" t="s">
        <v>374</v>
      </c>
      <c r="AU28">
        <v>2021</v>
      </c>
      <c r="AV28">
        <v>20</v>
      </c>
      <c r="AW28">
        <v>1</v>
      </c>
      <c r="AX28" t="s">
        <v>74</v>
      </c>
      <c r="AY28" t="s">
        <v>74</v>
      </c>
      <c r="AZ28" t="s">
        <v>74</v>
      </c>
      <c r="BA28" t="s">
        <v>74</v>
      </c>
      <c r="BB28">
        <v>1</v>
      </c>
      <c r="BC28">
        <v>67</v>
      </c>
      <c r="BD28" t="s">
        <v>74</v>
      </c>
      <c r="BE28" t="s">
        <v>780</v>
      </c>
      <c r="BF28" t="str">
        <f>HYPERLINK("http://dx.doi.org/10.1007/s43630-020-00001-x","http://dx.doi.org/10.1007/s43630-020-00001-x")</f>
        <v>http://dx.doi.org/10.1007/s43630-020-00001-x</v>
      </c>
      <c r="BG28" t="s">
        <v>74</v>
      </c>
      <c r="BH28" t="s">
        <v>101</v>
      </c>
      <c r="BI28">
        <v>67</v>
      </c>
      <c r="BJ28" t="s">
        <v>781</v>
      </c>
      <c r="BK28" t="s">
        <v>271</v>
      </c>
      <c r="BL28" t="s">
        <v>782</v>
      </c>
      <c r="BM28" t="s">
        <v>783</v>
      </c>
      <c r="BN28">
        <v>33721243</v>
      </c>
      <c r="BO28" t="s">
        <v>784</v>
      </c>
      <c r="BP28" t="s">
        <v>74</v>
      </c>
      <c r="BQ28" t="s">
        <v>74</v>
      </c>
      <c r="BR28" t="s">
        <v>106</v>
      </c>
      <c r="BS28" t="s">
        <v>785</v>
      </c>
      <c r="BT28" t="str">
        <f>HYPERLINK("https%3A%2F%2Fwww.webofscience.com%2Fwos%2Fwoscc%2Ffull-record%2FWOS:000615689200002","View Full Record in Web of Science")</f>
        <v>View Full Record in Web of Science</v>
      </c>
    </row>
    <row r="29" spans="1:72" x14ac:dyDescent="0.15">
      <c r="A29" t="s">
        <v>72</v>
      </c>
      <c r="B29" t="s">
        <v>786</v>
      </c>
      <c r="C29" t="s">
        <v>74</v>
      </c>
      <c r="D29" t="s">
        <v>74</v>
      </c>
      <c r="E29" t="s">
        <v>74</v>
      </c>
      <c r="F29" t="s">
        <v>787</v>
      </c>
      <c r="G29" t="s">
        <v>74</v>
      </c>
      <c r="H29" t="s">
        <v>74</v>
      </c>
      <c r="I29" t="s">
        <v>788</v>
      </c>
      <c r="J29" t="s">
        <v>789</v>
      </c>
      <c r="K29" t="s">
        <v>74</v>
      </c>
      <c r="L29" t="s">
        <v>74</v>
      </c>
      <c r="M29" t="s">
        <v>78</v>
      </c>
      <c r="N29" t="s">
        <v>79</v>
      </c>
      <c r="O29" t="s">
        <v>74</v>
      </c>
      <c r="P29" t="s">
        <v>74</v>
      </c>
      <c r="Q29" t="s">
        <v>74</v>
      </c>
      <c r="R29" t="s">
        <v>74</v>
      </c>
      <c r="S29" t="s">
        <v>74</v>
      </c>
      <c r="T29" t="s">
        <v>790</v>
      </c>
      <c r="U29" t="s">
        <v>791</v>
      </c>
      <c r="V29" t="s">
        <v>792</v>
      </c>
      <c r="W29" t="s">
        <v>793</v>
      </c>
      <c r="X29" t="s">
        <v>794</v>
      </c>
      <c r="Y29" t="s">
        <v>795</v>
      </c>
      <c r="Z29" t="s">
        <v>796</v>
      </c>
      <c r="AA29" t="s">
        <v>797</v>
      </c>
      <c r="AB29" t="s">
        <v>798</v>
      </c>
      <c r="AC29" t="s">
        <v>799</v>
      </c>
      <c r="AD29" t="s">
        <v>800</v>
      </c>
      <c r="AE29" t="s">
        <v>801</v>
      </c>
      <c r="AF29" t="s">
        <v>74</v>
      </c>
      <c r="AG29">
        <v>121</v>
      </c>
      <c r="AH29">
        <v>16</v>
      </c>
      <c r="AI29">
        <v>16</v>
      </c>
      <c r="AJ29">
        <v>0</v>
      </c>
      <c r="AK29">
        <v>3</v>
      </c>
      <c r="AL29" t="s">
        <v>802</v>
      </c>
      <c r="AM29" t="s">
        <v>178</v>
      </c>
      <c r="AN29" t="s">
        <v>803</v>
      </c>
      <c r="AO29" t="s">
        <v>74</v>
      </c>
      <c r="AP29" t="s">
        <v>804</v>
      </c>
      <c r="AQ29" t="s">
        <v>74</v>
      </c>
      <c r="AR29" t="s">
        <v>805</v>
      </c>
      <c r="AS29" t="s">
        <v>806</v>
      </c>
      <c r="AT29" t="s">
        <v>657</v>
      </c>
      <c r="AU29">
        <v>2021</v>
      </c>
      <c r="AV29">
        <v>7</v>
      </c>
      <c r="AW29">
        <v>1</v>
      </c>
      <c r="AX29" t="s">
        <v>74</v>
      </c>
      <c r="AY29" t="s">
        <v>74</v>
      </c>
      <c r="AZ29" t="s">
        <v>74</v>
      </c>
      <c r="BA29" t="s">
        <v>74</v>
      </c>
      <c r="BB29" t="s">
        <v>74</v>
      </c>
      <c r="BC29" t="s">
        <v>74</v>
      </c>
      <c r="BD29" t="s">
        <v>74</v>
      </c>
      <c r="BE29" t="s">
        <v>807</v>
      </c>
      <c r="BF29" t="str">
        <f>HYPERLINK("http://dx.doi.org/10.1093/ve/veab031","http://dx.doi.org/10.1093/ve/veab031")</f>
        <v>http://dx.doi.org/10.1093/ve/veab031</v>
      </c>
      <c r="BG29" t="s">
        <v>74</v>
      </c>
      <c r="BH29" t="s">
        <v>74</v>
      </c>
      <c r="BI29">
        <v>23</v>
      </c>
      <c r="BJ29" t="s">
        <v>808</v>
      </c>
      <c r="BK29" t="s">
        <v>103</v>
      </c>
      <c r="BL29" t="s">
        <v>808</v>
      </c>
      <c r="BM29" t="s">
        <v>809</v>
      </c>
      <c r="BN29">
        <v>34408913</v>
      </c>
      <c r="BO29" t="s">
        <v>246</v>
      </c>
      <c r="BP29" t="s">
        <v>74</v>
      </c>
      <c r="BQ29" t="s">
        <v>74</v>
      </c>
      <c r="BR29" t="s">
        <v>106</v>
      </c>
      <c r="BS29" t="s">
        <v>810</v>
      </c>
      <c r="BT29" t="str">
        <f>HYPERLINK("https%3A%2F%2Fwww.webofscience.com%2Fwos%2Fwoscc%2Ffull-record%2FWOS:000920141200066","View Full Record in Web of Science")</f>
        <v>View Full Record in Web of Science</v>
      </c>
    </row>
    <row r="30" spans="1:72" x14ac:dyDescent="0.15">
      <c r="A30" t="s">
        <v>72</v>
      </c>
      <c r="B30" t="s">
        <v>811</v>
      </c>
      <c r="C30" t="s">
        <v>74</v>
      </c>
      <c r="D30" t="s">
        <v>74</v>
      </c>
      <c r="E30" t="s">
        <v>74</v>
      </c>
      <c r="F30" t="s">
        <v>812</v>
      </c>
      <c r="G30" t="s">
        <v>74</v>
      </c>
      <c r="H30" t="s">
        <v>74</v>
      </c>
      <c r="I30" t="s">
        <v>813</v>
      </c>
      <c r="J30" t="s">
        <v>814</v>
      </c>
      <c r="K30" t="s">
        <v>74</v>
      </c>
      <c r="L30" t="s">
        <v>74</v>
      </c>
      <c r="M30" t="s">
        <v>78</v>
      </c>
      <c r="N30" t="s">
        <v>79</v>
      </c>
      <c r="O30" t="s">
        <v>74</v>
      </c>
      <c r="P30" t="s">
        <v>74</v>
      </c>
      <c r="Q30" t="s">
        <v>74</v>
      </c>
      <c r="R30" t="s">
        <v>74</v>
      </c>
      <c r="S30" t="s">
        <v>74</v>
      </c>
      <c r="T30" t="s">
        <v>815</v>
      </c>
      <c r="U30" t="s">
        <v>816</v>
      </c>
      <c r="V30" t="s">
        <v>817</v>
      </c>
      <c r="W30" t="s">
        <v>818</v>
      </c>
      <c r="X30" t="s">
        <v>819</v>
      </c>
      <c r="Y30" t="s">
        <v>820</v>
      </c>
      <c r="Z30" t="s">
        <v>821</v>
      </c>
      <c r="AA30" t="s">
        <v>822</v>
      </c>
      <c r="AB30" t="s">
        <v>823</v>
      </c>
      <c r="AC30" t="s">
        <v>824</v>
      </c>
      <c r="AD30" t="s">
        <v>825</v>
      </c>
      <c r="AE30" t="s">
        <v>826</v>
      </c>
      <c r="AF30" t="s">
        <v>74</v>
      </c>
      <c r="AG30">
        <v>40</v>
      </c>
      <c r="AH30">
        <v>19</v>
      </c>
      <c r="AI30">
        <v>19</v>
      </c>
      <c r="AJ30">
        <v>2</v>
      </c>
      <c r="AK30">
        <v>9</v>
      </c>
      <c r="AL30" t="s">
        <v>802</v>
      </c>
      <c r="AM30" t="s">
        <v>178</v>
      </c>
      <c r="AN30" t="s">
        <v>803</v>
      </c>
      <c r="AO30" t="s">
        <v>827</v>
      </c>
      <c r="AP30" t="s">
        <v>828</v>
      </c>
      <c r="AQ30" t="s">
        <v>74</v>
      </c>
      <c r="AR30" t="s">
        <v>829</v>
      </c>
      <c r="AS30" t="s">
        <v>830</v>
      </c>
      <c r="AT30" t="s">
        <v>831</v>
      </c>
      <c r="AU30">
        <v>2021</v>
      </c>
      <c r="AV30">
        <v>78</v>
      </c>
      <c r="AW30">
        <v>3</v>
      </c>
      <c r="AX30" t="s">
        <v>74</v>
      </c>
      <c r="AY30" t="s">
        <v>74</v>
      </c>
      <c r="AZ30" t="s">
        <v>74</v>
      </c>
      <c r="BA30" t="s">
        <v>74</v>
      </c>
      <c r="BB30">
        <v>967</v>
      </c>
      <c r="BC30">
        <v>978</v>
      </c>
      <c r="BD30" t="s">
        <v>74</v>
      </c>
      <c r="BE30" t="s">
        <v>832</v>
      </c>
      <c r="BF30" t="str">
        <f>HYPERLINK("http://dx.doi.org/10.1093/icesjms/fsaa243","http://dx.doi.org/10.1093/icesjms/fsaa243")</f>
        <v>http://dx.doi.org/10.1093/icesjms/fsaa243</v>
      </c>
      <c r="BG30" t="s">
        <v>74</v>
      </c>
      <c r="BH30" t="s">
        <v>101</v>
      </c>
      <c r="BI30">
        <v>12</v>
      </c>
      <c r="BJ30" t="s">
        <v>833</v>
      </c>
      <c r="BK30" t="s">
        <v>103</v>
      </c>
      <c r="BL30" t="s">
        <v>833</v>
      </c>
      <c r="BM30" t="s">
        <v>834</v>
      </c>
      <c r="BN30" t="s">
        <v>74</v>
      </c>
      <c r="BO30" t="s">
        <v>561</v>
      </c>
      <c r="BP30" t="s">
        <v>74</v>
      </c>
      <c r="BQ30" t="s">
        <v>74</v>
      </c>
      <c r="BR30" t="s">
        <v>106</v>
      </c>
      <c r="BS30" t="s">
        <v>835</v>
      </c>
      <c r="BT30" t="str">
        <f>HYPERLINK("https%3A%2F%2Fwww.webofscience.com%2Fwos%2Fwoscc%2Ffull-record%2FWOS:000731911900016","View Full Record in Web of Science")</f>
        <v>View Full Record in Web of Science</v>
      </c>
    </row>
    <row r="31" spans="1:72" x14ac:dyDescent="0.15">
      <c r="A31" t="s">
        <v>72</v>
      </c>
      <c r="B31" t="s">
        <v>836</v>
      </c>
      <c r="C31" t="s">
        <v>74</v>
      </c>
      <c r="D31" t="s">
        <v>74</v>
      </c>
      <c r="E31" t="s">
        <v>74</v>
      </c>
      <c r="F31" t="s">
        <v>837</v>
      </c>
      <c r="G31" t="s">
        <v>74</v>
      </c>
      <c r="H31" t="s">
        <v>74</v>
      </c>
      <c r="I31" t="s">
        <v>838</v>
      </c>
      <c r="J31" t="s">
        <v>839</v>
      </c>
      <c r="K31" t="s">
        <v>74</v>
      </c>
      <c r="L31" t="s">
        <v>74</v>
      </c>
      <c r="M31" t="s">
        <v>78</v>
      </c>
      <c r="N31" t="s">
        <v>79</v>
      </c>
      <c r="O31" t="s">
        <v>74</v>
      </c>
      <c r="P31" t="s">
        <v>74</v>
      </c>
      <c r="Q31" t="s">
        <v>74</v>
      </c>
      <c r="R31" t="s">
        <v>74</v>
      </c>
      <c r="S31" t="s">
        <v>74</v>
      </c>
      <c r="T31" t="s">
        <v>840</v>
      </c>
      <c r="U31" t="s">
        <v>841</v>
      </c>
      <c r="V31" t="s">
        <v>842</v>
      </c>
      <c r="W31" t="s">
        <v>843</v>
      </c>
      <c r="X31" t="s">
        <v>844</v>
      </c>
      <c r="Y31" t="s">
        <v>845</v>
      </c>
      <c r="Z31" t="s">
        <v>846</v>
      </c>
      <c r="AA31" t="s">
        <v>847</v>
      </c>
      <c r="AB31" t="s">
        <v>848</v>
      </c>
      <c r="AC31" t="s">
        <v>849</v>
      </c>
      <c r="AD31" t="s">
        <v>850</v>
      </c>
      <c r="AE31" t="s">
        <v>851</v>
      </c>
      <c r="AF31" t="s">
        <v>74</v>
      </c>
      <c r="AG31">
        <v>80</v>
      </c>
      <c r="AH31">
        <v>7</v>
      </c>
      <c r="AI31">
        <v>7</v>
      </c>
      <c r="AJ31">
        <v>0</v>
      </c>
      <c r="AK31">
        <v>9</v>
      </c>
      <c r="AL31" t="s">
        <v>92</v>
      </c>
      <c r="AM31" t="s">
        <v>93</v>
      </c>
      <c r="AN31" t="s">
        <v>94</v>
      </c>
      <c r="AO31" t="s">
        <v>852</v>
      </c>
      <c r="AP31" t="s">
        <v>853</v>
      </c>
      <c r="AQ31" t="s">
        <v>74</v>
      </c>
      <c r="AR31" t="s">
        <v>839</v>
      </c>
      <c r="AS31" t="s">
        <v>854</v>
      </c>
      <c r="AT31" t="s">
        <v>374</v>
      </c>
      <c r="AU31">
        <v>2021</v>
      </c>
      <c r="AV31">
        <v>380</v>
      </c>
      <c r="AW31" t="s">
        <v>74</v>
      </c>
      <c r="AX31" t="s">
        <v>74</v>
      </c>
      <c r="AY31" t="s">
        <v>74</v>
      </c>
      <c r="AZ31" t="s">
        <v>74</v>
      </c>
      <c r="BA31" t="s">
        <v>74</v>
      </c>
      <c r="BB31" t="s">
        <v>74</v>
      </c>
      <c r="BC31" t="s">
        <v>74</v>
      </c>
      <c r="BD31">
        <v>105893</v>
      </c>
      <c r="BE31" t="s">
        <v>855</v>
      </c>
      <c r="BF31" t="str">
        <f>HYPERLINK("http://dx.doi.org/10.1016/j.lithos.2020.105893","http://dx.doi.org/10.1016/j.lithos.2020.105893")</f>
        <v>http://dx.doi.org/10.1016/j.lithos.2020.105893</v>
      </c>
      <c r="BG31" t="s">
        <v>74</v>
      </c>
      <c r="BH31" t="s">
        <v>101</v>
      </c>
      <c r="BI31">
        <v>18</v>
      </c>
      <c r="BJ31" t="s">
        <v>856</v>
      </c>
      <c r="BK31" t="s">
        <v>103</v>
      </c>
      <c r="BL31" t="s">
        <v>856</v>
      </c>
      <c r="BM31" t="s">
        <v>857</v>
      </c>
      <c r="BN31" t="s">
        <v>74</v>
      </c>
      <c r="BO31" t="s">
        <v>74</v>
      </c>
      <c r="BP31" t="s">
        <v>74</v>
      </c>
      <c r="BQ31" t="s">
        <v>74</v>
      </c>
      <c r="BR31" t="s">
        <v>106</v>
      </c>
      <c r="BS31" t="s">
        <v>858</v>
      </c>
      <c r="BT31" t="str">
        <f>HYPERLINK("https%3A%2F%2Fwww.webofscience.com%2Fwos%2Fwoscc%2Ffull-record%2FWOS:000612261200002","View Full Record in Web of Science")</f>
        <v>View Full Record in Web of Science</v>
      </c>
    </row>
    <row r="32" spans="1:72" x14ac:dyDescent="0.15">
      <c r="A32" t="s">
        <v>72</v>
      </c>
      <c r="B32" t="s">
        <v>859</v>
      </c>
      <c r="C32" t="s">
        <v>74</v>
      </c>
      <c r="D32" t="s">
        <v>74</v>
      </c>
      <c r="E32" t="s">
        <v>74</v>
      </c>
      <c r="F32" t="s">
        <v>860</v>
      </c>
      <c r="G32" t="s">
        <v>74</v>
      </c>
      <c r="H32" t="s">
        <v>74</v>
      </c>
      <c r="I32" t="s">
        <v>861</v>
      </c>
      <c r="J32" t="s">
        <v>862</v>
      </c>
      <c r="K32" t="s">
        <v>74</v>
      </c>
      <c r="L32" t="s">
        <v>74</v>
      </c>
      <c r="M32" t="s">
        <v>78</v>
      </c>
      <c r="N32" t="s">
        <v>79</v>
      </c>
      <c r="O32" t="s">
        <v>74</v>
      </c>
      <c r="P32" t="s">
        <v>74</v>
      </c>
      <c r="Q32" t="s">
        <v>74</v>
      </c>
      <c r="R32" t="s">
        <v>74</v>
      </c>
      <c r="S32" t="s">
        <v>74</v>
      </c>
      <c r="T32" t="s">
        <v>863</v>
      </c>
      <c r="U32" t="s">
        <v>74</v>
      </c>
      <c r="V32" t="s">
        <v>864</v>
      </c>
      <c r="W32" t="s">
        <v>865</v>
      </c>
      <c r="X32" t="s">
        <v>866</v>
      </c>
      <c r="Y32" t="s">
        <v>867</v>
      </c>
      <c r="Z32" t="s">
        <v>868</v>
      </c>
      <c r="AA32" t="s">
        <v>869</v>
      </c>
      <c r="AB32" t="s">
        <v>870</v>
      </c>
      <c r="AC32" t="s">
        <v>871</v>
      </c>
      <c r="AD32" t="s">
        <v>872</v>
      </c>
      <c r="AE32" t="s">
        <v>873</v>
      </c>
      <c r="AF32" t="s">
        <v>74</v>
      </c>
      <c r="AG32">
        <v>87</v>
      </c>
      <c r="AH32">
        <v>8</v>
      </c>
      <c r="AI32">
        <v>8</v>
      </c>
      <c r="AJ32">
        <v>1</v>
      </c>
      <c r="AK32">
        <v>6</v>
      </c>
      <c r="AL32" t="s">
        <v>92</v>
      </c>
      <c r="AM32" t="s">
        <v>93</v>
      </c>
      <c r="AN32" t="s">
        <v>94</v>
      </c>
      <c r="AO32" t="s">
        <v>874</v>
      </c>
      <c r="AP32" t="s">
        <v>875</v>
      </c>
      <c r="AQ32" t="s">
        <v>74</v>
      </c>
      <c r="AR32" t="s">
        <v>876</v>
      </c>
      <c r="AS32" t="s">
        <v>877</v>
      </c>
      <c r="AT32" t="s">
        <v>878</v>
      </c>
      <c r="AU32">
        <v>2021</v>
      </c>
      <c r="AV32">
        <v>562</v>
      </c>
      <c r="AW32" t="s">
        <v>74</v>
      </c>
      <c r="AX32" t="s">
        <v>74</v>
      </c>
      <c r="AY32" t="s">
        <v>74</v>
      </c>
      <c r="AZ32" t="s">
        <v>74</v>
      </c>
      <c r="BA32" t="s">
        <v>74</v>
      </c>
      <c r="BB32" t="s">
        <v>74</v>
      </c>
      <c r="BC32" t="s">
        <v>74</v>
      </c>
      <c r="BD32">
        <v>120056</v>
      </c>
      <c r="BE32" t="s">
        <v>879</v>
      </c>
      <c r="BF32" t="str">
        <f>HYPERLINK("http://dx.doi.org/10.1016/j.chemgeo.2020.120056","http://dx.doi.org/10.1016/j.chemgeo.2020.120056")</f>
        <v>http://dx.doi.org/10.1016/j.chemgeo.2020.120056</v>
      </c>
      <c r="BG32" t="s">
        <v>74</v>
      </c>
      <c r="BH32" t="s">
        <v>101</v>
      </c>
      <c r="BI32">
        <v>11</v>
      </c>
      <c r="BJ32" t="s">
        <v>426</v>
      </c>
      <c r="BK32" t="s">
        <v>103</v>
      </c>
      <c r="BL32" t="s">
        <v>426</v>
      </c>
      <c r="BM32" t="s">
        <v>880</v>
      </c>
      <c r="BN32" t="s">
        <v>74</v>
      </c>
      <c r="BO32" t="s">
        <v>561</v>
      </c>
      <c r="BP32" t="s">
        <v>74</v>
      </c>
      <c r="BQ32" t="s">
        <v>74</v>
      </c>
      <c r="BR32" t="s">
        <v>106</v>
      </c>
      <c r="BS32" t="s">
        <v>881</v>
      </c>
      <c r="BT32" t="str">
        <f>HYPERLINK("https%3A%2F%2Fwww.webofscience.com%2Fwos%2Fwoscc%2Ffull-record%2FWOS:000615171000011","View Full Record in Web of Science")</f>
        <v>View Full Record in Web of Science</v>
      </c>
    </row>
    <row r="33" spans="1:72" x14ac:dyDescent="0.15">
      <c r="A33" t="s">
        <v>72</v>
      </c>
      <c r="B33" t="s">
        <v>882</v>
      </c>
      <c r="C33" t="s">
        <v>74</v>
      </c>
      <c r="D33" t="s">
        <v>74</v>
      </c>
      <c r="E33" t="s">
        <v>74</v>
      </c>
      <c r="F33" t="s">
        <v>883</v>
      </c>
      <c r="G33" t="s">
        <v>74</v>
      </c>
      <c r="H33" t="s">
        <v>74</v>
      </c>
      <c r="I33" t="s">
        <v>884</v>
      </c>
      <c r="J33" t="s">
        <v>111</v>
      </c>
      <c r="K33" t="s">
        <v>74</v>
      </c>
      <c r="L33" t="s">
        <v>74</v>
      </c>
      <c r="M33" t="s">
        <v>78</v>
      </c>
      <c r="N33" t="s">
        <v>79</v>
      </c>
      <c r="O33" t="s">
        <v>74</v>
      </c>
      <c r="P33" t="s">
        <v>74</v>
      </c>
      <c r="Q33" t="s">
        <v>74</v>
      </c>
      <c r="R33" t="s">
        <v>74</v>
      </c>
      <c r="S33" t="s">
        <v>74</v>
      </c>
      <c r="T33" t="s">
        <v>74</v>
      </c>
      <c r="U33" t="s">
        <v>885</v>
      </c>
      <c r="V33" t="s">
        <v>886</v>
      </c>
      <c r="W33" t="s">
        <v>887</v>
      </c>
      <c r="X33" t="s">
        <v>888</v>
      </c>
      <c r="Y33" t="s">
        <v>889</v>
      </c>
      <c r="Z33" t="s">
        <v>890</v>
      </c>
      <c r="AA33" t="s">
        <v>891</v>
      </c>
      <c r="AB33" t="s">
        <v>892</v>
      </c>
      <c r="AC33" t="s">
        <v>893</v>
      </c>
      <c r="AD33" t="s">
        <v>894</v>
      </c>
      <c r="AE33" t="s">
        <v>895</v>
      </c>
      <c r="AF33" t="s">
        <v>74</v>
      </c>
      <c r="AG33">
        <v>73</v>
      </c>
      <c r="AH33">
        <v>32</v>
      </c>
      <c r="AI33">
        <v>34</v>
      </c>
      <c r="AJ33">
        <v>3</v>
      </c>
      <c r="AK33">
        <v>20</v>
      </c>
      <c r="AL33" t="s">
        <v>123</v>
      </c>
      <c r="AM33" t="s">
        <v>124</v>
      </c>
      <c r="AN33" t="s">
        <v>125</v>
      </c>
      <c r="AO33" t="s">
        <v>126</v>
      </c>
      <c r="AP33" t="s">
        <v>127</v>
      </c>
      <c r="AQ33" t="s">
        <v>74</v>
      </c>
      <c r="AR33" t="s">
        <v>128</v>
      </c>
      <c r="AS33" t="s">
        <v>129</v>
      </c>
      <c r="AT33" t="s">
        <v>896</v>
      </c>
      <c r="AU33">
        <v>2021</v>
      </c>
      <c r="AV33">
        <v>21</v>
      </c>
      <c r="AW33">
        <v>2</v>
      </c>
      <c r="AX33" t="s">
        <v>74</v>
      </c>
      <c r="AY33" t="s">
        <v>74</v>
      </c>
      <c r="AZ33" t="s">
        <v>74</v>
      </c>
      <c r="BA33" t="s">
        <v>74</v>
      </c>
      <c r="BB33">
        <v>755</v>
      </c>
      <c r="BC33">
        <v>771</v>
      </c>
      <c r="BD33" t="s">
        <v>74</v>
      </c>
      <c r="BE33" t="s">
        <v>897</v>
      </c>
      <c r="BF33" t="str">
        <f>HYPERLINK("http://dx.doi.org/10.5194/acp-21-755-2021","http://dx.doi.org/10.5194/acp-21-755-2021")</f>
        <v>http://dx.doi.org/10.5194/acp-21-755-2021</v>
      </c>
      <c r="BG33" t="s">
        <v>74</v>
      </c>
      <c r="BH33" t="s">
        <v>74</v>
      </c>
      <c r="BI33">
        <v>17</v>
      </c>
      <c r="BJ33" t="s">
        <v>132</v>
      </c>
      <c r="BK33" t="s">
        <v>103</v>
      </c>
      <c r="BL33" t="s">
        <v>133</v>
      </c>
      <c r="BM33" t="s">
        <v>898</v>
      </c>
      <c r="BN33" t="s">
        <v>74</v>
      </c>
      <c r="BO33" t="s">
        <v>899</v>
      </c>
      <c r="BP33" t="s">
        <v>74</v>
      </c>
      <c r="BQ33" t="s">
        <v>74</v>
      </c>
      <c r="BR33" t="s">
        <v>106</v>
      </c>
      <c r="BS33" t="s">
        <v>900</v>
      </c>
      <c r="BT33" t="str">
        <f>HYPERLINK("https%3A%2F%2Fwww.webofscience.com%2Fwos%2Fwoscc%2Ffull-record%2FWOS:000611565700004","View Full Record in Web of Science")</f>
        <v>View Full Record in Web of Science</v>
      </c>
    </row>
    <row r="34" spans="1:72" x14ac:dyDescent="0.15">
      <c r="A34" t="s">
        <v>72</v>
      </c>
      <c r="B34" t="s">
        <v>901</v>
      </c>
      <c r="C34" t="s">
        <v>74</v>
      </c>
      <c r="D34" t="s">
        <v>74</v>
      </c>
      <c r="E34" t="s">
        <v>74</v>
      </c>
      <c r="F34" t="s">
        <v>902</v>
      </c>
      <c r="G34" t="s">
        <v>74</v>
      </c>
      <c r="H34" t="s">
        <v>74</v>
      </c>
      <c r="I34" t="s">
        <v>903</v>
      </c>
      <c r="J34" t="s">
        <v>140</v>
      </c>
      <c r="K34" t="s">
        <v>74</v>
      </c>
      <c r="L34" t="s">
        <v>74</v>
      </c>
      <c r="M34" t="s">
        <v>78</v>
      </c>
      <c r="N34" t="s">
        <v>79</v>
      </c>
      <c r="O34" t="s">
        <v>74</v>
      </c>
      <c r="P34" t="s">
        <v>74</v>
      </c>
      <c r="Q34" t="s">
        <v>74</v>
      </c>
      <c r="R34" t="s">
        <v>74</v>
      </c>
      <c r="S34" t="s">
        <v>74</v>
      </c>
      <c r="T34" t="s">
        <v>74</v>
      </c>
      <c r="U34" t="s">
        <v>904</v>
      </c>
      <c r="V34" t="s">
        <v>905</v>
      </c>
      <c r="W34" t="s">
        <v>906</v>
      </c>
      <c r="X34" t="s">
        <v>907</v>
      </c>
      <c r="Y34" t="s">
        <v>908</v>
      </c>
      <c r="Z34" t="s">
        <v>909</v>
      </c>
      <c r="AA34" t="s">
        <v>910</v>
      </c>
      <c r="AB34" t="s">
        <v>911</v>
      </c>
      <c r="AC34" t="s">
        <v>912</v>
      </c>
      <c r="AD34" t="s">
        <v>913</v>
      </c>
      <c r="AE34" t="s">
        <v>914</v>
      </c>
      <c r="AF34" t="s">
        <v>74</v>
      </c>
      <c r="AG34">
        <v>49</v>
      </c>
      <c r="AH34">
        <v>5</v>
      </c>
      <c r="AI34">
        <v>5</v>
      </c>
      <c r="AJ34">
        <v>0</v>
      </c>
      <c r="AK34">
        <v>7</v>
      </c>
      <c r="AL34" t="s">
        <v>123</v>
      </c>
      <c r="AM34" t="s">
        <v>124</v>
      </c>
      <c r="AN34" t="s">
        <v>125</v>
      </c>
      <c r="AO34" t="s">
        <v>152</v>
      </c>
      <c r="AP34" t="s">
        <v>153</v>
      </c>
      <c r="AQ34" t="s">
        <v>74</v>
      </c>
      <c r="AR34" t="s">
        <v>140</v>
      </c>
      <c r="AS34" t="s">
        <v>154</v>
      </c>
      <c r="AT34" t="s">
        <v>896</v>
      </c>
      <c r="AU34">
        <v>2021</v>
      </c>
      <c r="AV34">
        <v>15</v>
      </c>
      <c r="AW34">
        <v>1</v>
      </c>
      <c r="AX34" t="s">
        <v>74</v>
      </c>
      <c r="AY34" t="s">
        <v>74</v>
      </c>
      <c r="AZ34" t="s">
        <v>74</v>
      </c>
      <c r="BA34" t="s">
        <v>74</v>
      </c>
      <c r="BB34">
        <v>247</v>
      </c>
      <c r="BC34">
        <v>264</v>
      </c>
      <c r="BD34" t="s">
        <v>74</v>
      </c>
      <c r="BE34" t="s">
        <v>915</v>
      </c>
      <c r="BF34" t="str">
        <f>HYPERLINK("http://dx.doi.org/10.5194/tc-15-247-2021","http://dx.doi.org/10.5194/tc-15-247-2021")</f>
        <v>http://dx.doi.org/10.5194/tc-15-247-2021</v>
      </c>
      <c r="BG34" t="s">
        <v>74</v>
      </c>
      <c r="BH34" t="s">
        <v>74</v>
      </c>
      <c r="BI34">
        <v>18</v>
      </c>
      <c r="BJ34" t="s">
        <v>156</v>
      </c>
      <c r="BK34" t="s">
        <v>103</v>
      </c>
      <c r="BL34" t="s">
        <v>157</v>
      </c>
      <c r="BM34" t="s">
        <v>916</v>
      </c>
      <c r="BN34" t="s">
        <v>74</v>
      </c>
      <c r="BO34" t="s">
        <v>917</v>
      </c>
      <c r="BP34" t="s">
        <v>74</v>
      </c>
      <c r="BQ34" t="s">
        <v>74</v>
      </c>
      <c r="BR34" t="s">
        <v>106</v>
      </c>
      <c r="BS34" t="s">
        <v>918</v>
      </c>
      <c r="BT34" t="str">
        <f>HYPERLINK("https%3A%2F%2Fwww.webofscience.com%2Fwos%2Fwoscc%2Ffull-record%2FWOS:000611538100001","View Full Record in Web of Science")</f>
        <v>View Full Record in Web of Science</v>
      </c>
    </row>
    <row r="35" spans="1:72" x14ac:dyDescent="0.15">
      <c r="A35" t="s">
        <v>72</v>
      </c>
      <c r="B35" t="s">
        <v>919</v>
      </c>
      <c r="C35" t="s">
        <v>74</v>
      </c>
      <c r="D35" t="s">
        <v>74</v>
      </c>
      <c r="E35" t="s">
        <v>74</v>
      </c>
      <c r="F35" t="s">
        <v>920</v>
      </c>
      <c r="G35" t="s">
        <v>74</v>
      </c>
      <c r="H35" t="s">
        <v>74</v>
      </c>
      <c r="I35" t="s">
        <v>921</v>
      </c>
      <c r="J35" t="s">
        <v>922</v>
      </c>
      <c r="K35" t="s">
        <v>74</v>
      </c>
      <c r="L35" t="s">
        <v>74</v>
      </c>
      <c r="M35" t="s">
        <v>78</v>
      </c>
      <c r="N35" t="s">
        <v>79</v>
      </c>
      <c r="O35" t="s">
        <v>74</v>
      </c>
      <c r="P35" t="s">
        <v>74</v>
      </c>
      <c r="Q35" t="s">
        <v>74</v>
      </c>
      <c r="R35" t="s">
        <v>74</v>
      </c>
      <c r="S35" t="s">
        <v>74</v>
      </c>
      <c r="T35" t="s">
        <v>74</v>
      </c>
      <c r="U35" t="s">
        <v>923</v>
      </c>
      <c r="V35" t="s">
        <v>924</v>
      </c>
      <c r="W35" t="s">
        <v>925</v>
      </c>
      <c r="X35" t="s">
        <v>926</v>
      </c>
      <c r="Y35" t="s">
        <v>927</v>
      </c>
      <c r="Z35" t="s">
        <v>928</v>
      </c>
      <c r="AA35" t="s">
        <v>929</v>
      </c>
      <c r="AB35" t="s">
        <v>930</v>
      </c>
      <c r="AC35" t="s">
        <v>931</v>
      </c>
      <c r="AD35" t="s">
        <v>932</v>
      </c>
      <c r="AE35" t="s">
        <v>933</v>
      </c>
      <c r="AF35" t="s">
        <v>74</v>
      </c>
      <c r="AG35">
        <v>60</v>
      </c>
      <c r="AH35">
        <v>5</v>
      </c>
      <c r="AI35">
        <v>5</v>
      </c>
      <c r="AJ35">
        <v>0</v>
      </c>
      <c r="AK35">
        <v>8</v>
      </c>
      <c r="AL35" t="s">
        <v>123</v>
      </c>
      <c r="AM35" t="s">
        <v>124</v>
      </c>
      <c r="AN35" t="s">
        <v>125</v>
      </c>
      <c r="AO35" t="s">
        <v>934</v>
      </c>
      <c r="AP35" t="s">
        <v>74</v>
      </c>
      <c r="AQ35" t="s">
        <v>74</v>
      </c>
      <c r="AR35" t="s">
        <v>935</v>
      </c>
      <c r="AS35" t="s">
        <v>936</v>
      </c>
      <c r="AT35" t="s">
        <v>896</v>
      </c>
      <c r="AU35">
        <v>2021</v>
      </c>
      <c r="AV35">
        <v>17</v>
      </c>
      <c r="AW35">
        <v>1</v>
      </c>
      <c r="AX35" t="s">
        <v>74</v>
      </c>
      <c r="AY35" t="s">
        <v>74</v>
      </c>
      <c r="AZ35" t="s">
        <v>74</v>
      </c>
      <c r="BA35" t="s">
        <v>74</v>
      </c>
      <c r="BB35">
        <v>131</v>
      </c>
      <c r="BC35">
        <v>145</v>
      </c>
      <c r="BD35" t="s">
        <v>74</v>
      </c>
      <c r="BE35" t="s">
        <v>937</v>
      </c>
      <c r="BF35" t="str">
        <f>HYPERLINK("http://dx.doi.org/10.5194/os-17-131-2021","http://dx.doi.org/10.5194/os-17-131-2021")</f>
        <v>http://dx.doi.org/10.5194/os-17-131-2021</v>
      </c>
      <c r="BG35" t="s">
        <v>74</v>
      </c>
      <c r="BH35" t="s">
        <v>74</v>
      </c>
      <c r="BI35">
        <v>15</v>
      </c>
      <c r="BJ35" t="s">
        <v>938</v>
      </c>
      <c r="BK35" t="s">
        <v>103</v>
      </c>
      <c r="BL35" t="s">
        <v>938</v>
      </c>
      <c r="BM35" t="s">
        <v>939</v>
      </c>
      <c r="BN35" t="s">
        <v>74</v>
      </c>
      <c r="BO35" t="s">
        <v>159</v>
      </c>
      <c r="BP35" t="s">
        <v>74</v>
      </c>
      <c r="BQ35" t="s">
        <v>74</v>
      </c>
      <c r="BR35" t="s">
        <v>106</v>
      </c>
      <c r="BS35" t="s">
        <v>940</v>
      </c>
      <c r="BT35" t="str">
        <f>HYPERLINK("https%3A%2F%2Fwww.webofscience.com%2Fwos%2Fwoscc%2Ffull-record%2FWOS:000611537800001","View Full Record in Web of Science")</f>
        <v>View Full Record in Web of Science</v>
      </c>
    </row>
    <row r="36" spans="1:72" x14ac:dyDescent="0.15">
      <c r="A36" t="s">
        <v>72</v>
      </c>
      <c r="B36" t="s">
        <v>941</v>
      </c>
      <c r="C36" t="s">
        <v>74</v>
      </c>
      <c r="D36" t="s">
        <v>74</v>
      </c>
      <c r="E36" t="s">
        <v>74</v>
      </c>
      <c r="F36" t="s">
        <v>942</v>
      </c>
      <c r="G36" t="s">
        <v>74</v>
      </c>
      <c r="H36" t="s">
        <v>74</v>
      </c>
      <c r="I36" t="s">
        <v>943</v>
      </c>
      <c r="J36" t="s">
        <v>515</v>
      </c>
      <c r="K36" t="s">
        <v>74</v>
      </c>
      <c r="L36" t="s">
        <v>74</v>
      </c>
      <c r="M36" t="s">
        <v>78</v>
      </c>
      <c r="N36" t="s">
        <v>79</v>
      </c>
      <c r="O36" t="s">
        <v>74</v>
      </c>
      <c r="P36" t="s">
        <v>74</v>
      </c>
      <c r="Q36" t="s">
        <v>74</v>
      </c>
      <c r="R36" t="s">
        <v>74</v>
      </c>
      <c r="S36" t="s">
        <v>74</v>
      </c>
      <c r="T36" t="s">
        <v>74</v>
      </c>
      <c r="U36" t="s">
        <v>944</v>
      </c>
      <c r="V36" t="s">
        <v>945</v>
      </c>
      <c r="W36" t="s">
        <v>946</v>
      </c>
      <c r="X36" t="s">
        <v>947</v>
      </c>
      <c r="Y36" t="s">
        <v>948</v>
      </c>
      <c r="Z36" t="s">
        <v>949</v>
      </c>
      <c r="AA36" t="s">
        <v>950</v>
      </c>
      <c r="AB36" t="s">
        <v>951</v>
      </c>
      <c r="AC36" t="s">
        <v>952</v>
      </c>
      <c r="AD36" t="s">
        <v>953</v>
      </c>
      <c r="AE36" t="s">
        <v>954</v>
      </c>
      <c r="AF36" t="s">
        <v>74</v>
      </c>
      <c r="AG36">
        <v>74</v>
      </c>
      <c r="AH36">
        <v>30</v>
      </c>
      <c r="AI36">
        <v>32</v>
      </c>
      <c r="AJ36">
        <v>2</v>
      </c>
      <c r="AK36">
        <v>23</v>
      </c>
      <c r="AL36" t="s">
        <v>955</v>
      </c>
      <c r="AM36" t="s">
        <v>528</v>
      </c>
      <c r="AN36" t="s">
        <v>529</v>
      </c>
      <c r="AO36" t="s">
        <v>530</v>
      </c>
      <c r="AP36" t="s">
        <v>74</v>
      </c>
      <c r="AQ36" t="s">
        <v>74</v>
      </c>
      <c r="AR36" t="s">
        <v>531</v>
      </c>
      <c r="AS36" t="s">
        <v>532</v>
      </c>
      <c r="AT36" t="s">
        <v>896</v>
      </c>
      <c r="AU36">
        <v>2021</v>
      </c>
      <c r="AV36">
        <v>12</v>
      </c>
      <c r="AW36">
        <v>1</v>
      </c>
      <c r="AX36" t="s">
        <v>74</v>
      </c>
      <c r="AY36" t="s">
        <v>74</v>
      </c>
      <c r="AZ36" t="s">
        <v>74</v>
      </c>
      <c r="BA36" t="s">
        <v>74</v>
      </c>
      <c r="BB36" t="s">
        <v>74</v>
      </c>
      <c r="BC36" t="s">
        <v>74</v>
      </c>
      <c r="BD36">
        <v>436</v>
      </c>
      <c r="BE36" t="s">
        <v>956</v>
      </c>
      <c r="BF36" t="str">
        <f>HYPERLINK("http://dx.doi.org/10.1038/s41467-020-20705-z","http://dx.doi.org/10.1038/s41467-020-20705-z")</f>
        <v>http://dx.doi.org/10.1038/s41467-020-20705-z</v>
      </c>
      <c r="BG36" t="s">
        <v>74</v>
      </c>
      <c r="BH36" t="s">
        <v>74</v>
      </c>
      <c r="BI36">
        <v>8</v>
      </c>
      <c r="BJ36" t="s">
        <v>534</v>
      </c>
      <c r="BK36" t="s">
        <v>103</v>
      </c>
      <c r="BL36" t="s">
        <v>535</v>
      </c>
      <c r="BM36" t="s">
        <v>957</v>
      </c>
      <c r="BN36">
        <v>33469027</v>
      </c>
      <c r="BO36" t="s">
        <v>958</v>
      </c>
      <c r="BP36" t="s">
        <v>74</v>
      </c>
      <c r="BQ36" t="s">
        <v>74</v>
      </c>
      <c r="BR36" t="s">
        <v>106</v>
      </c>
      <c r="BS36" t="s">
        <v>959</v>
      </c>
      <c r="BT36" t="str">
        <f>HYPERLINK("https%3A%2F%2Fwww.webofscience.com%2Fwos%2Fwoscc%2Ffull-record%2FWOS:000613518600004","View Full Record in Web of Science")</f>
        <v>View Full Record in Web of Science</v>
      </c>
    </row>
    <row r="37" spans="1:72" x14ac:dyDescent="0.15">
      <c r="A37" t="s">
        <v>72</v>
      </c>
      <c r="B37" t="s">
        <v>960</v>
      </c>
      <c r="C37" t="s">
        <v>74</v>
      </c>
      <c r="D37" t="s">
        <v>74</v>
      </c>
      <c r="E37" t="s">
        <v>74</v>
      </c>
      <c r="F37" t="s">
        <v>961</v>
      </c>
      <c r="G37" t="s">
        <v>74</v>
      </c>
      <c r="H37" t="s">
        <v>74</v>
      </c>
      <c r="I37" t="s">
        <v>962</v>
      </c>
      <c r="J37" t="s">
        <v>963</v>
      </c>
      <c r="K37" t="s">
        <v>74</v>
      </c>
      <c r="L37" t="s">
        <v>74</v>
      </c>
      <c r="M37" t="s">
        <v>78</v>
      </c>
      <c r="N37" t="s">
        <v>79</v>
      </c>
      <c r="O37" t="s">
        <v>74</v>
      </c>
      <c r="P37" t="s">
        <v>74</v>
      </c>
      <c r="Q37" t="s">
        <v>74</v>
      </c>
      <c r="R37" t="s">
        <v>74</v>
      </c>
      <c r="S37" t="s">
        <v>74</v>
      </c>
      <c r="T37" t="s">
        <v>964</v>
      </c>
      <c r="U37" t="s">
        <v>965</v>
      </c>
      <c r="V37" t="s">
        <v>966</v>
      </c>
      <c r="W37" t="s">
        <v>967</v>
      </c>
      <c r="X37" t="s">
        <v>968</v>
      </c>
      <c r="Y37" t="s">
        <v>969</v>
      </c>
      <c r="Z37" t="s">
        <v>970</v>
      </c>
      <c r="AA37" t="s">
        <v>971</v>
      </c>
      <c r="AB37" t="s">
        <v>972</v>
      </c>
      <c r="AC37" t="s">
        <v>973</v>
      </c>
      <c r="AD37" t="s">
        <v>974</v>
      </c>
      <c r="AE37" t="s">
        <v>975</v>
      </c>
      <c r="AF37" t="s">
        <v>74</v>
      </c>
      <c r="AG37">
        <v>63</v>
      </c>
      <c r="AH37">
        <v>21</v>
      </c>
      <c r="AI37">
        <v>21</v>
      </c>
      <c r="AJ37">
        <v>4</v>
      </c>
      <c r="AK37">
        <v>27</v>
      </c>
      <c r="AL37" t="s">
        <v>976</v>
      </c>
      <c r="AM37" t="s">
        <v>629</v>
      </c>
      <c r="AN37" t="s">
        <v>977</v>
      </c>
      <c r="AO37" t="s">
        <v>978</v>
      </c>
      <c r="AP37" t="s">
        <v>979</v>
      </c>
      <c r="AQ37" t="s">
        <v>74</v>
      </c>
      <c r="AR37" t="s">
        <v>980</v>
      </c>
      <c r="AS37" t="s">
        <v>981</v>
      </c>
      <c r="AT37" t="s">
        <v>896</v>
      </c>
      <c r="AU37">
        <v>2021</v>
      </c>
      <c r="AV37">
        <v>118</v>
      </c>
      <c r="AW37">
        <v>3</v>
      </c>
      <c r="AX37" t="s">
        <v>74</v>
      </c>
      <c r="AY37" t="s">
        <v>74</v>
      </c>
      <c r="AZ37" t="s">
        <v>74</v>
      </c>
      <c r="BA37" t="s">
        <v>74</v>
      </c>
      <c r="BB37" t="s">
        <v>74</v>
      </c>
      <c r="BC37" t="s">
        <v>74</v>
      </c>
      <c r="BD37" t="s">
        <v>982</v>
      </c>
      <c r="BE37" t="s">
        <v>983</v>
      </c>
      <c r="BF37" t="str">
        <f>HYPERLINK("http://dx.doi.org/10.1073/pnas.2013316117","http://dx.doi.org/10.1073/pnas.2013316117")</f>
        <v>http://dx.doi.org/10.1073/pnas.2013316117</v>
      </c>
      <c r="BG37" t="s">
        <v>74</v>
      </c>
      <c r="BH37" t="s">
        <v>74</v>
      </c>
      <c r="BI37">
        <v>8</v>
      </c>
      <c r="BJ37" t="s">
        <v>534</v>
      </c>
      <c r="BK37" t="s">
        <v>103</v>
      </c>
      <c r="BL37" t="s">
        <v>535</v>
      </c>
      <c r="BM37" t="s">
        <v>984</v>
      </c>
      <c r="BN37">
        <v>33323482</v>
      </c>
      <c r="BO37" t="s">
        <v>985</v>
      </c>
      <c r="BP37" t="s">
        <v>74</v>
      </c>
      <c r="BQ37" t="s">
        <v>74</v>
      </c>
      <c r="BR37" t="s">
        <v>106</v>
      </c>
      <c r="BS37" t="s">
        <v>986</v>
      </c>
      <c r="BT37" t="str">
        <f>HYPERLINK("https%3A%2F%2Fwww.webofscience.com%2Fwos%2Fwoscc%2Ffull-record%2FWOS:000609633900025","View Full Record in Web of Science")</f>
        <v>View Full Record in Web of Science</v>
      </c>
    </row>
    <row r="38" spans="1:72" x14ac:dyDescent="0.15">
      <c r="A38" t="s">
        <v>72</v>
      </c>
      <c r="B38" t="s">
        <v>987</v>
      </c>
      <c r="C38" t="s">
        <v>74</v>
      </c>
      <c r="D38" t="s">
        <v>74</v>
      </c>
      <c r="E38" t="s">
        <v>74</v>
      </c>
      <c r="F38" t="s">
        <v>988</v>
      </c>
      <c r="G38" t="s">
        <v>74</v>
      </c>
      <c r="H38" t="s">
        <v>74</v>
      </c>
      <c r="I38" t="s">
        <v>989</v>
      </c>
      <c r="J38" t="s">
        <v>990</v>
      </c>
      <c r="K38" t="s">
        <v>74</v>
      </c>
      <c r="L38" t="s">
        <v>74</v>
      </c>
      <c r="M38" t="s">
        <v>78</v>
      </c>
      <c r="N38" t="s">
        <v>79</v>
      </c>
      <c r="O38" t="s">
        <v>74</v>
      </c>
      <c r="P38" t="s">
        <v>74</v>
      </c>
      <c r="Q38" t="s">
        <v>74</v>
      </c>
      <c r="R38" t="s">
        <v>74</v>
      </c>
      <c r="S38" t="s">
        <v>74</v>
      </c>
      <c r="T38" t="s">
        <v>991</v>
      </c>
      <c r="U38" t="s">
        <v>992</v>
      </c>
      <c r="V38" t="s">
        <v>993</v>
      </c>
      <c r="W38" t="s">
        <v>994</v>
      </c>
      <c r="X38" t="s">
        <v>995</v>
      </c>
      <c r="Y38" t="s">
        <v>996</v>
      </c>
      <c r="Z38" t="s">
        <v>997</v>
      </c>
      <c r="AA38" t="s">
        <v>998</v>
      </c>
      <c r="AB38" t="s">
        <v>999</v>
      </c>
      <c r="AC38" t="s">
        <v>1000</v>
      </c>
      <c r="AD38" t="s">
        <v>1001</v>
      </c>
      <c r="AE38" t="s">
        <v>1002</v>
      </c>
      <c r="AF38" t="s">
        <v>74</v>
      </c>
      <c r="AG38">
        <v>80</v>
      </c>
      <c r="AH38">
        <v>1</v>
      </c>
      <c r="AI38">
        <v>1</v>
      </c>
      <c r="AJ38">
        <v>1</v>
      </c>
      <c r="AK38">
        <v>9</v>
      </c>
      <c r="AL38" t="s">
        <v>207</v>
      </c>
      <c r="AM38" t="s">
        <v>208</v>
      </c>
      <c r="AN38" t="s">
        <v>209</v>
      </c>
      <c r="AO38" t="s">
        <v>1003</v>
      </c>
      <c r="AP38" t="s">
        <v>1004</v>
      </c>
      <c r="AQ38" t="s">
        <v>74</v>
      </c>
      <c r="AR38" t="s">
        <v>1005</v>
      </c>
      <c r="AS38" t="s">
        <v>1006</v>
      </c>
      <c r="AT38" t="s">
        <v>896</v>
      </c>
      <c r="AU38">
        <v>2021</v>
      </c>
      <c r="AV38">
        <v>193</v>
      </c>
      <c r="AW38">
        <v>2</v>
      </c>
      <c r="AX38" t="s">
        <v>74</v>
      </c>
      <c r="AY38" t="s">
        <v>74</v>
      </c>
      <c r="AZ38" t="s">
        <v>74</v>
      </c>
      <c r="BA38" t="s">
        <v>74</v>
      </c>
      <c r="BB38" t="s">
        <v>74</v>
      </c>
      <c r="BC38" t="s">
        <v>74</v>
      </c>
      <c r="BD38">
        <v>74</v>
      </c>
      <c r="BE38" t="s">
        <v>1007</v>
      </c>
      <c r="BF38" t="str">
        <f>HYPERLINK("http://dx.doi.org/10.1007/s10661-021-08843-3","http://dx.doi.org/10.1007/s10661-021-08843-3")</f>
        <v>http://dx.doi.org/10.1007/s10661-021-08843-3</v>
      </c>
      <c r="BG38" t="s">
        <v>74</v>
      </c>
      <c r="BH38" t="s">
        <v>74</v>
      </c>
      <c r="BI38">
        <v>22</v>
      </c>
      <c r="BJ38" t="s">
        <v>102</v>
      </c>
      <c r="BK38" t="s">
        <v>103</v>
      </c>
      <c r="BL38" t="s">
        <v>104</v>
      </c>
      <c r="BM38" t="s">
        <v>1008</v>
      </c>
      <c r="BN38">
        <v>33469714</v>
      </c>
      <c r="BO38" t="s">
        <v>74</v>
      </c>
      <c r="BP38" t="s">
        <v>74</v>
      </c>
      <c r="BQ38" t="s">
        <v>74</v>
      </c>
      <c r="BR38" t="s">
        <v>106</v>
      </c>
      <c r="BS38" t="s">
        <v>1009</v>
      </c>
      <c r="BT38" t="str">
        <f>HYPERLINK("https%3A%2F%2Fwww.webofscience.com%2Fwos%2Fwoscc%2Ffull-record%2FWOS:000612023200006","View Full Record in Web of Science")</f>
        <v>View Full Record in Web of Science</v>
      </c>
    </row>
    <row r="39" spans="1:72" x14ac:dyDescent="0.15">
      <c r="A39" t="s">
        <v>72</v>
      </c>
      <c r="B39" t="s">
        <v>1010</v>
      </c>
      <c r="C39" t="s">
        <v>74</v>
      </c>
      <c r="D39" t="s">
        <v>74</v>
      </c>
      <c r="E39" t="s">
        <v>74</v>
      </c>
      <c r="F39" t="s">
        <v>1011</v>
      </c>
      <c r="G39" t="s">
        <v>74</v>
      </c>
      <c r="H39" t="s">
        <v>74</v>
      </c>
      <c r="I39" t="s">
        <v>1012</v>
      </c>
      <c r="J39" t="s">
        <v>1013</v>
      </c>
      <c r="K39" t="s">
        <v>74</v>
      </c>
      <c r="L39" t="s">
        <v>74</v>
      </c>
      <c r="M39" t="s">
        <v>78</v>
      </c>
      <c r="N39" t="s">
        <v>79</v>
      </c>
      <c r="O39" t="s">
        <v>74</v>
      </c>
      <c r="P39" t="s">
        <v>74</v>
      </c>
      <c r="Q39" t="s">
        <v>74</v>
      </c>
      <c r="R39" t="s">
        <v>74</v>
      </c>
      <c r="S39" t="s">
        <v>74</v>
      </c>
      <c r="T39" t="s">
        <v>1014</v>
      </c>
      <c r="U39" t="s">
        <v>1015</v>
      </c>
      <c r="V39" t="s">
        <v>1016</v>
      </c>
      <c r="W39" t="s">
        <v>1017</v>
      </c>
      <c r="X39" t="s">
        <v>1018</v>
      </c>
      <c r="Y39" t="s">
        <v>1019</v>
      </c>
      <c r="Z39" t="s">
        <v>1020</v>
      </c>
      <c r="AA39" t="s">
        <v>1021</v>
      </c>
      <c r="AB39" t="s">
        <v>1022</v>
      </c>
      <c r="AC39" t="s">
        <v>74</v>
      </c>
      <c r="AD39" t="s">
        <v>74</v>
      </c>
      <c r="AE39" t="s">
        <v>74</v>
      </c>
      <c r="AF39" t="s">
        <v>74</v>
      </c>
      <c r="AG39">
        <v>42</v>
      </c>
      <c r="AH39">
        <v>2</v>
      </c>
      <c r="AI39">
        <v>3</v>
      </c>
      <c r="AJ39">
        <v>1</v>
      </c>
      <c r="AK39">
        <v>10</v>
      </c>
      <c r="AL39" t="s">
        <v>552</v>
      </c>
      <c r="AM39" t="s">
        <v>553</v>
      </c>
      <c r="AN39" t="s">
        <v>554</v>
      </c>
      <c r="AO39" t="s">
        <v>1023</v>
      </c>
      <c r="AP39" t="s">
        <v>1024</v>
      </c>
      <c r="AQ39" t="s">
        <v>74</v>
      </c>
      <c r="AR39" t="s">
        <v>1013</v>
      </c>
      <c r="AS39" t="s">
        <v>1025</v>
      </c>
      <c r="AT39" t="s">
        <v>214</v>
      </c>
      <c r="AU39">
        <v>2021</v>
      </c>
      <c r="AV39">
        <v>163</v>
      </c>
      <c r="AW39">
        <v>2</v>
      </c>
      <c r="AX39" t="s">
        <v>74</v>
      </c>
      <c r="AY39" t="s">
        <v>74</v>
      </c>
      <c r="AZ39" t="s">
        <v>74</v>
      </c>
      <c r="BA39" t="s">
        <v>74</v>
      </c>
      <c r="BB39">
        <v>695</v>
      </c>
      <c r="BC39">
        <v>705</v>
      </c>
      <c r="BD39" t="s">
        <v>74</v>
      </c>
      <c r="BE39" t="s">
        <v>1026</v>
      </c>
      <c r="BF39" t="str">
        <f>HYPERLINK("http://dx.doi.org/10.1111/ibi.12910","http://dx.doi.org/10.1111/ibi.12910")</f>
        <v>http://dx.doi.org/10.1111/ibi.12910</v>
      </c>
      <c r="BG39" t="s">
        <v>74</v>
      </c>
      <c r="BH39" t="s">
        <v>101</v>
      </c>
      <c r="BI39">
        <v>11</v>
      </c>
      <c r="BJ39" t="s">
        <v>1027</v>
      </c>
      <c r="BK39" t="s">
        <v>103</v>
      </c>
      <c r="BL39" t="s">
        <v>1028</v>
      </c>
      <c r="BM39" t="s">
        <v>1029</v>
      </c>
      <c r="BN39" t="s">
        <v>74</v>
      </c>
      <c r="BO39" t="s">
        <v>74</v>
      </c>
      <c r="BP39" t="s">
        <v>74</v>
      </c>
      <c r="BQ39" t="s">
        <v>74</v>
      </c>
      <c r="BR39" t="s">
        <v>106</v>
      </c>
      <c r="BS39" t="s">
        <v>1030</v>
      </c>
      <c r="BT39" t="str">
        <f>HYPERLINK("https%3A%2F%2Fwww.webofscience.com%2Fwos%2Fwoscc%2Ffull-record%2FWOS:000608593700001","View Full Record in Web of Science")</f>
        <v>View Full Record in Web of Science</v>
      </c>
    </row>
    <row r="40" spans="1:72" x14ac:dyDescent="0.15">
      <c r="A40" t="s">
        <v>72</v>
      </c>
      <c r="B40" t="s">
        <v>1031</v>
      </c>
      <c r="C40" t="s">
        <v>74</v>
      </c>
      <c r="D40" t="s">
        <v>74</v>
      </c>
      <c r="E40" t="s">
        <v>74</v>
      </c>
      <c r="F40" t="s">
        <v>1032</v>
      </c>
      <c r="G40" t="s">
        <v>74</v>
      </c>
      <c r="H40" t="s">
        <v>1033</v>
      </c>
      <c r="I40" t="s">
        <v>1034</v>
      </c>
      <c r="J40" t="s">
        <v>1035</v>
      </c>
      <c r="K40" t="s">
        <v>74</v>
      </c>
      <c r="L40" t="s">
        <v>74</v>
      </c>
      <c r="M40" t="s">
        <v>78</v>
      </c>
      <c r="N40" t="s">
        <v>79</v>
      </c>
      <c r="O40" t="s">
        <v>74</v>
      </c>
      <c r="P40" t="s">
        <v>74</v>
      </c>
      <c r="Q40" t="s">
        <v>74</v>
      </c>
      <c r="R40" t="s">
        <v>74</v>
      </c>
      <c r="S40" t="s">
        <v>74</v>
      </c>
      <c r="T40" t="s">
        <v>1036</v>
      </c>
      <c r="U40" t="s">
        <v>1037</v>
      </c>
      <c r="V40" t="s">
        <v>1038</v>
      </c>
      <c r="W40" t="s">
        <v>1039</v>
      </c>
      <c r="X40" t="s">
        <v>1040</v>
      </c>
      <c r="Y40" t="s">
        <v>1041</v>
      </c>
      <c r="Z40" t="s">
        <v>1042</v>
      </c>
      <c r="AA40" t="s">
        <v>1043</v>
      </c>
      <c r="AB40" t="s">
        <v>1044</v>
      </c>
      <c r="AC40" t="s">
        <v>1045</v>
      </c>
      <c r="AD40" t="s">
        <v>1046</v>
      </c>
      <c r="AE40" t="s">
        <v>1047</v>
      </c>
      <c r="AF40" t="s">
        <v>74</v>
      </c>
      <c r="AG40">
        <v>86</v>
      </c>
      <c r="AH40">
        <v>38</v>
      </c>
      <c r="AI40">
        <v>38</v>
      </c>
      <c r="AJ40">
        <v>6</v>
      </c>
      <c r="AK40">
        <v>34</v>
      </c>
      <c r="AL40" t="s">
        <v>552</v>
      </c>
      <c r="AM40" t="s">
        <v>553</v>
      </c>
      <c r="AN40" t="s">
        <v>554</v>
      </c>
      <c r="AO40" t="s">
        <v>1048</v>
      </c>
      <c r="AP40" t="s">
        <v>1049</v>
      </c>
      <c r="AQ40" t="s">
        <v>74</v>
      </c>
      <c r="AR40" t="s">
        <v>1035</v>
      </c>
      <c r="AS40" t="s">
        <v>1050</v>
      </c>
      <c r="AT40" t="s">
        <v>214</v>
      </c>
      <c r="AU40">
        <v>2021</v>
      </c>
      <c r="AV40">
        <v>44</v>
      </c>
      <c r="AW40">
        <v>4</v>
      </c>
      <c r="AX40" t="s">
        <v>74</v>
      </c>
      <c r="AY40" t="s">
        <v>74</v>
      </c>
      <c r="AZ40" t="s">
        <v>74</v>
      </c>
      <c r="BA40" t="s">
        <v>74</v>
      </c>
      <c r="BB40">
        <v>548</v>
      </c>
      <c r="BC40">
        <v>560</v>
      </c>
      <c r="BD40" t="s">
        <v>74</v>
      </c>
      <c r="BE40" t="s">
        <v>1051</v>
      </c>
      <c r="BF40" t="str">
        <f>HYPERLINK("http://dx.doi.org/10.1111/ecog.05374","http://dx.doi.org/10.1111/ecog.05374")</f>
        <v>http://dx.doi.org/10.1111/ecog.05374</v>
      </c>
      <c r="BG40" t="s">
        <v>74</v>
      </c>
      <c r="BH40" t="s">
        <v>101</v>
      </c>
      <c r="BI40">
        <v>13</v>
      </c>
      <c r="BJ40" t="s">
        <v>1052</v>
      </c>
      <c r="BK40" t="s">
        <v>103</v>
      </c>
      <c r="BL40" t="s">
        <v>1053</v>
      </c>
      <c r="BM40" t="s">
        <v>1054</v>
      </c>
      <c r="BN40" t="s">
        <v>74</v>
      </c>
      <c r="BO40" t="s">
        <v>1055</v>
      </c>
      <c r="BP40" t="s">
        <v>74</v>
      </c>
      <c r="BQ40" t="s">
        <v>74</v>
      </c>
      <c r="BR40" t="s">
        <v>106</v>
      </c>
      <c r="BS40" t="s">
        <v>1056</v>
      </c>
      <c r="BT40" t="str">
        <f>HYPERLINK("https%3A%2F%2Fwww.webofscience.com%2Fwos%2Fwoscc%2Ffull-record%2FWOS:000608571700001","View Full Record in Web of Science")</f>
        <v>View Full Record in Web of Science</v>
      </c>
    </row>
    <row r="41" spans="1:72" x14ac:dyDescent="0.15">
      <c r="A41" t="s">
        <v>72</v>
      </c>
      <c r="B41" t="s">
        <v>1057</v>
      </c>
      <c r="C41" t="s">
        <v>74</v>
      </c>
      <c r="D41" t="s">
        <v>74</v>
      </c>
      <c r="E41" t="s">
        <v>74</v>
      </c>
      <c r="F41" t="s">
        <v>1058</v>
      </c>
      <c r="G41" t="s">
        <v>74</v>
      </c>
      <c r="H41" t="s">
        <v>74</v>
      </c>
      <c r="I41" t="s">
        <v>1059</v>
      </c>
      <c r="J41" t="s">
        <v>1060</v>
      </c>
      <c r="K41" t="s">
        <v>74</v>
      </c>
      <c r="L41" t="s">
        <v>74</v>
      </c>
      <c r="M41" t="s">
        <v>78</v>
      </c>
      <c r="N41" t="s">
        <v>79</v>
      </c>
      <c r="O41" t="s">
        <v>74</v>
      </c>
      <c r="P41" t="s">
        <v>74</v>
      </c>
      <c r="Q41" t="s">
        <v>74</v>
      </c>
      <c r="R41" t="s">
        <v>74</v>
      </c>
      <c r="S41" t="s">
        <v>74</v>
      </c>
      <c r="T41" t="s">
        <v>1061</v>
      </c>
      <c r="U41" t="s">
        <v>1062</v>
      </c>
      <c r="V41" t="s">
        <v>1063</v>
      </c>
      <c r="W41" t="s">
        <v>1064</v>
      </c>
      <c r="X41" t="s">
        <v>1065</v>
      </c>
      <c r="Y41" t="s">
        <v>1066</v>
      </c>
      <c r="Z41" t="s">
        <v>1067</v>
      </c>
      <c r="AA41" t="s">
        <v>1068</v>
      </c>
      <c r="AB41" t="s">
        <v>1069</v>
      </c>
      <c r="AC41" t="s">
        <v>1070</v>
      </c>
      <c r="AD41" t="s">
        <v>1071</v>
      </c>
      <c r="AE41" t="s">
        <v>1072</v>
      </c>
      <c r="AF41" t="s">
        <v>74</v>
      </c>
      <c r="AG41">
        <v>115</v>
      </c>
      <c r="AH41">
        <v>22</v>
      </c>
      <c r="AI41">
        <v>24</v>
      </c>
      <c r="AJ41">
        <v>4</v>
      </c>
      <c r="AK41">
        <v>25</v>
      </c>
      <c r="AL41" t="s">
        <v>177</v>
      </c>
      <c r="AM41" t="s">
        <v>178</v>
      </c>
      <c r="AN41" t="s">
        <v>179</v>
      </c>
      <c r="AO41" t="s">
        <v>1073</v>
      </c>
      <c r="AP41" t="s">
        <v>1074</v>
      </c>
      <c r="AQ41" t="s">
        <v>74</v>
      </c>
      <c r="AR41" t="s">
        <v>1075</v>
      </c>
      <c r="AS41" t="s">
        <v>1076</v>
      </c>
      <c r="AT41" t="s">
        <v>347</v>
      </c>
      <c r="AU41">
        <v>2021</v>
      </c>
      <c r="AV41">
        <v>165</v>
      </c>
      <c r="AW41" t="s">
        <v>74</v>
      </c>
      <c r="AX41" t="s">
        <v>74</v>
      </c>
      <c r="AY41" t="s">
        <v>74</v>
      </c>
      <c r="AZ41" t="s">
        <v>74</v>
      </c>
      <c r="BA41" t="s">
        <v>74</v>
      </c>
      <c r="BB41" t="s">
        <v>74</v>
      </c>
      <c r="BC41" t="s">
        <v>74</v>
      </c>
      <c r="BD41">
        <v>105243</v>
      </c>
      <c r="BE41" t="s">
        <v>1077</v>
      </c>
      <c r="BF41" t="str">
        <f>HYPERLINK("http://dx.doi.org/10.1016/j.marenvres.2020.105243","http://dx.doi.org/10.1016/j.marenvres.2020.105243")</f>
        <v>http://dx.doi.org/10.1016/j.marenvres.2020.105243</v>
      </c>
      <c r="BG41" t="s">
        <v>74</v>
      </c>
      <c r="BH41" t="s">
        <v>101</v>
      </c>
      <c r="BI41">
        <v>12</v>
      </c>
      <c r="BJ41" t="s">
        <v>1078</v>
      </c>
      <c r="BK41" t="s">
        <v>103</v>
      </c>
      <c r="BL41" t="s">
        <v>1079</v>
      </c>
      <c r="BM41" t="s">
        <v>1080</v>
      </c>
      <c r="BN41">
        <v>33476978</v>
      </c>
      <c r="BO41" t="s">
        <v>218</v>
      </c>
      <c r="BP41" t="s">
        <v>74</v>
      </c>
      <c r="BQ41" t="s">
        <v>74</v>
      </c>
      <c r="BR41" t="s">
        <v>106</v>
      </c>
      <c r="BS41" t="s">
        <v>1081</v>
      </c>
      <c r="BT41" t="str">
        <f>HYPERLINK("https%3A%2F%2Fwww.webofscience.com%2Fwos%2Fwoscc%2Ffull-record%2FWOS:000628667000001","View Full Record in Web of Science")</f>
        <v>View Full Record in Web of Science</v>
      </c>
    </row>
    <row r="42" spans="1:72" x14ac:dyDescent="0.15">
      <c r="A42" t="s">
        <v>72</v>
      </c>
      <c r="B42" t="s">
        <v>1082</v>
      </c>
      <c r="C42" t="s">
        <v>74</v>
      </c>
      <c r="D42" t="s">
        <v>74</v>
      </c>
      <c r="E42" t="s">
        <v>74</v>
      </c>
      <c r="F42" t="s">
        <v>1083</v>
      </c>
      <c r="G42" t="s">
        <v>74</v>
      </c>
      <c r="H42" t="s">
        <v>74</v>
      </c>
      <c r="I42" t="s">
        <v>1084</v>
      </c>
      <c r="J42" t="s">
        <v>1085</v>
      </c>
      <c r="K42" t="s">
        <v>74</v>
      </c>
      <c r="L42" t="s">
        <v>74</v>
      </c>
      <c r="M42" t="s">
        <v>78</v>
      </c>
      <c r="N42" t="s">
        <v>79</v>
      </c>
      <c r="O42" t="s">
        <v>74</v>
      </c>
      <c r="P42" t="s">
        <v>74</v>
      </c>
      <c r="Q42" t="s">
        <v>74</v>
      </c>
      <c r="R42" t="s">
        <v>74</v>
      </c>
      <c r="S42" t="s">
        <v>74</v>
      </c>
      <c r="T42" t="s">
        <v>74</v>
      </c>
      <c r="U42" t="s">
        <v>1086</v>
      </c>
      <c r="V42" t="s">
        <v>74</v>
      </c>
      <c r="W42" t="s">
        <v>1087</v>
      </c>
      <c r="X42" t="s">
        <v>1088</v>
      </c>
      <c r="Y42" t="s">
        <v>1089</v>
      </c>
      <c r="Z42" t="s">
        <v>1090</v>
      </c>
      <c r="AA42" t="s">
        <v>1091</v>
      </c>
      <c r="AB42" t="s">
        <v>1092</v>
      </c>
      <c r="AC42" t="s">
        <v>1093</v>
      </c>
      <c r="AD42" t="s">
        <v>1094</v>
      </c>
      <c r="AE42" t="s">
        <v>1095</v>
      </c>
      <c r="AF42" t="s">
        <v>74</v>
      </c>
      <c r="AG42">
        <v>32</v>
      </c>
      <c r="AH42">
        <v>13</v>
      </c>
      <c r="AI42">
        <v>13</v>
      </c>
      <c r="AJ42">
        <v>1</v>
      </c>
      <c r="AK42">
        <v>14</v>
      </c>
      <c r="AL42" t="s">
        <v>1096</v>
      </c>
      <c r="AM42" t="s">
        <v>1097</v>
      </c>
      <c r="AN42" t="s">
        <v>1098</v>
      </c>
      <c r="AO42" t="s">
        <v>1099</v>
      </c>
      <c r="AP42" t="s">
        <v>74</v>
      </c>
      <c r="AQ42" t="s">
        <v>74</v>
      </c>
      <c r="AR42" t="s">
        <v>1100</v>
      </c>
      <c r="AS42" t="s">
        <v>1101</v>
      </c>
      <c r="AT42" t="s">
        <v>1102</v>
      </c>
      <c r="AU42">
        <v>2021</v>
      </c>
      <c r="AV42">
        <v>42</v>
      </c>
      <c r="AW42">
        <v>1</v>
      </c>
      <c r="AX42" t="s">
        <v>74</v>
      </c>
      <c r="AY42" t="s">
        <v>74</v>
      </c>
      <c r="AZ42" t="s">
        <v>74</v>
      </c>
      <c r="BA42" t="s">
        <v>74</v>
      </c>
      <c r="BB42">
        <v>124</v>
      </c>
      <c r="BC42">
        <v>129</v>
      </c>
      <c r="BD42" t="s">
        <v>74</v>
      </c>
      <c r="BE42" t="s">
        <v>1103</v>
      </c>
      <c r="BF42" t="str">
        <f>HYPERLINK("http://dx.doi.org/10.24272/j.issn.2095-8137.2020.264","http://dx.doi.org/10.24272/j.issn.2095-8137.2020.264")</f>
        <v>http://dx.doi.org/10.24272/j.issn.2095-8137.2020.264</v>
      </c>
      <c r="BG42" t="s">
        <v>74</v>
      </c>
      <c r="BH42" t="s">
        <v>74</v>
      </c>
      <c r="BI42">
        <v>6</v>
      </c>
      <c r="BJ42" t="s">
        <v>1028</v>
      </c>
      <c r="BK42" t="s">
        <v>103</v>
      </c>
      <c r="BL42" t="s">
        <v>1028</v>
      </c>
      <c r="BM42" t="s">
        <v>1104</v>
      </c>
      <c r="BN42">
        <v>33258338</v>
      </c>
      <c r="BO42" t="s">
        <v>1105</v>
      </c>
      <c r="BP42" t="s">
        <v>74</v>
      </c>
      <c r="BQ42" t="s">
        <v>74</v>
      </c>
      <c r="BR42" t="s">
        <v>106</v>
      </c>
      <c r="BS42" t="s">
        <v>1106</v>
      </c>
      <c r="BT42" t="str">
        <f>HYPERLINK("https%3A%2F%2Fwww.webofscience.com%2Fwos%2Fwoscc%2Ffull-record%2FWOS:000616785200013","View Full Record in Web of Science")</f>
        <v>View Full Record in Web of Science</v>
      </c>
    </row>
    <row r="43" spans="1:72" x14ac:dyDescent="0.15">
      <c r="A43" t="s">
        <v>72</v>
      </c>
      <c r="B43" t="s">
        <v>1107</v>
      </c>
      <c r="C43" t="s">
        <v>74</v>
      </c>
      <c r="D43" t="s">
        <v>74</v>
      </c>
      <c r="E43" t="s">
        <v>74</v>
      </c>
      <c r="F43" t="s">
        <v>1108</v>
      </c>
      <c r="G43" t="s">
        <v>74</v>
      </c>
      <c r="H43" t="s">
        <v>74</v>
      </c>
      <c r="I43" t="s">
        <v>1109</v>
      </c>
      <c r="J43" t="s">
        <v>111</v>
      </c>
      <c r="K43" t="s">
        <v>74</v>
      </c>
      <c r="L43" t="s">
        <v>74</v>
      </c>
      <c r="M43" t="s">
        <v>78</v>
      </c>
      <c r="N43" t="s">
        <v>79</v>
      </c>
      <c r="O43" t="s">
        <v>74</v>
      </c>
      <c r="P43" t="s">
        <v>74</v>
      </c>
      <c r="Q43" t="s">
        <v>74</v>
      </c>
      <c r="R43" t="s">
        <v>74</v>
      </c>
      <c r="S43" t="s">
        <v>74</v>
      </c>
      <c r="T43" t="s">
        <v>74</v>
      </c>
      <c r="U43" t="s">
        <v>1110</v>
      </c>
      <c r="V43" t="s">
        <v>1111</v>
      </c>
      <c r="W43" t="s">
        <v>1112</v>
      </c>
      <c r="X43" t="s">
        <v>1113</v>
      </c>
      <c r="Y43" t="s">
        <v>1114</v>
      </c>
      <c r="Z43" t="s">
        <v>1115</v>
      </c>
      <c r="AA43" t="s">
        <v>1116</v>
      </c>
      <c r="AB43" t="s">
        <v>1117</v>
      </c>
      <c r="AC43" t="s">
        <v>1118</v>
      </c>
      <c r="AD43" t="s">
        <v>1118</v>
      </c>
      <c r="AE43" t="s">
        <v>1119</v>
      </c>
      <c r="AF43" t="s">
        <v>74</v>
      </c>
      <c r="AG43">
        <v>75</v>
      </c>
      <c r="AH43">
        <v>32</v>
      </c>
      <c r="AI43">
        <v>33</v>
      </c>
      <c r="AJ43">
        <v>2</v>
      </c>
      <c r="AK43">
        <v>31</v>
      </c>
      <c r="AL43" t="s">
        <v>123</v>
      </c>
      <c r="AM43" t="s">
        <v>124</v>
      </c>
      <c r="AN43" t="s">
        <v>125</v>
      </c>
      <c r="AO43" t="s">
        <v>126</v>
      </c>
      <c r="AP43" t="s">
        <v>127</v>
      </c>
      <c r="AQ43" t="s">
        <v>74</v>
      </c>
      <c r="AR43" t="s">
        <v>128</v>
      </c>
      <c r="AS43" t="s">
        <v>129</v>
      </c>
      <c r="AT43" t="s">
        <v>1102</v>
      </c>
      <c r="AU43">
        <v>2021</v>
      </c>
      <c r="AV43">
        <v>21</v>
      </c>
      <c r="AW43">
        <v>2</v>
      </c>
      <c r="AX43" t="s">
        <v>74</v>
      </c>
      <c r="AY43" t="s">
        <v>74</v>
      </c>
      <c r="AZ43" t="s">
        <v>74</v>
      </c>
      <c r="BA43" t="s">
        <v>74</v>
      </c>
      <c r="BB43">
        <v>617</v>
      </c>
      <c r="BC43">
        <v>633</v>
      </c>
      <c r="BD43" t="s">
        <v>74</v>
      </c>
      <c r="BE43" t="s">
        <v>1120</v>
      </c>
      <c r="BF43" t="str">
        <f>HYPERLINK("http://dx.doi.org/10.5194/acp-21-617-2021","http://dx.doi.org/10.5194/acp-21-617-2021")</f>
        <v>http://dx.doi.org/10.5194/acp-21-617-2021</v>
      </c>
      <c r="BG43" t="s">
        <v>74</v>
      </c>
      <c r="BH43" t="s">
        <v>74</v>
      </c>
      <c r="BI43">
        <v>17</v>
      </c>
      <c r="BJ43" t="s">
        <v>132</v>
      </c>
      <c r="BK43" t="s">
        <v>103</v>
      </c>
      <c r="BL43" t="s">
        <v>133</v>
      </c>
      <c r="BM43" t="s">
        <v>1121</v>
      </c>
      <c r="BN43" t="s">
        <v>74</v>
      </c>
      <c r="BO43" t="s">
        <v>1122</v>
      </c>
      <c r="BP43" t="s">
        <v>74</v>
      </c>
      <c r="BQ43" t="s">
        <v>74</v>
      </c>
      <c r="BR43" t="s">
        <v>106</v>
      </c>
      <c r="BS43" t="s">
        <v>1123</v>
      </c>
      <c r="BT43" t="str">
        <f>HYPERLINK("https%3A%2F%2Fwww.webofscience.com%2Fwos%2Fwoscc%2Ffull-record%2FWOS:000611523300002","View Full Record in Web of Science")</f>
        <v>View Full Record in Web of Science</v>
      </c>
    </row>
    <row r="44" spans="1:72" x14ac:dyDescent="0.15">
      <c r="A44" t="s">
        <v>72</v>
      </c>
      <c r="B44" t="s">
        <v>1124</v>
      </c>
      <c r="C44" t="s">
        <v>74</v>
      </c>
      <c r="D44" t="s">
        <v>74</v>
      </c>
      <c r="E44" t="s">
        <v>74</v>
      </c>
      <c r="F44" t="s">
        <v>1125</v>
      </c>
      <c r="G44" t="s">
        <v>74</v>
      </c>
      <c r="H44" t="s">
        <v>74</v>
      </c>
      <c r="I44" t="s">
        <v>1126</v>
      </c>
      <c r="J44" t="s">
        <v>140</v>
      </c>
      <c r="K44" t="s">
        <v>74</v>
      </c>
      <c r="L44" t="s">
        <v>74</v>
      </c>
      <c r="M44" t="s">
        <v>78</v>
      </c>
      <c r="N44" t="s">
        <v>79</v>
      </c>
      <c r="O44" t="s">
        <v>74</v>
      </c>
      <c r="P44" t="s">
        <v>74</v>
      </c>
      <c r="Q44" t="s">
        <v>74</v>
      </c>
      <c r="R44" t="s">
        <v>74</v>
      </c>
      <c r="S44" t="s">
        <v>74</v>
      </c>
      <c r="T44" t="s">
        <v>74</v>
      </c>
      <c r="U44" t="s">
        <v>1127</v>
      </c>
      <c r="V44" t="s">
        <v>1128</v>
      </c>
      <c r="W44" t="s">
        <v>1129</v>
      </c>
      <c r="X44" t="s">
        <v>1130</v>
      </c>
      <c r="Y44" t="s">
        <v>1131</v>
      </c>
      <c r="Z44" t="s">
        <v>1132</v>
      </c>
      <c r="AA44" t="s">
        <v>1133</v>
      </c>
      <c r="AB44" t="s">
        <v>1134</v>
      </c>
      <c r="AC44" t="s">
        <v>1135</v>
      </c>
      <c r="AD44" t="s">
        <v>1136</v>
      </c>
      <c r="AE44" t="s">
        <v>1137</v>
      </c>
      <c r="AF44" t="s">
        <v>74</v>
      </c>
      <c r="AG44">
        <v>102</v>
      </c>
      <c r="AH44">
        <v>2</v>
      </c>
      <c r="AI44">
        <v>2</v>
      </c>
      <c r="AJ44">
        <v>1</v>
      </c>
      <c r="AK44">
        <v>3</v>
      </c>
      <c r="AL44" t="s">
        <v>123</v>
      </c>
      <c r="AM44" t="s">
        <v>124</v>
      </c>
      <c r="AN44" t="s">
        <v>125</v>
      </c>
      <c r="AO44" t="s">
        <v>152</v>
      </c>
      <c r="AP44" t="s">
        <v>153</v>
      </c>
      <c r="AQ44" t="s">
        <v>74</v>
      </c>
      <c r="AR44" t="s">
        <v>140</v>
      </c>
      <c r="AS44" t="s">
        <v>154</v>
      </c>
      <c r="AT44" t="s">
        <v>1102</v>
      </c>
      <c r="AU44">
        <v>2021</v>
      </c>
      <c r="AV44">
        <v>15</v>
      </c>
      <c r="AW44">
        <v>1</v>
      </c>
      <c r="AX44" t="s">
        <v>74</v>
      </c>
      <c r="AY44" t="s">
        <v>74</v>
      </c>
      <c r="AZ44" t="s">
        <v>74</v>
      </c>
      <c r="BA44" t="s">
        <v>74</v>
      </c>
      <c r="BB44">
        <v>215</v>
      </c>
      <c r="BC44">
        <v>231</v>
      </c>
      <c r="BD44" t="s">
        <v>74</v>
      </c>
      <c r="BE44" t="s">
        <v>1138</v>
      </c>
      <c r="BF44" t="str">
        <f>HYPERLINK("http://dx.doi.org/10.5194/tc-15-215-2021","http://dx.doi.org/10.5194/tc-15-215-2021")</f>
        <v>http://dx.doi.org/10.5194/tc-15-215-2021</v>
      </c>
      <c r="BG44" t="s">
        <v>74</v>
      </c>
      <c r="BH44" t="s">
        <v>74</v>
      </c>
      <c r="BI44">
        <v>17</v>
      </c>
      <c r="BJ44" t="s">
        <v>156</v>
      </c>
      <c r="BK44" t="s">
        <v>103</v>
      </c>
      <c r="BL44" t="s">
        <v>157</v>
      </c>
      <c r="BM44" t="s">
        <v>1139</v>
      </c>
      <c r="BN44" t="s">
        <v>74</v>
      </c>
      <c r="BO44" t="s">
        <v>899</v>
      </c>
      <c r="BP44" t="s">
        <v>74</v>
      </c>
      <c r="BQ44" t="s">
        <v>74</v>
      </c>
      <c r="BR44" t="s">
        <v>106</v>
      </c>
      <c r="BS44" t="s">
        <v>1140</v>
      </c>
      <c r="BT44" t="str">
        <f>HYPERLINK("https%3A%2F%2Fwww.webofscience.com%2Fwos%2Fwoscc%2Ffull-record%2FWOS:000611525700001","View Full Record in Web of Science")</f>
        <v>View Full Record in Web of Science</v>
      </c>
    </row>
    <row r="45" spans="1:72" x14ac:dyDescent="0.15">
      <c r="A45" t="s">
        <v>72</v>
      </c>
      <c r="B45" t="s">
        <v>1141</v>
      </c>
      <c r="C45" t="s">
        <v>74</v>
      </c>
      <c r="D45" t="s">
        <v>74</v>
      </c>
      <c r="E45" t="s">
        <v>74</v>
      </c>
      <c r="F45" t="s">
        <v>1142</v>
      </c>
      <c r="G45" t="s">
        <v>74</v>
      </c>
      <c r="H45" t="s">
        <v>74</v>
      </c>
      <c r="I45" t="s">
        <v>1143</v>
      </c>
      <c r="J45" t="s">
        <v>1144</v>
      </c>
      <c r="K45" t="s">
        <v>74</v>
      </c>
      <c r="L45" t="s">
        <v>74</v>
      </c>
      <c r="M45" t="s">
        <v>78</v>
      </c>
      <c r="N45" t="s">
        <v>1145</v>
      </c>
      <c r="O45" t="s">
        <v>74</v>
      </c>
      <c r="P45" t="s">
        <v>74</v>
      </c>
      <c r="Q45" t="s">
        <v>74</v>
      </c>
      <c r="R45" t="s">
        <v>74</v>
      </c>
      <c r="S45" t="s">
        <v>74</v>
      </c>
      <c r="T45" t="s">
        <v>1146</v>
      </c>
      <c r="U45" t="s">
        <v>1147</v>
      </c>
      <c r="V45" t="s">
        <v>1148</v>
      </c>
      <c r="W45" t="s">
        <v>1149</v>
      </c>
      <c r="X45" t="s">
        <v>1150</v>
      </c>
      <c r="Y45" t="s">
        <v>1151</v>
      </c>
      <c r="Z45" t="s">
        <v>1152</v>
      </c>
      <c r="AA45" t="s">
        <v>1153</v>
      </c>
      <c r="AB45" t="s">
        <v>1154</v>
      </c>
      <c r="AC45" t="s">
        <v>1155</v>
      </c>
      <c r="AD45" t="s">
        <v>1156</v>
      </c>
      <c r="AE45" t="s">
        <v>1157</v>
      </c>
      <c r="AF45" t="s">
        <v>74</v>
      </c>
      <c r="AG45">
        <v>25</v>
      </c>
      <c r="AH45">
        <v>3</v>
      </c>
      <c r="AI45">
        <v>3</v>
      </c>
      <c r="AJ45">
        <v>0</v>
      </c>
      <c r="AK45">
        <v>8</v>
      </c>
      <c r="AL45" t="s">
        <v>1158</v>
      </c>
      <c r="AM45" t="s">
        <v>1159</v>
      </c>
      <c r="AN45" t="s">
        <v>1160</v>
      </c>
      <c r="AO45" t="s">
        <v>1161</v>
      </c>
      <c r="AP45" t="s">
        <v>1162</v>
      </c>
      <c r="AQ45" t="s">
        <v>74</v>
      </c>
      <c r="AR45" t="s">
        <v>1144</v>
      </c>
      <c r="AS45" t="s">
        <v>1163</v>
      </c>
      <c r="AT45" t="s">
        <v>1102</v>
      </c>
      <c r="AU45">
        <v>2021</v>
      </c>
      <c r="AV45" t="s">
        <v>74</v>
      </c>
      <c r="AW45">
        <v>1011</v>
      </c>
      <c r="AX45" t="s">
        <v>74</v>
      </c>
      <c r="AY45" t="s">
        <v>74</v>
      </c>
      <c r="AZ45" t="s">
        <v>74</v>
      </c>
      <c r="BA45" t="s">
        <v>74</v>
      </c>
      <c r="BB45">
        <v>63</v>
      </c>
      <c r="BC45">
        <v>71</v>
      </c>
      <c r="BD45" t="s">
        <v>74</v>
      </c>
      <c r="BE45" t="s">
        <v>1164</v>
      </c>
      <c r="BF45" t="str">
        <f>HYPERLINK("http://dx.doi.org/10.3897/zookeys.1011.56833","http://dx.doi.org/10.3897/zookeys.1011.56833")</f>
        <v>http://dx.doi.org/10.3897/zookeys.1011.56833</v>
      </c>
      <c r="BG45" t="s">
        <v>74</v>
      </c>
      <c r="BH45" t="s">
        <v>74</v>
      </c>
      <c r="BI45">
        <v>9</v>
      </c>
      <c r="BJ45" t="s">
        <v>1028</v>
      </c>
      <c r="BK45" t="s">
        <v>103</v>
      </c>
      <c r="BL45" t="s">
        <v>1028</v>
      </c>
      <c r="BM45" t="s">
        <v>1165</v>
      </c>
      <c r="BN45">
        <v>33551650</v>
      </c>
      <c r="BO45" t="s">
        <v>1166</v>
      </c>
      <c r="BP45" t="s">
        <v>74</v>
      </c>
      <c r="BQ45" t="s">
        <v>74</v>
      </c>
      <c r="BR45" t="s">
        <v>106</v>
      </c>
      <c r="BS45" t="s">
        <v>1167</v>
      </c>
      <c r="BT45" t="str">
        <f>HYPERLINK("https%3A%2F%2Fwww.webofscience.com%2Fwos%2Fwoscc%2Ffull-record%2FWOS:000609246600005","View Full Record in Web of Science")</f>
        <v>View Full Record in Web of Science</v>
      </c>
    </row>
    <row r="46" spans="1:72" x14ac:dyDescent="0.15">
      <c r="A46" t="s">
        <v>72</v>
      </c>
      <c r="B46" t="s">
        <v>1168</v>
      </c>
      <c r="C46" t="s">
        <v>74</v>
      </c>
      <c r="D46" t="s">
        <v>74</v>
      </c>
      <c r="E46" t="s">
        <v>74</v>
      </c>
      <c r="F46" t="s">
        <v>1169</v>
      </c>
      <c r="G46" t="s">
        <v>74</v>
      </c>
      <c r="H46" t="s">
        <v>74</v>
      </c>
      <c r="I46" t="s">
        <v>1170</v>
      </c>
      <c r="J46" t="s">
        <v>1171</v>
      </c>
      <c r="K46" t="s">
        <v>74</v>
      </c>
      <c r="L46" t="s">
        <v>74</v>
      </c>
      <c r="M46" t="s">
        <v>78</v>
      </c>
      <c r="N46" t="s">
        <v>79</v>
      </c>
      <c r="O46" t="s">
        <v>74</v>
      </c>
      <c r="P46" t="s">
        <v>74</v>
      </c>
      <c r="Q46" t="s">
        <v>74</v>
      </c>
      <c r="R46" t="s">
        <v>74</v>
      </c>
      <c r="S46" t="s">
        <v>74</v>
      </c>
      <c r="T46" t="s">
        <v>1172</v>
      </c>
      <c r="U46" t="s">
        <v>1173</v>
      </c>
      <c r="V46" t="s">
        <v>1174</v>
      </c>
      <c r="W46" t="s">
        <v>1175</v>
      </c>
      <c r="X46" t="s">
        <v>1176</v>
      </c>
      <c r="Y46" t="s">
        <v>1177</v>
      </c>
      <c r="Z46" t="s">
        <v>1178</v>
      </c>
      <c r="AA46" t="s">
        <v>1179</v>
      </c>
      <c r="AB46" t="s">
        <v>1180</v>
      </c>
      <c r="AC46" t="s">
        <v>1181</v>
      </c>
      <c r="AD46" t="s">
        <v>150</v>
      </c>
      <c r="AE46" t="s">
        <v>1182</v>
      </c>
      <c r="AF46" t="s">
        <v>74</v>
      </c>
      <c r="AG46">
        <v>61</v>
      </c>
      <c r="AH46">
        <v>5</v>
      </c>
      <c r="AI46">
        <v>5</v>
      </c>
      <c r="AJ46">
        <v>0</v>
      </c>
      <c r="AK46">
        <v>25</v>
      </c>
      <c r="AL46" t="s">
        <v>1183</v>
      </c>
      <c r="AM46" t="s">
        <v>1184</v>
      </c>
      <c r="AN46" t="s">
        <v>1185</v>
      </c>
      <c r="AO46" t="s">
        <v>1186</v>
      </c>
      <c r="AP46" t="s">
        <v>1187</v>
      </c>
      <c r="AQ46" t="s">
        <v>74</v>
      </c>
      <c r="AR46" t="s">
        <v>1188</v>
      </c>
      <c r="AS46" t="s">
        <v>1189</v>
      </c>
      <c r="AT46" t="s">
        <v>1190</v>
      </c>
      <c r="AU46">
        <v>2021</v>
      </c>
      <c r="AV46">
        <v>116</v>
      </c>
      <c r="AW46">
        <v>534</v>
      </c>
      <c r="AX46" t="s">
        <v>74</v>
      </c>
      <c r="AY46" t="s">
        <v>74</v>
      </c>
      <c r="AZ46" t="s">
        <v>74</v>
      </c>
      <c r="BA46" t="s">
        <v>74</v>
      </c>
      <c r="BB46">
        <v>546</v>
      </c>
      <c r="BC46">
        <v>557</v>
      </c>
      <c r="BD46" t="s">
        <v>74</v>
      </c>
      <c r="BE46" t="s">
        <v>1191</v>
      </c>
      <c r="BF46" t="str">
        <f>HYPERLINK("http://dx.doi.org/10.1080/01621459.2020.1851696","http://dx.doi.org/10.1080/01621459.2020.1851696")</f>
        <v>http://dx.doi.org/10.1080/01621459.2020.1851696</v>
      </c>
      <c r="BG46" t="s">
        <v>74</v>
      </c>
      <c r="BH46" t="s">
        <v>101</v>
      </c>
      <c r="BI46">
        <v>12</v>
      </c>
      <c r="BJ46" t="s">
        <v>1192</v>
      </c>
      <c r="BK46" t="s">
        <v>103</v>
      </c>
      <c r="BL46" t="s">
        <v>1193</v>
      </c>
      <c r="BM46" t="s">
        <v>1194</v>
      </c>
      <c r="BN46" t="s">
        <v>74</v>
      </c>
      <c r="BO46" t="s">
        <v>1195</v>
      </c>
      <c r="BP46" t="s">
        <v>74</v>
      </c>
      <c r="BQ46" t="s">
        <v>74</v>
      </c>
      <c r="BR46" t="s">
        <v>106</v>
      </c>
      <c r="BS46" t="s">
        <v>1196</v>
      </c>
      <c r="BT46" t="str">
        <f>HYPERLINK("https%3A%2F%2Fwww.webofscience.com%2Fwos%2Fwoscc%2Ffull-record%2FWOS:000608865000001","View Full Record in Web of Science")</f>
        <v>View Full Record in Web of Science</v>
      </c>
    </row>
    <row r="47" spans="1:72" x14ac:dyDescent="0.15">
      <c r="A47" t="s">
        <v>72</v>
      </c>
      <c r="B47" t="s">
        <v>1197</v>
      </c>
      <c r="C47" t="s">
        <v>74</v>
      </c>
      <c r="D47" t="s">
        <v>74</v>
      </c>
      <c r="E47" t="s">
        <v>74</v>
      </c>
      <c r="F47" t="s">
        <v>1198</v>
      </c>
      <c r="G47" t="s">
        <v>74</v>
      </c>
      <c r="H47" t="s">
        <v>74</v>
      </c>
      <c r="I47" t="s">
        <v>1199</v>
      </c>
      <c r="J47" t="s">
        <v>1200</v>
      </c>
      <c r="K47" t="s">
        <v>74</v>
      </c>
      <c r="L47" t="s">
        <v>74</v>
      </c>
      <c r="M47" t="s">
        <v>78</v>
      </c>
      <c r="N47" t="s">
        <v>79</v>
      </c>
      <c r="O47" t="s">
        <v>74</v>
      </c>
      <c r="P47" t="s">
        <v>74</v>
      </c>
      <c r="Q47" t="s">
        <v>74</v>
      </c>
      <c r="R47" t="s">
        <v>74</v>
      </c>
      <c r="S47" t="s">
        <v>74</v>
      </c>
      <c r="T47" t="s">
        <v>1201</v>
      </c>
      <c r="U47" t="s">
        <v>1202</v>
      </c>
      <c r="V47" t="s">
        <v>1203</v>
      </c>
      <c r="W47" t="s">
        <v>1204</v>
      </c>
      <c r="X47" t="s">
        <v>74</v>
      </c>
      <c r="Y47" t="s">
        <v>1205</v>
      </c>
      <c r="Z47" t="s">
        <v>1206</v>
      </c>
      <c r="AA47" t="s">
        <v>74</v>
      </c>
      <c r="AB47" t="s">
        <v>1207</v>
      </c>
      <c r="AC47" t="s">
        <v>1208</v>
      </c>
      <c r="AD47" t="s">
        <v>1208</v>
      </c>
      <c r="AE47" t="s">
        <v>1209</v>
      </c>
      <c r="AF47" t="s">
        <v>74</v>
      </c>
      <c r="AG47">
        <v>52</v>
      </c>
      <c r="AH47">
        <v>3</v>
      </c>
      <c r="AI47">
        <v>3</v>
      </c>
      <c r="AJ47">
        <v>0</v>
      </c>
      <c r="AK47">
        <v>7</v>
      </c>
      <c r="AL47" t="s">
        <v>1210</v>
      </c>
      <c r="AM47" t="s">
        <v>473</v>
      </c>
      <c r="AN47" t="s">
        <v>1211</v>
      </c>
      <c r="AO47" t="s">
        <v>1212</v>
      </c>
      <c r="AP47" t="s">
        <v>1213</v>
      </c>
      <c r="AQ47" t="s">
        <v>74</v>
      </c>
      <c r="AR47" t="s">
        <v>1214</v>
      </c>
      <c r="AS47" t="s">
        <v>1215</v>
      </c>
      <c r="AT47" t="s">
        <v>1102</v>
      </c>
      <c r="AU47">
        <v>2021</v>
      </c>
      <c r="AV47">
        <v>57</v>
      </c>
      <c r="AW47" t="s">
        <v>74</v>
      </c>
      <c r="AX47" t="s">
        <v>74</v>
      </c>
      <c r="AY47" t="s">
        <v>74</v>
      </c>
      <c r="AZ47" t="s">
        <v>74</v>
      </c>
      <c r="BA47" t="s">
        <v>74</v>
      </c>
      <c r="BB47" t="s">
        <v>74</v>
      </c>
      <c r="BC47" t="s">
        <v>74</v>
      </c>
      <c r="BD47" t="s">
        <v>1216</v>
      </c>
      <c r="BE47" t="s">
        <v>1217</v>
      </c>
      <c r="BF47" t="str">
        <f>HYPERLINK("http://dx.doi.org/10.1017/S0032247420000479","http://dx.doi.org/10.1017/S0032247420000479")</f>
        <v>http://dx.doi.org/10.1017/S0032247420000479</v>
      </c>
      <c r="BG47" t="s">
        <v>74</v>
      </c>
      <c r="BH47" t="s">
        <v>74</v>
      </c>
      <c r="BI47">
        <v>10</v>
      </c>
      <c r="BJ47" t="s">
        <v>1218</v>
      </c>
      <c r="BK47" t="s">
        <v>271</v>
      </c>
      <c r="BL47" t="s">
        <v>104</v>
      </c>
      <c r="BM47" t="s">
        <v>1219</v>
      </c>
      <c r="BN47" t="s">
        <v>74</v>
      </c>
      <c r="BO47" t="s">
        <v>1220</v>
      </c>
      <c r="BP47" t="s">
        <v>74</v>
      </c>
      <c r="BQ47" t="s">
        <v>74</v>
      </c>
      <c r="BR47" t="s">
        <v>106</v>
      </c>
      <c r="BS47" t="s">
        <v>1221</v>
      </c>
      <c r="BT47" t="str">
        <f>HYPERLINK("https%3A%2F%2Fwww.webofscience.com%2Fwos%2Fwoscc%2Ffull-record%2FWOS:000608227500001","View Full Record in Web of Science")</f>
        <v>View Full Record in Web of Science</v>
      </c>
    </row>
    <row r="48" spans="1:72" x14ac:dyDescent="0.15">
      <c r="A48" t="s">
        <v>72</v>
      </c>
      <c r="B48" t="s">
        <v>1222</v>
      </c>
      <c r="C48" t="s">
        <v>74</v>
      </c>
      <c r="D48" t="s">
        <v>74</v>
      </c>
      <c r="E48" t="s">
        <v>74</v>
      </c>
      <c r="F48" t="s">
        <v>1223</v>
      </c>
      <c r="G48" t="s">
        <v>74</v>
      </c>
      <c r="H48" t="s">
        <v>74</v>
      </c>
      <c r="I48" t="s">
        <v>1224</v>
      </c>
      <c r="J48" t="s">
        <v>279</v>
      </c>
      <c r="K48" t="s">
        <v>74</v>
      </c>
      <c r="L48" t="s">
        <v>74</v>
      </c>
      <c r="M48" t="s">
        <v>78</v>
      </c>
      <c r="N48" t="s">
        <v>79</v>
      </c>
      <c r="O48" t="s">
        <v>74</v>
      </c>
      <c r="P48" t="s">
        <v>74</v>
      </c>
      <c r="Q48" t="s">
        <v>74</v>
      </c>
      <c r="R48" t="s">
        <v>74</v>
      </c>
      <c r="S48" t="s">
        <v>74</v>
      </c>
      <c r="T48" t="s">
        <v>1225</v>
      </c>
      <c r="U48" t="s">
        <v>74</v>
      </c>
      <c r="V48" t="s">
        <v>1226</v>
      </c>
      <c r="W48" t="s">
        <v>1227</v>
      </c>
      <c r="X48" t="s">
        <v>1228</v>
      </c>
      <c r="Y48" t="s">
        <v>1229</v>
      </c>
      <c r="Z48" t="s">
        <v>1230</v>
      </c>
      <c r="AA48" t="s">
        <v>74</v>
      </c>
      <c r="AB48" t="s">
        <v>74</v>
      </c>
      <c r="AC48" t="s">
        <v>74</v>
      </c>
      <c r="AD48" t="s">
        <v>74</v>
      </c>
      <c r="AE48" t="s">
        <v>74</v>
      </c>
      <c r="AF48" t="s">
        <v>74</v>
      </c>
      <c r="AG48">
        <v>43</v>
      </c>
      <c r="AH48">
        <v>3</v>
      </c>
      <c r="AI48">
        <v>3</v>
      </c>
      <c r="AJ48">
        <v>2</v>
      </c>
      <c r="AK48">
        <v>13</v>
      </c>
      <c r="AL48" t="s">
        <v>92</v>
      </c>
      <c r="AM48" t="s">
        <v>93</v>
      </c>
      <c r="AN48" t="s">
        <v>94</v>
      </c>
      <c r="AO48" t="s">
        <v>290</v>
      </c>
      <c r="AP48" t="s">
        <v>291</v>
      </c>
      <c r="AQ48" t="s">
        <v>74</v>
      </c>
      <c r="AR48" t="s">
        <v>292</v>
      </c>
      <c r="AS48" t="s">
        <v>293</v>
      </c>
      <c r="AT48" t="s">
        <v>424</v>
      </c>
      <c r="AU48">
        <v>2021</v>
      </c>
      <c r="AV48">
        <v>565</v>
      </c>
      <c r="AW48" t="s">
        <v>74</v>
      </c>
      <c r="AX48" t="s">
        <v>74</v>
      </c>
      <c r="AY48" t="s">
        <v>74</v>
      </c>
      <c r="AZ48" t="s">
        <v>74</v>
      </c>
      <c r="BA48" t="s">
        <v>74</v>
      </c>
      <c r="BB48" t="s">
        <v>74</v>
      </c>
      <c r="BC48" t="s">
        <v>74</v>
      </c>
      <c r="BD48">
        <v>110219</v>
      </c>
      <c r="BE48" t="s">
        <v>1231</v>
      </c>
      <c r="BF48" t="str">
        <f>HYPERLINK("http://dx.doi.org/10.1016/j.palaeo.2021.110219","http://dx.doi.org/10.1016/j.palaeo.2021.110219")</f>
        <v>http://dx.doi.org/10.1016/j.palaeo.2021.110219</v>
      </c>
      <c r="BG48" t="s">
        <v>74</v>
      </c>
      <c r="BH48" t="s">
        <v>101</v>
      </c>
      <c r="BI48">
        <v>8</v>
      </c>
      <c r="BJ48" t="s">
        <v>296</v>
      </c>
      <c r="BK48" t="s">
        <v>103</v>
      </c>
      <c r="BL48" t="s">
        <v>297</v>
      </c>
      <c r="BM48" t="s">
        <v>1232</v>
      </c>
      <c r="BN48" t="s">
        <v>74</v>
      </c>
      <c r="BO48" t="s">
        <v>74</v>
      </c>
      <c r="BP48" t="s">
        <v>74</v>
      </c>
      <c r="BQ48" t="s">
        <v>74</v>
      </c>
      <c r="BR48" t="s">
        <v>106</v>
      </c>
      <c r="BS48" t="s">
        <v>1233</v>
      </c>
      <c r="BT48" t="str">
        <f>HYPERLINK("https%3A%2F%2Fwww.webofscience.com%2Fwos%2Fwoscc%2Ffull-record%2FWOS:000636759000009","View Full Record in Web of Science")</f>
        <v>View Full Record in Web of Science</v>
      </c>
    </row>
    <row r="49" spans="1:72" x14ac:dyDescent="0.15">
      <c r="A49" t="s">
        <v>72</v>
      </c>
      <c r="B49" t="s">
        <v>1234</v>
      </c>
      <c r="C49" t="s">
        <v>74</v>
      </c>
      <c r="D49" t="s">
        <v>74</v>
      </c>
      <c r="E49" t="s">
        <v>74</v>
      </c>
      <c r="F49" t="s">
        <v>1235</v>
      </c>
      <c r="G49" t="s">
        <v>74</v>
      </c>
      <c r="H49" t="s">
        <v>74</v>
      </c>
      <c r="I49" t="s">
        <v>1236</v>
      </c>
      <c r="J49" t="s">
        <v>1237</v>
      </c>
      <c r="K49" t="s">
        <v>74</v>
      </c>
      <c r="L49" t="s">
        <v>74</v>
      </c>
      <c r="M49" t="s">
        <v>78</v>
      </c>
      <c r="N49" t="s">
        <v>79</v>
      </c>
      <c r="O49" t="s">
        <v>74</v>
      </c>
      <c r="P49" t="s">
        <v>74</v>
      </c>
      <c r="Q49" t="s">
        <v>74</v>
      </c>
      <c r="R49" t="s">
        <v>74</v>
      </c>
      <c r="S49" t="s">
        <v>74</v>
      </c>
      <c r="T49" t="s">
        <v>1238</v>
      </c>
      <c r="U49" t="s">
        <v>1239</v>
      </c>
      <c r="V49" t="s">
        <v>1240</v>
      </c>
      <c r="W49" t="s">
        <v>1241</v>
      </c>
      <c r="X49" t="s">
        <v>1242</v>
      </c>
      <c r="Y49" t="s">
        <v>1243</v>
      </c>
      <c r="Z49" t="s">
        <v>1244</v>
      </c>
      <c r="AA49" t="s">
        <v>1245</v>
      </c>
      <c r="AB49" t="s">
        <v>1246</v>
      </c>
      <c r="AC49" t="s">
        <v>1247</v>
      </c>
      <c r="AD49" t="s">
        <v>1248</v>
      </c>
      <c r="AE49" t="s">
        <v>1249</v>
      </c>
      <c r="AF49" t="s">
        <v>74</v>
      </c>
      <c r="AG49">
        <v>72</v>
      </c>
      <c r="AH49">
        <v>9</v>
      </c>
      <c r="AI49">
        <v>10</v>
      </c>
      <c r="AJ49">
        <v>4</v>
      </c>
      <c r="AK49">
        <v>52</v>
      </c>
      <c r="AL49" t="s">
        <v>418</v>
      </c>
      <c r="AM49" t="s">
        <v>178</v>
      </c>
      <c r="AN49" t="s">
        <v>419</v>
      </c>
      <c r="AO49" t="s">
        <v>1250</v>
      </c>
      <c r="AP49" t="s">
        <v>1251</v>
      </c>
      <c r="AQ49" t="s">
        <v>74</v>
      </c>
      <c r="AR49" t="s">
        <v>1237</v>
      </c>
      <c r="AS49" t="s">
        <v>1252</v>
      </c>
      <c r="AT49" t="s">
        <v>707</v>
      </c>
      <c r="AU49">
        <v>2021</v>
      </c>
      <c r="AV49">
        <v>272</v>
      </c>
      <c r="AW49" t="s">
        <v>74</v>
      </c>
      <c r="AX49" t="s">
        <v>74</v>
      </c>
      <c r="AY49" t="s">
        <v>74</v>
      </c>
      <c r="AZ49" t="s">
        <v>74</v>
      </c>
      <c r="BA49" t="s">
        <v>74</v>
      </c>
      <c r="BB49" t="s">
        <v>74</v>
      </c>
      <c r="BC49" t="s">
        <v>74</v>
      </c>
      <c r="BD49">
        <v>129645</v>
      </c>
      <c r="BE49" t="s">
        <v>1253</v>
      </c>
      <c r="BF49" t="str">
        <f>HYPERLINK("http://dx.doi.org/10.1016/j.chemosphere.2021.129645","http://dx.doi.org/10.1016/j.chemosphere.2021.129645")</f>
        <v>http://dx.doi.org/10.1016/j.chemosphere.2021.129645</v>
      </c>
      <c r="BG49" t="s">
        <v>74</v>
      </c>
      <c r="BH49" t="s">
        <v>101</v>
      </c>
      <c r="BI49">
        <v>8</v>
      </c>
      <c r="BJ49" t="s">
        <v>102</v>
      </c>
      <c r="BK49" t="s">
        <v>103</v>
      </c>
      <c r="BL49" t="s">
        <v>104</v>
      </c>
      <c r="BM49" t="s">
        <v>1254</v>
      </c>
      <c r="BN49">
        <v>33465615</v>
      </c>
      <c r="BO49" t="s">
        <v>74</v>
      </c>
      <c r="BP49" t="s">
        <v>74</v>
      </c>
      <c r="BQ49" t="s">
        <v>74</v>
      </c>
      <c r="BR49" t="s">
        <v>106</v>
      </c>
      <c r="BS49" t="s">
        <v>1255</v>
      </c>
      <c r="BT49" t="str">
        <f>HYPERLINK("https%3A%2F%2Fwww.webofscience.com%2Fwos%2Fwoscc%2Ffull-record%2FWOS:000635594700046","View Full Record in Web of Science")</f>
        <v>View Full Record in Web of Science</v>
      </c>
    </row>
    <row r="50" spans="1:72" x14ac:dyDescent="0.15">
      <c r="A50" t="s">
        <v>72</v>
      </c>
      <c r="B50" t="s">
        <v>1256</v>
      </c>
      <c r="C50" t="s">
        <v>74</v>
      </c>
      <c r="D50" t="s">
        <v>74</v>
      </c>
      <c r="E50" t="s">
        <v>74</v>
      </c>
      <c r="F50" t="s">
        <v>1257</v>
      </c>
      <c r="G50" t="s">
        <v>74</v>
      </c>
      <c r="H50" t="s">
        <v>74</v>
      </c>
      <c r="I50" t="s">
        <v>1258</v>
      </c>
      <c r="J50" t="s">
        <v>1259</v>
      </c>
      <c r="K50" t="s">
        <v>74</v>
      </c>
      <c r="L50" t="s">
        <v>74</v>
      </c>
      <c r="M50" t="s">
        <v>78</v>
      </c>
      <c r="N50" t="s">
        <v>1260</v>
      </c>
      <c r="O50" t="s">
        <v>74</v>
      </c>
      <c r="P50" t="s">
        <v>74</v>
      </c>
      <c r="Q50" t="s">
        <v>74</v>
      </c>
      <c r="R50" t="s">
        <v>74</v>
      </c>
      <c r="S50" t="s">
        <v>74</v>
      </c>
      <c r="T50" t="s">
        <v>74</v>
      </c>
      <c r="U50" t="s">
        <v>74</v>
      </c>
      <c r="V50" t="s">
        <v>74</v>
      </c>
      <c r="W50" t="s">
        <v>1261</v>
      </c>
      <c r="X50" t="s">
        <v>1262</v>
      </c>
      <c r="Y50" t="s">
        <v>1263</v>
      </c>
      <c r="Z50" t="s">
        <v>1264</v>
      </c>
      <c r="AA50" t="s">
        <v>1265</v>
      </c>
      <c r="AB50" t="s">
        <v>1266</v>
      </c>
      <c r="AC50" t="s">
        <v>74</v>
      </c>
      <c r="AD50" t="s">
        <v>74</v>
      </c>
      <c r="AE50" t="s">
        <v>74</v>
      </c>
      <c r="AF50" t="s">
        <v>74</v>
      </c>
      <c r="AG50">
        <v>1</v>
      </c>
      <c r="AH50">
        <v>0</v>
      </c>
      <c r="AI50">
        <v>0</v>
      </c>
      <c r="AJ50">
        <v>9</v>
      </c>
      <c r="AK50">
        <v>27</v>
      </c>
      <c r="AL50" t="s">
        <v>177</v>
      </c>
      <c r="AM50" t="s">
        <v>178</v>
      </c>
      <c r="AN50" t="s">
        <v>179</v>
      </c>
      <c r="AO50" t="s">
        <v>1267</v>
      </c>
      <c r="AP50" t="s">
        <v>1268</v>
      </c>
      <c r="AQ50" t="s">
        <v>74</v>
      </c>
      <c r="AR50" t="s">
        <v>1269</v>
      </c>
      <c r="AS50" t="s">
        <v>1270</v>
      </c>
      <c r="AT50" t="s">
        <v>374</v>
      </c>
      <c r="AU50">
        <v>2021</v>
      </c>
      <c r="AV50">
        <v>253</v>
      </c>
      <c r="AW50" t="s">
        <v>74</v>
      </c>
      <c r="AX50" t="s">
        <v>74</v>
      </c>
      <c r="AY50" t="s">
        <v>74</v>
      </c>
      <c r="AZ50" t="s">
        <v>74</v>
      </c>
      <c r="BA50" t="s">
        <v>74</v>
      </c>
      <c r="BB50" t="s">
        <v>74</v>
      </c>
      <c r="BC50" t="s">
        <v>74</v>
      </c>
      <c r="BD50">
        <v>108868</v>
      </c>
      <c r="BE50" t="s">
        <v>1271</v>
      </c>
      <c r="BF50" t="str">
        <f>HYPERLINK("http://dx.doi.org/10.1016/j.biocon.2020.108868","http://dx.doi.org/10.1016/j.biocon.2020.108868")</f>
        <v>http://dx.doi.org/10.1016/j.biocon.2020.108868</v>
      </c>
      <c r="BG50" t="s">
        <v>74</v>
      </c>
      <c r="BH50" t="s">
        <v>101</v>
      </c>
      <c r="BI50">
        <v>2</v>
      </c>
      <c r="BJ50" t="s">
        <v>1272</v>
      </c>
      <c r="BK50" t="s">
        <v>103</v>
      </c>
      <c r="BL50" t="s">
        <v>1053</v>
      </c>
      <c r="BM50" t="s">
        <v>1273</v>
      </c>
      <c r="BN50" t="s">
        <v>74</v>
      </c>
      <c r="BO50" t="s">
        <v>74</v>
      </c>
      <c r="BP50" t="s">
        <v>74</v>
      </c>
      <c r="BQ50" t="s">
        <v>74</v>
      </c>
      <c r="BR50" t="s">
        <v>106</v>
      </c>
      <c r="BS50" t="s">
        <v>1274</v>
      </c>
      <c r="BT50" t="str">
        <f>HYPERLINK("https%3A%2F%2Fwww.webofscience.com%2Fwos%2Fwoscc%2Ffull-record%2FWOS:000611989800018","View Full Record in Web of Science")</f>
        <v>View Full Record in Web of Science</v>
      </c>
    </row>
    <row r="51" spans="1:72" x14ac:dyDescent="0.15">
      <c r="A51" t="s">
        <v>72</v>
      </c>
      <c r="B51" t="s">
        <v>1275</v>
      </c>
      <c r="C51" t="s">
        <v>74</v>
      </c>
      <c r="D51" t="s">
        <v>74</v>
      </c>
      <c r="E51" t="s">
        <v>74</v>
      </c>
      <c r="F51" t="s">
        <v>1276</v>
      </c>
      <c r="G51" t="s">
        <v>74</v>
      </c>
      <c r="H51" t="s">
        <v>74</v>
      </c>
      <c r="I51" t="s">
        <v>1277</v>
      </c>
      <c r="J51" t="s">
        <v>1278</v>
      </c>
      <c r="K51" t="s">
        <v>74</v>
      </c>
      <c r="L51" t="s">
        <v>74</v>
      </c>
      <c r="M51" t="s">
        <v>78</v>
      </c>
      <c r="N51" t="s">
        <v>79</v>
      </c>
      <c r="O51" t="s">
        <v>74</v>
      </c>
      <c r="P51" t="s">
        <v>74</v>
      </c>
      <c r="Q51" t="s">
        <v>74</v>
      </c>
      <c r="R51" t="s">
        <v>74</v>
      </c>
      <c r="S51" t="s">
        <v>74</v>
      </c>
      <c r="T51" t="s">
        <v>1279</v>
      </c>
      <c r="U51" t="s">
        <v>1280</v>
      </c>
      <c r="V51" t="s">
        <v>1281</v>
      </c>
      <c r="W51" t="s">
        <v>1282</v>
      </c>
      <c r="X51" t="s">
        <v>1283</v>
      </c>
      <c r="Y51" t="s">
        <v>1284</v>
      </c>
      <c r="Z51" t="s">
        <v>1285</v>
      </c>
      <c r="AA51" t="s">
        <v>1286</v>
      </c>
      <c r="AB51" t="s">
        <v>1287</v>
      </c>
      <c r="AC51" t="s">
        <v>1288</v>
      </c>
      <c r="AD51" t="s">
        <v>1289</v>
      </c>
      <c r="AE51" t="s">
        <v>1290</v>
      </c>
      <c r="AF51" t="s">
        <v>74</v>
      </c>
      <c r="AG51">
        <v>37</v>
      </c>
      <c r="AH51">
        <v>21</v>
      </c>
      <c r="AI51">
        <v>22</v>
      </c>
      <c r="AJ51">
        <v>4</v>
      </c>
      <c r="AK51">
        <v>20</v>
      </c>
      <c r="AL51" t="s">
        <v>1291</v>
      </c>
      <c r="AM51" t="s">
        <v>629</v>
      </c>
      <c r="AN51" t="s">
        <v>1292</v>
      </c>
      <c r="AO51" t="s">
        <v>1293</v>
      </c>
      <c r="AP51" t="s">
        <v>1294</v>
      </c>
      <c r="AQ51" t="s">
        <v>74</v>
      </c>
      <c r="AR51" t="s">
        <v>1295</v>
      </c>
      <c r="AS51" t="s">
        <v>1296</v>
      </c>
      <c r="AT51" t="s">
        <v>1297</v>
      </c>
      <c r="AU51">
        <v>2021</v>
      </c>
      <c r="AV51">
        <v>48</v>
      </c>
      <c r="AW51">
        <v>1</v>
      </c>
      <c r="AX51" t="s">
        <v>74</v>
      </c>
      <c r="AY51" t="s">
        <v>74</v>
      </c>
      <c r="AZ51" t="s">
        <v>74</v>
      </c>
      <c r="BA51" t="s">
        <v>74</v>
      </c>
      <c r="BB51" t="s">
        <v>74</v>
      </c>
      <c r="BC51" t="s">
        <v>74</v>
      </c>
      <c r="BD51" t="s">
        <v>1298</v>
      </c>
      <c r="BE51" t="s">
        <v>1299</v>
      </c>
      <c r="BF51" t="str">
        <f>HYPERLINK("http://dx.doi.org/10.1029/2020GL090866","http://dx.doi.org/10.1029/2020GL090866")</f>
        <v>http://dx.doi.org/10.1029/2020GL090866</v>
      </c>
      <c r="BG51" t="s">
        <v>74</v>
      </c>
      <c r="BH51" t="s">
        <v>74</v>
      </c>
      <c r="BI51">
        <v>9</v>
      </c>
      <c r="BJ51" t="s">
        <v>401</v>
      </c>
      <c r="BK51" t="s">
        <v>103</v>
      </c>
      <c r="BL51" t="s">
        <v>402</v>
      </c>
      <c r="BM51" t="s">
        <v>1300</v>
      </c>
      <c r="BN51" t="s">
        <v>74</v>
      </c>
      <c r="BO51" t="s">
        <v>218</v>
      </c>
      <c r="BP51" t="s">
        <v>74</v>
      </c>
      <c r="BQ51" t="s">
        <v>74</v>
      </c>
      <c r="BR51" t="s">
        <v>106</v>
      </c>
      <c r="BS51" t="s">
        <v>1301</v>
      </c>
      <c r="BT51" t="str">
        <f>HYPERLINK("https%3A%2F%2Fwww.webofscience.com%2Fwos%2Fwoscc%2Ffull-record%2FWOS:000612943500012","View Full Record in Web of Science")</f>
        <v>View Full Record in Web of Science</v>
      </c>
    </row>
    <row r="52" spans="1:72" x14ac:dyDescent="0.15">
      <c r="A52" t="s">
        <v>72</v>
      </c>
      <c r="B52" t="s">
        <v>1302</v>
      </c>
      <c r="C52" t="s">
        <v>74</v>
      </c>
      <c r="D52" t="s">
        <v>74</v>
      </c>
      <c r="E52" t="s">
        <v>74</v>
      </c>
      <c r="F52" t="s">
        <v>1303</v>
      </c>
      <c r="G52" t="s">
        <v>74</v>
      </c>
      <c r="H52" t="s">
        <v>74</v>
      </c>
      <c r="I52" t="s">
        <v>1304</v>
      </c>
      <c r="J52" t="s">
        <v>1278</v>
      </c>
      <c r="K52" t="s">
        <v>74</v>
      </c>
      <c r="L52" t="s">
        <v>74</v>
      </c>
      <c r="M52" t="s">
        <v>78</v>
      </c>
      <c r="N52" t="s">
        <v>79</v>
      </c>
      <c r="O52" t="s">
        <v>74</v>
      </c>
      <c r="P52" t="s">
        <v>74</v>
      </c>
      <c r="Q52" t="s">
        <v>74</v>
      </c>
      <c r="R52" t="s">
        <v>74</v>
      </c>
      <c r="S52" t="s">
        <v>74</v>
      </c>
      <c r="T52" t="s">
        <v>1305</v>
      </c>
      <c r="U52" t="s">
        <v>1306</v>
      </c>
      <c r="V52" t="s">
        <v>1307</v>
      </c>
      <c r="W52" t="s">
        <v>1308</v>
      </c>
      <c r="X52" t="s">
        <v>1309</v>
      </c>
      <c r="Y52" t="s">
        <v>1310</v>
      </c>
      <c r="Z52" t="s">
        <v>1311</v>
      </c>
      <c r="AA52" t="s">
        <v>1312</v>
      </c>
      <c r="AB52" t="s">
        <v>1313</v>
      </c>
      <c r="AC52" t="s">
        <v>1314</v>
      </c>
      <c r="AD52" t="s">
        <v>1315</v>
      </c>
      <c r="AE52" t="s">
        <v>1316</v>
      </c>
      <c r="AF52" t="s">
        <v>74</v>
      </c>
      <c r="AG52">
        <v>75</v>
      </c>
      <c r="AH52">
        <v>9</v>
      </c>
      <c r="AI52">
        <v>10</v>
      </c>
      <c r="AJ52">
        <v>6</v>
      </c>
      <c r="AK52">
        <v>40</v>
      </c>
      <c r="AL52" t="s">
        <v>1291</v>
      </c>
      <c r="AM52" t="s">
        <v>629</v>
      </c>
      <c r="AN52" t="s">
        <v>1292</v>
      </c>
      <c r="AO52" t="s">
        <v>1293</v>
      </c>
      <c r="AP52" t="s">
        <v>1294</v>
      </c>
      <c r="AQ52" t="s">
        <v>74</v>
      </c>
      <c r="AR52" t="s">
        <v>1295</v>
      </c>
      <c r="AS52" t="s">
        <v>1296</v>
      </c>
      <c r="AT52" t="s">
        <v>1297</v>
      </c>
      <c r="AU52">
        <v>2021</v>
      </c>
      <c r="AV52">
        <v>48</v>
      </c>
      <c r="AW52">
        <v>1</v>
      </c>
      <c r="AX52" t="s">
        <v>74</v>
      </c>
      <c r="AY52" t="s">
        <v>74</v>
      </c>
      <c r="AZ52" t="s">
        <v>74</v>
      </c>
      <c r="BA52" t="s">
        <v>74</v>
      </c>
      <c r="BB52" t="s">
        <v>74</v>
      </c>
      <c r="BC52" t="s">
        <v>74</v>
      </c>
      <c r="BD52" t="s">
        <v>1317</v>
      </c>
      <c r="BE52" t="s">
        <v>1318</v>
      </c>
      <c r="BF52" t="str">
        <f>HYPERLINK("http://dx.doi.org/10.1029/2020GL088369","http://dx.doi.org/10.1029/2020GL088369")</f>
        <v>http://dx.doi.org/10.1029/2020GL088369</v>
      </c>
      <c r="BG52" t="s">
        <v>74</v>
      </c>
      <c r="BH52" t="s">
        <v>74</v>
      </c>
      <c r="BI52">
        <v>11</v>
      </c>
      <c r="BJ52" t="s">
        <v>401</v>
      </c>
      <c r="BK52" t="s">
        <v>103</v>
      </c>
      <c r="BL52" t="s">
        <v>402</v>
      </c>
      <c r="BM52" t="s">
        <v>1300</v>
      </c>
      <c r="BN52">
        <v>33518833</v>
      </c>
      <c r="BO52" t="s">
        <v>1319</v>
      </c>
      <c r="BP52" t="s">
        <v>74</v>
      </c>
      <c r="BQ52" t="s">
        <v>74</v>
      </c>
      <c r="BR52" t="s">
        <v>106</v>
      </c>
      <c r="BS52" t="s">
        <v>1320</v>
      </c>
      <c r="BT52" t="str">
        <f>HYPERLINK("https%3A%2F%2Fwww.webofscience.com%2Fwos%2Fwoscc%2Ffull-record%2FWOS:000612943500051","View Full Record in Web of Science")</f>
        <v>View Full Record in Web of Science</v>
      </c>
    </row>
    <row r="53" spans="1:72" x14ac:dyDescent="0.15">
      <c r="A53" t="s">
        <v>72</v>
      </c>
      <c r="B53" t="s">
        <v>1321</v>
      </c>
      <c r="C53" t="s">
        <v>74</v>
      </c>
      <c r="D53" t="s">
        <v>74</v>
      </c>
      <c r="E53" t="s">
        <v>74</v>
      </c>
      <c r="F53" t="s">
        <v>1322</v>
      </c>
      <c r="G53" t="s">
        <v>74</v>
      </c>
      <c r="H53" t="s">
        <v>74</v>
      </c>
      <c r="I53" t="s">
        <v>1323</v>
      </c>
      <c r="J53" t="s">
        <v>1278</v>
      </c>
      <c r="K53" t="s">
        <v>74</v>
      </c>
      <c r="L53" t="s">
        <v>74</v>
      </c>
      <c r="M53" t="s">
        <v>78</v>
      </c>
      <c r="N53" t="s">
        <v>79</v>
      </c>
      <c r="O53" t="s">
        <v>74</v>
      </c>
      <c r="P53" t="s">
        <v>74</v>
      </c>
      <c r="Q53" t="s">
        <v>74</v>
      </c>
      <c r="R53" t="s">
        <v>74</v>
      </c>
      <c r="S53" t="s">
        <v>74</v>
      </c>
      <c r="T53" t="s">
        <v>1324</v>
      </c>
      <c r="U53" t="s">
        <v>1325</v>
      </c>
      <c r="V53" t="s">
        <v>1326</v>
      </c>
      <c r="W53" t="s">
        <v>1327</v>
      </c>
      <c r="X53" t="s">
        <v>1328</v>
      </c>
      <c r="Y53" t="s">
        <v>1329</v>
      </c>
      <c r="Z53" t="s">
        <v>1330</v>
      </c>
      <c r="AA53" t="s">
        <v>1331</v>
      </c>
      <c r="AB53" t="s">
        <v>1332</v>
      </c>
      <c r="AC53" t="s">
        <v>1333</v>
      </c>
      <c r="AD53" t="s">
        <v>1334</v>
      </c>
      <c r="AE53" t="s">
        <v>1335</v>
      </c>
      <c r="AF53" t="s">
        <v>74</v>
      </c>
      <c r="AG53">
        <v>32</v>
      </c>
      <c r="AH53">
        <v>8</v>
      </c>
      <c r="AI53">
        <v>9</v>
      </c>
      <c r="AJ53">
        <v>0</v>
      </c>
      <c r="AK53">
        <v>12</v>
      </c>
      <c r="AL53" t="s">
        <v>1291</v>
      </c>
      <c r="AM53" t="s">
        <v>629</v>
      </c>
      <c r="AN53" t="s">
        <v>1292</v>
      </c>
      <c r="AO53" t="s">
        <v>1293</v>
      </c>
      <c r="AP53" t="s">
        <v>1294</v>
      </c>
      <c r="AQ53" t="s">
        <v>74</v>
      </c>
      <c r="AR53" t="s">
        <v>1295</v>
      </c>
      <c r="AS53" t="s">
        <v>1296</v>
      </c>
      <c r="AT53" t="s">
        <v>1297</v>
      </c>
      <c r="AU53">
        <v>2021</v>
      </c>
      <c r="AV53">
        <v>48</v>
      </c>
      <c r="AW53">
        <v>1</v>
      </c>
      <c r="AX53" t="s">
        <v>74</v>
      </c>
      <c r="AY53" t="s">
        <v>74</v>
      </c>
      <c r="AZ53" t="s">
        <v>74</v>
      </c>
      <c r="BA53" t="s">
        <v>74</v>
      </c>
      <c r="BB53" t="s">
        <v>74</v>
      </c>
      <c r="BC53" t="s">
        <v>74</v>
      </c>
      <c r="BD53" t="s">
        <v>1336</v>
      </c>
      <c r="BE53" t="s">
        <v>1337</v>
      </c>
      <c r="BF53" t="str">
        <f>HYPERLINK("http://dx.doi.org/10.1029/2020GL090961","http://dx.doi.org/10.1029/2020GL090961")</f>
        <v>http://dx.doi.org/10.1029/2020GL090961</v>
      </c>
      <c r="BG53" t="s">
        <v>74</v>
      </c>
      <c r="BH53" t="s">
        <v>74</v>
      </c>
      <c r="BI53">
        <v>10</v>
      </c>
      <c r="BJ53" t="s">
        <v>401</v>
      </c>
      <c r="BK53" t="s">
        <v>103</v>
      </c>
      <c r="BL53" t="s">
        <v>402</v>
      </c>
      <c r="BM53" t="s">
        <v>1300</v>
      </c>
      <c r="BN53" t="s">
        <v>74</v>
      </c>
      <c r="BO53" t="s">
        <v>74</v>
      </c>
      <c r="BP53" t="s">
        <v>74</v>
      </c>
      <c r="BQ53" t="s">
        <v>74</v>
      </c>
      <c r="BR53" t="s">
        <v>106</v>
      </c>
      <c r="BS53" t="s">
        <v>1338</v>
      </c>
      <c r="BT53" t="str">
        <f>HYPERLINK("https%3A%2F%2Fwww.webofscience.com%2Fwos%2Fwoscc%2Ffull-record%2FWOS:000612943500061","View Full Record in Web of Science")</f>
        <v>View Full Record in Web of Science</v>
      </c>
    </row>
    <row r="54" spans="1:72" x14ac:dyDescent="0.15">
      <c r="A54" t="s">
        <v>72</v>
      </c>
      <c r="B54" t="s">
        <v>1339</v>
      </c>
      <c r="C54" t="s">
        <v>74</v>
      </c>
      <c r="D54" t="s">
        <v>74</v>
      </c>
      <c r="E54" t="s">
        <v>74</v>
      </c>
      <c r="F54" t="s">
        <v>1340</v>
      </c>
      <c r="G54" t="s">
        <v>74</v>
      </c>
      <c r="H54" t="s">
        <v>74</v>
      </c>
      <c r="I54" t="s">
        <v>1341</v>
      </c>
      <c r="J54" t="s">
        <v>1278</v>
      </c>
      <c r="K54" t="s">
        <v>74</v>
      </c>
      <c r="L54" t="s">
        <v>74</v>
      </c>
      <c r="M54" t="s">
        <v>78</v>
      </c>
      <c r="N54" t="s">
        <v>79</v>
      </c>
      <c r="O54" t="s">
        <v>74</v>
      </c>
      <c r="P54" t="s">
        <v>74</v>
      </c>
      <c r="Q54" t="s">
        <v>74</v>
      </c>
      <c r="R54" t="s">
        <v>74</v>
      </c>
      <c r="S54" t="s">
        <v>74</v>
      </c>
      <c r="T54" t="s">
        <v>1342</v>
      </c>
      <c r="U54" t="s">
        <v>1343</v>
      </c>
      <c r="V54" t="s">
        <v>1344</v>
      </c>
      <c r="W54" t="s">
        <v>1345</v>
      </c>
      <c r="X54" t="s">
        <v>1346</v>
      </c>
      <c r="Y54" t="s">
        <v>1347</v>
      </c>
      <c r="Z54" t="s">
        <v>1348</v>
      </c>
      <c r="AA54" t="s">
        <v>1349</v>
      </c>
      <c r="AB54" t="s">
        <v>1350</v>
      </c>
      <c r="AC54" t="s">
        <v>1351</v>
      </c>
      <c r="AD54" t="s">
        <v>1352</v>
      </c>
      <c r="AE54" t="s">
        <v>1353</v>
      </c>
      <c r="AF54" t="s">
        <v>74</v>
      </c>
      <c r="AG54">
        <v>30</v>
      </c>
      <c r="AH54">
        <v>10</v>
      </c>
      <c r="AI54">
        <v>10</v>
      </c>
      <c r="AJ54">
        <v>0</v>
      </c>
      <c r="AK54">
        <v>0</v>
      </c>
      <c r="AL54" t="s">
        <v>1291</v>
      </c>
      <c r="AM54" t="s">
        <v>629</v>
      </c>
      <c r="AN54" t="s">
        <v>1292</v>
      </c>
      <c r="AO54" t="s">
        <v>1293</v>
      </c>
      <c r="AP54" t="s">
        <v>1294</v>
      </c>
      <c r="AQ54" t="s">
        <v>74</v>
      </c>
      <c r="AR54" t="s">
        <v>1295</v>
      </c>
      <c r="AS54" t="s">
        <v>1296</v>
      </c>
      <c r="AT54" t="s">
        <v>1297</v>
      </c>
      <c r="AU54">
        <v>2021</v>
      </c>
      <c r="AV54">
        <v>48</v>
      </c>
      <c r="AW54">
        <v>1</v>
      </c>
      <c r="AX54" t="s">
        <v>74</v>
      </c>
      <c r="AY54" t="s">
        <v>74</v>
      </c>
      <c r="AZ54" t="s">
        <v>74</v>
      </c>
      <c r="BA54" t="s">
        <v>74</v>
      </c>
      <c r="BB54" t="s">
        <v>74</v>
      </c>
      <c r="BC54" t="s">
        <v>74</v>
      </c>
      <c r="BD54" t="s">
        <v>1354</v>
      </c>
      <c r="BE54" t="s">
        <v>1355</v>
      </c>
      <c r="BF54" t="str">
        <f>HYPERLINK("http://dx.doi.org/10.1029/2020GL089962","http://dx.doi.org/10.1029/2020GL089962")</f>
        <v>http://dx.doi.org/10.1029/2020GL089962</v>
      </c>
      <c r="BG54" t="s">
        <v>74</v>
      </c>
      <c r="BH54" t="s">
        <v>74</v>
      </c>
      <c r="BI54">
        <v>10</v>
      </c>
      <c r="BJ54" t="s">
        <v>401</v>
      </c>
      <c r="BK54" t="s">
        <v>103</v>
      </c>
      <c r="BL54" t="s">
        <v>402</v>
      </c>
      <c r="BM54" t="s">
        <v>1300</v>
      </c>
      <c r="BN54" t="s">
        <v>74</v>
      </c>
      <c r="BO54" t="s">
        <v>1356</v>
      </c>
      <c r="BP54" t="s">
        <v>74</v>
      </c>
      <c r="BQ54" t="s">
        <v>74</v>
      </c>
      <c r="BR54" t="s">
        <v>106</v>
      </c>
      <c r="BS54" t="s">
        <v>1357</v>
      </c>
      <c r="BT54" t="str">
        <f>HYPERLINK("https%3A%2F%2Fwww.webofscience.com%2Fwos%2Fwoscc%2Ffull-record%2FWOS:000612943500032","View Full Record in Web of Science")</f>
        <v>View Full Record in Web of Science</v>
      </c>
    </row>
    <row r="55" spans="1:72" x14ac:dyDescent="0.15">
      <c r="A55" t="s">
        <v>72</v>
      </c>
      <c r="B55" t="s">
        <v>1358</v>
      </c>
      <c r="C55" t="s">
        <v>74</v>
      </c>
      <c r="D55" t="s">
        <v>74</v>
      </c>
      <c r="E55" t="s">
        <v>74</v>
      </c>
      <c r="F55" t="s">
        <v>1359</v>
      </c>
      <c r="G55" t="s">
        <v>74</v>
      </c>
      <c r="H55" t="s">
        <v>74</v>
      </c>
      <c r="I55" t="s">
        <v>1360</v>
      </c>
      <c r="J55" t="s">
        <v>1278</v>
      </c>
      <c r="K55" t="s">
        <v>74</v>
      </c>
      <c r="L55" t="s">
        <v>74</v>
      </c>
      <c r="M55" t="s">
        <v>78</v>
      </c>
      <c r="N55" t="s">
        <v>79</v>
      </c>
      <c r="O55" t="s">
        <v>74</v>
      </c>
      <c r="P55" t="s">
        <v>74</v>
      </c>
      <c r="Q55" t="s">
        <v>74</v>
      </c>
      <c r="R55" t="s">
        <v>74</v>
      </c>
      <c r="S55" t="s">
        <v>74</v>
      </c>
      <c r="T55" t="s">
        <v>1361</v>
      </c>
      <c r="U55" t="s">
        <v>1362</v>
      </c>
      <c r="V55" t="s">
        <v>1363</v>
      </c>
      <c r="W55" t="s">
        <v>1364</v>
      </c>
      <c r="X55" t="s">
        <v>1365</v>
      </c>
      <c r="Y55" t="s">
        <v>1366</v>
      </c>
      <c r="Z55" t="s">
        <v>1367</v>
      </c>
      <c r="AA55" t="s">
        <v>1368</v>
      </c>
      <c r="AB55" t="s">
        <v>1369</v>
      </c>
      <c r="AC55" t="s">
        <v>1370</v>
      </c>
      <c r="AD55" t="s">
        <v>1371</v>
      </c>
      <c r="AE55" t="s">
        <v>1372</v>
      </c>
      <c r="AF55" t="s">
        <v>74</v>
      </c>
      <c r="AG55">
        <v>39</v>
      </c>
      <c r="AH55">
        <v>8</v>
      </c>
      <c r="AI55">
        <v>8</v>
      </c>
      <c r="AJ55">
        <v>1</v>
      </c>
      <c r="AK55">
        <v>35</v>
      </c>
      <c r="AL55" t="s">
        <v>1291</v>
      </c>
      <c r="AM55" t="s">
        <v>629</v>
      </c>
      <c r="AN55" t="s">
        <v>1292</v>
      </c>
      <c r="AO55" t="s">
        <v>1293</v>
      </c>
      <c r="AP55" t="s">
        <v>1294</v>
      </c>
      <c r="AQ55" t="s">
        <v>74</v>
      </c>
      <c r="AR55" t="s">
        <v>1295</v>
      </c>
      <c r="AS55" t="s">
        <v>1296</v>
      </c>
      <c r="AT55" t="s">
        <v>1297</v>
      </c>
      <c r="AU55">
        <v>2021</v>
      </c>
      <c r="AV55">
        <v>48</v>
      </c>
      <c r="AW55">
        <v>1</v>
      </c>
      <c r="AX55" t="s">
        <v>74</v>
      </c>
      <c r="AY55" t="s">
        <v>74</v>
      </c>
      <c r="AZ55" t="s">
        <v>74</v>
      </c>
      <c r="BA55" t="s">
        <v>74</v>
      </c>
      <c r="BB55" t="s">
        <v>74</v>
      </c>
      <c r="BC55" t="s">
        <v>74</v>
      </c>
      <c r="BD55" t="s">
        <v>1373</v>
      </c>
      <c r="BE55" t="s">
        <v>1374</v>
      </c>
      <c r="BF55" t="str">
        <f>HYPERLINK("http://dx.doi.org/10.1029/2020GL090810","http://dx.doi.org/10.1029/2020GL090810")</f>
        <v>http://dx.doi.org/10.1029/2020GL090810</v>
      </c>
      <c r="BG55" t="s">
        <v>74</v>
      </c>
      <c r="BH55" t="s">
        <v>74</v>
      </c>
      <c r="BI55">
        <v>10</v>
      </c>
      <c r="BJ55" t="s">
        <v>401</v>
      </c>
      <c r="BK55" t="s">
        <v>103</v>
      </c>
      <c r="BL55" t="s">
        <v>402</v>
      </c>
      <c r="BM55" t="s">
        <v>1300</v>
      </c>
      <c r="BN55" t="s">
        <v>74</v>
      </c>
      <c r="BO55" t="s">
        <v>74</v>
      </c>
      <c r="BP55" t="s">
        <v>74</v>
      </c>
      <c r="BQ55" t="s">
        <v>74</v>
      </c>
      <c r="BR55" t="s">
        <v>106</v>
      </c>
      <c r="BS55" t="s">
        <v>1375</v>
      </c>
      <c r="BT55" t="str">
        <f>HYPERLINK("https%3A%2F%2Fwww.webofscience.com%2Fwos%2Fwoscc%2Ffull-record%2FWOS:000612943500006","View Full Record in Web of Science")</f>
        <v>View Full Record in Web of Science</v>
      </c>
    </row>
    <row r="56" spans="1:72" x14ac:dyDescent="0.15">
      <c r="A56" t="s">
        <v>72</v>
      </c>
      <c r="B56" t="s">
        <v>1376</v>
      </c>
      <c r="C56" t="s">
        <v>74</v>
      </c>
      <c r="D56" t="s">
        <v>74</v>
      </c>
      <c r="E56" t="s">
        <v>74</v>
      </c>
      <c r="F56" t="s">
        <v>1377</v>
      </c>
      <c r="G56" t="s">
        <v>74</v>
      </c>
      <c r="H56" t="s">
        <v>74</v>
      </c>
      <c r="I56" t="s">
        <v>1378</v>
      </c>
      <c r="J56" t="s">
        <v>1379</v>
      </c>
      <c r="K56" t="s">
        <v>74</v>
      </c>
      <c r="L56" t="s">
        <v>74</v>
      </c>
      <c r="M56" t="s">
        <v>78</v>
      </c>
      <c r="N56" t="s">
        <v>79</v>
      </c>
      <c r="O56" t="s">
        <v>74</v>
      </c>
      <c r="P56" t="s">
        <v>74</v>
      </c>
      <c r="Q56" t="s">
        <v>74</v>
      </c>
      <c r="R56" t="s">
        <v>74</v>
      </c>
      <c r="S56" t="s">
        <v>74</v>
      </c>
      <c r="T56" t="s">
        <v>1380</v>
      </c>
      <c r="U56" t="s">
        <v>1381</v>
      </c>
      <c r="V56" t="s">
        <v>1382</v>
      </c>
      <c r="W56" t="s">
        <v>1383</v>
      </c>
      <c r="X56" t="s">
        <v>1384</v>
      </c>
      <c r="Y56" t="s">
        <v>1385</v>
      </c>
      <c r="Z56" t="s">
        <v>1386</v>
      </c>
      <c r="AA56" t="s">
        <v>1387</v>
      </c>
      <c r="AB56" t="s">
        <v>1388</v>
      </c>
      <c r="AC56" t="s">
        <v>1389</v>
      </c>
      <c r="AD56" t="s">
        <v>1390</v>
      </c>
      <c r="AE56" t="s">
        <v>1391</v>
      </c>
      <c r="AF56" t="s">
        <v>74</v>
      </c>
      <c r="AG56">
        <v>56</v>
      </c>
      <c r="AH56">
        <v>24</v>
      </c>
      <c r="AI56">
        <v>24</v>
      </c>
      <c r="AJ56">
        <v>1</v>
      </c>
      <c r="AK56">
        <v>11</v>
      </c>
      <c r="AL56" t="s">
        <v>1291</v>
      </c>
      <c r="AM56" t="s">
        <v>629</v>
      </c>
      <c r="AN56" t="s">
        <v>1292</v>
      </c>
      <c r="AO56" t="s">
        <v>1392</v>
      </c>
      <c r="AP56" t="s">
        <v>1393</v>
      </c>
      <c r="AQ56" t="s">
        <v>74</v>
      </c>
      <c r="AR56" t="s">
        <v>1394</v>
      </c>
      <c r="AS56" t="s">
        <v>1395</v>
      </c>
      <c r="AT56" t="s">
        <v>1297</v>
      </c>
      <c r="AU56">
        <v>2021</v>
      </c>
      <c r="AV56">
        <v>126</v>
      </c>
      <c r="AW56">
        <v>1</v>
      </c>
      <c r="AX56" t="s">
        <v>74</v>
      </c>
      <c r="AY56" t="s">
        <v>74</v>
      </c>
      <c r="AZ56" t="s">
        <v>74</v>
      </c>
      <c r="BA56" t="s">
        <v>74</v>
      </c>
      <c r="BB56" t="s">
        <v>74</v>
      </c>
      <c r="BC56" t="s">
        <v>74</v>
      </c>
      <c r="BD56" t="s">
        <v>1396</v>
      </c>
      <c r="BE56" t="s">
        <v>1397</v>
      </c>
      <c r="BF56" t="str">
        <f>HYPERLINK("http://dx.doi.org/10.1029/2020JD033904","http://dx.doi.org/10.1029/2020JD033904")</f>
        <v>http://dx.doi.org/10.1029/2020JD033904</v>
      </c>
      <c r="BG56" t="s">
        <v>74</v>
      </c>
      <c r="BH56" t="s">
        <v>74</v>
      </c>
      <c r="BI56">
        <v>25</v>
      </c>
      <c r="BJ56" t="s">
        <v>687</v>
      </c>
      <c r="BK56" t="s">
        <v>103</v>
      </c>
      <c r="BL56" t="s">
        <v>687</v>
      </c>
      <c r="BM56" t="s">
        <v>1398</v>
      </c>
      <c r="BN56" t="s">
        <v>74</v>
      </c>
      <c r="BO56" t="s">
        <v>1399</v>
      </c>
      <c r="BP56" t="s">
        <v>74</v>
      </c>
      <c r="BQ56" t="s">
        <v>74</v>
      </c>
      <c r="BR56" t="s">
        <v>106</v>
      </c>
      <c r="BS56" t="s">
        <v>1400</v>
      </c>
      <c r="BT56" t="str">
        <f>HYPERLINK("https%3A%2F%2Fwww.webofscience.com%2Fwos%2Fwoscc%2Ffull-record%2FWOS:000616529300021","View Full Record in Web of Science")</f>
        <v>View Full Record in Web of Science</v>
      </c>
    </row>
    <row r="57" spans="1:72" x14ac:dyDescent="0.15">
      <c r="A57" t="s">
        <v>72</v>
      </c>
      <c r="B57" t="s">
        <v>1401</v>
      </c>
      <c r="C57" t="s">
        <v>74</v>
      </c>
      <c r="D57" t="s">
        <v>74</v>
      </c>
      <c r="E57" t="s">
        <v>74</v>
      </c>
      <c r="F57" t="s">
        <v>1402</v>
      </c>
      <c r="G57" t="s">
        <v>74</v>
      </c>
      <c r="H57" t="s">
        <v>74</v>
      </c>
      <c r="I57" t="s">
        <v>1403</v>
      </c>
      <c r="J57" t="s">
        <v>1237</v>
      </c>
      <c r="K57" t="s">
        <v>74</v>
      </c>
      <c r="L57" t="s">
        <v>74</v>
      </c>
      <c r="M57" t="s">
        <v>78</v>
      </c>
      <c r="N57" t="s">
        <v>79</v>
      </c>
      <c r="O57" t="s">
        <v>74</v>
      </c>
      <c r="P57" t="s">
        <v>74</v>
      </c>
      <c r="Q57" t="s">
        <v>74</v>
      </c>
      <c r="R57" t="s">
        <v>74</v>
      </c>
      <c r="S57" t="s">
        <v>74</v>
      </c>
      <c r="T57" t="s">
        <v>1404</v>
      </c>
      <c r="U57" t="s">
        <v>1405</v>
      </c>
      <c r="V57" t="s">
        <v>1406</v>
      </c>
      <c r="W57" t="s">
        <v>1407</v>
      </c>
      <c r="X57" t="s">
        <v>1408</v>
      </c>
      <c r="Y57" t="s">
        <v>1409</v>
      </c>
      <c r="Z57" t="s">
        <v>1410</v>
      </c>
      <c r="AA57" t="s">
        <v>1411</v>
      </c>
      <c r="AB57" t="s">
        <v>1412</v>
      </c>
      <c r="AC57" t="s">
        <v>1413</v>
      </c>
      <c r="AD57" t="s">
        <v>1414</v>
      </c>
      <c r="AE57" t="s">
        <v>1415</v>
      </c>
      <c r="AF57" t="s">
        <v>74</v>
      </c>
      <c r="AG57">
        <v>57</v>
      </c>
      <c r="AH57">
        <v>18</v>
      </c>
      <c r="AI57">
        <v>18</v>
      </c>
      <c r="AJ57">
        <v>15</v>
      </c>
      <c r="AK57">
        <v>131</v>
      </c>
      <c r="AL57" t="s">
        <v>418</v>
      </c>
      <c r="AM57" t="s">
        <v>178</v>
      </c>
      <c r="AN57" t="s">
        <v>419</v>
      </c>
      <c r="AO57" t="s">
        <v>1250</v>
      </c>
      <c r="AP57" t="s">
        <v>1251</v>
      </c>
      <c r="AQ57" t="s">
        <v>74</v>
      </c>
      <c r="AR57" t="s">
        <v>1237</v>
      </c>
      <c r="AS57" t="s">
        <v>1252</v>
      </c>
      <c r="AT57" t="s">
        <v>347</v>
      </c>
      <c r="AU57">
        <v>2021</v>
      </c>
      <c r="AV57">
        <v>267</v>
      </c>
      <c r="AW57" t="s">
        <v>74</v>
      </c>
      <c r="AX57" t="s">
        <v>74</v>
      </c>
      <c r="AY57" t="s">
        <v>74</v>
      </c>
      <c r="AZ57" t="s">
        <v>74</v>
      </c>
      <c r="BA57" t="s">
        <v>74</v>
      </c>
      <c r="BB57" t="s">
        <v>74</v>
      </c>
      <c r="BC57" t="s">
        <v>74</v>
      </c>
      <c r="BD57">
        <v>128859</v>
      </c>
      <c r="BE57" t="s">
        <v>1416</v>
      </c>
      <c r="BF57" t="str">
        <f>HYPERLINK("http://dx.doi.org/10.1016/j.chemosphere.2020.128859","http://dx.doi.org/10.1016/j.chemosphere.2020.128859")</f>
        <v>http://dx.doi.org/10.1016/j.chemosphere.2020.128859</v>
      </c>
      <c r="BG57" t="s">
        <v>74</v>
      </c>
      <c r="BH57" t="s">
        <v>101</v>
      </c>
      <c r="BI57">
        <v>8</v>
      </c>
      <c r="BJ57" t="s">
        <v>102</v>
      </c>
      <c r="BK57" t="s">
        <v>103</v>
      </c>
      <c r="BL57" t="s">
        <v>104</v>
      </c>
      <c r="BM57" t="s">
        <v>1417</v>
      </c>
      <c r="BN57">
        <v>33176912</v>
      </c>
      <c r="BO57" t="s">
        <v>74</v>
      </c>
      <c r="BP57" t="s">
        <v>74</v>
      </c>
      <c r="BQ57" t="s">
        <v>74</v>
      </c>
      <c r="BR57" t="s">
        <v>106</v>
      </c>
      <c r="BS57" t="s">
        <v>1418</v>
      </c>
      <c r="BT57" t="str">
        <f>HYPERLINK("https%3A%2F%2Fwww.webofscience.com%2Fwos%2Fwoscc%2Ffull-record%2FWOS:000608802100005","View Full Record in Web of Science")</f>
        <v>View Full Record in Web of Science</v>
      </c>
    </row>
    <row r="58" spans="1:72" x14ac:dyDescent="0.15">
      <c r="A58" t="s">
        <v>72</v>
      </c>
      <c r="B58" t="s">
        <v>1419</v>
      </c>
      <c r="C58" t="s">
        <v>74</v>
      </c>
      <c r="D58" t="s">
        <v>74</v>
      </c>
      <c r="E58" t="s">
        <v>74</v>
      </c>
      <c r="F58" t="s">
        <v>1420</v>
      </c>
      <c r="G58" t="s">
        <v>74</v>
      </c>
      <c r="H58" t="s">
        <v>74</v>
      </c>
      <c r="I58" t="s">
        <v>1421</v>
      </c>
      <c r="J58" t="s">
        <v>1422</v>
      </c>
      <c r="K58" t="s">
        <v>74</v>
      </c>
      <c r="L58" t="s">
        <v>74</v>
      </c>
      <c r="M58" t="s">
        <v>78</v>
      </c>
      <c r="N58" t="s">
        <v>79</v>
      </c>
      <c r="O58" t="s">
        <v>74</v>
      </c>
      <c r="P58" t="s">
        <v>74</v>
      </c>
      <c r="Q58" t="s">
        <v>74</v>
      </c>
      <c r="R58" t="s">
        <v>74</v>
      </c>
      <c r="S58" t="s">
        <v>74</v>
      </c>
      <c r="T58" t="s">
        <v>1423</v>
      </c>
      <c r="U58" t="s">
        <v>1424</v>
      </c>
      <c r="V58" t="s">
        <v>1425</v>
      </c>
      <c r="W58" t="s">
        <v>1426</v>
      </c>
      <c r="X58" t="s">
        <v>1427</v>
      </c>
      <c r="Y58" t="s">
        <v>1428</v>
      </c>
      <c r="Z58" t="s">
        <v>1429</v>
      </c>
      <c r="AA58" t="s">
        <v>1430</v>
      </c>
      <c r="AB58" t="s">
        <v>1431</v>
      </c>
      <c r="AC58" t="s">
        <v>1432</v>
      </c>
      <c r="AD58" t="s">
        <v>1433</v>
      </c>
      <c r="AE58" t="s">
        <v>1434</v>
      </c>
      <c r="AF58" t="s">
        <v>74</v>
      </c>
      <c r="AG58">
        <v>151</v>
      </c>
      <c r="AH58">
        <v>4</v>
      </c>
      <c r="AI58">
        <v>4</v>
      </c>
      <c r="AJ58">
        <v>0</v>
      </c>
      <c r="AK58">
        <v>5</v>
      </c>
      <c r="AL58" t="s">
        <v>92</v>
      </c>
      <c r="AM58" t="s">
        <v>93</v>
      </c>
      <c r="AN58" t="s">
        <v>94</v>
      </c>
      <c r="AO58" t="s">
        <v>1435</v>
      </c>
      <c r="AP58" t="s">
        <v>1436</v>
      </c>
      <c r="AQ58" t="s">
        <v>74</v>
      </c>
      <c r="AR58" t="s">
        <v>1437</v>
      </c>
      <c r="AS58" t="s">
        <v>1438</v>
      </c>
      <c r="AT58" t="s">
        <v>184</v>
      </c>
      <c r="AU58">
        <v>2021</v>
      </c>
      <c r="AV58">
        <v>285</v>
      </c>
      <c r="AW58" t="s">
        <v>74</v>
      </c>
      <c r="AX58" t="s">
        <v>74</v>
      </c>
      <c r="AY58" t="s">
        <v>74</v>
      </c>
      <c r="AZ58" t="s">
        <v>74</v>
      </c>
      <c r="BA58" t="s">
        <v>74</v>
      </c>
      <c r="BB58" t="s">
        <v>74</v>
      </c>
      <c r="BC58" t="s">
        <v>74</v>
      </c>
      <c r="BD58">
        <v>104317</v>
      </c>
      <c r="BE58" t="s">
        <v>1439</v>
      </c>
      <c r="BF58" t="str">
        <f>HYPERLINK("http://dx.doi.org/10.1016/j.revpalbo.2020.104317","http://dx.doi.org/10.1016/j.revpalbo.2020.104317")</f>
        <v>http://dx.doi.org/10.1016/j.revpalbo.2020.104317</v>
      </c>
      <c r="BG58" t="s">
        <v>74</v>
      </c>
      <c r="BH58" t="s">
        <v>101</v>
      </c>
      <c r="BI58">
        <v>16</v>
      </c>
      <c r="BJ58" t="s">
        <v>1440</v>
      </c>
      <c r="BK58" t="s">
        <v>103</v>
      </c>
      <c r="BL58" t="s">
        <v>1440</v>
      </c>
      <c r="BM58" t="s">
        <v>1441</v>
      </c>
      <c r="BN58" t="s">
        <v>74</v>
      </c>
      <c r="BO58" t="s">
        <v>74</v>
      </c>
      <c r="BP58" t="s">
        <v>74</v>
      </c>
      <c r="BQ58" t="s">
        <v>74</v>
      </c>
      <c r="BR58" t="s">
        <v>106</v>
      </c>
      <c r="BS58" t="s">
        <v>1442</v>
      </c>
      <c r="BT58" t="str">
        <f>HYPERLINK("https%3A%2F%2Fwww.webofscience.com%2Fwos%2Fwoscc%2Ffull-record%2FWOS:000608855100002","View Full Record in Web of Science")</f>
        <v>View Full Record in Web of Science</v>
      </c>
    </row>
    <row r="59" spans="1:72" x14ac:dyDescent="0.15">
      <c r="A59" t="s">
        <v>72</v>
      </c>
      <c r="B59" t="s">
        <v>1443</v>
      </c>
      <c r="C59" t="s">
        <v>74</v>
      </c>
      <c r="D59" t="s">
        <v>74</v>
      </c>
      <c r="E59" t="s">
        <v>74</v>
      </c>
      <c r="F59" t="s">
        <v>1444</v>
      </c>
      <c r="G59" t="s">
        <v>74</v>
      </c>
      <c r="H59" t="s">
        <v>74</v>
      </c>
      <c r="I59" t="s">
        <v>1445</v>
      </c>
      <c r="J59" t="s">
        <v>1446</v>
      </c>
      <c r="K59" t="s">
        <v>74</v>
      </c>
      <c r="L59" t="s">
        <v>74</v>
      </c>
      <c r="M59" t="s">
        <v>78</v>
      </c>
      <c r="N59" t="s">
        <v>79</v>
      </c>
      <c r="O59" t="s">
        <v>74</v>
      </c>
      <c r="P59" t="s">
        <v>74</v>
      </c>
      <c r="Q59" t="s">
        <v>74</v>
      </c>
      <c r="R59" t="s">
        <v>74</v>
      </c>
      <c r="S59" t="s">
        <v>74</v>
      </c>
      <c r="T59" t="s">
        <v>1447</v>
      </c>
      <c r="U59" t="s">
        <v>1448</v>
      </c>
      <c r="V59" t="s">
        <v>1449</v>
      </c>
      <c r="W59" t="s">
        <v>1450</v>
      </c>
      <c r="X59" t="s">
        <v>1451</v>
      </c>
      <c r="Y59" t="s">
        <v>1452</v>
      </c>
      <c r="Z59" t="s">
        <v>1453</v>
      </c>
      <c r="AA59" t="s">
        <v>1454</v>
      </c>
      <c r="AB59" t="s">
        <v>1455</v>
      </c>
      <c r="AC59" t="s">
        <v>1456</v>
      </c>
      <c r="AD59" t="s">
        <v>1457</v>
      </c>
      <c r="AE59" t="s">
        <v>1458</v>
      </c>
      <c r="AF59" t="s">
        <v>74</v>
      </c>
      <c r="AG59">
        <v>105</v>
      </c>
      <c r="AH59">
        <v>36</v>
      </c>
      <c r="AI59">
        <v>36</v>
      </c>
      <c r="AJ59">
        <v>11</v>
      </c>
      <c r="AK59">
        <v>59</v>
      </c>
      <c r="AL59" t="s">
        <v>552</v>
      </c>
      <c r="AM59" t="s">
        <v>553</v>
      </c>
      <c r="AN59" t="s">
        <v>554</v>
      </c>
      <c r="AO59" t="s">
        <v>1459</v>
      </c>
      <c r="AP59" t="s">
        <v>1460</v>
      </c>
      <c r="AQ59" t="s">
        <v>74</v>
      </c>
      <c r="AR59" t="s">
        <v>1461</v>
      </c>
      <c r="AS59" t="s">
        <v>1462</v>
      </c>
      <c r="AT59" t="s">
        <v>214</v>
      </c>
      <c r="AU59">
        <v>2021</v>
      </c>
      <c r="AV59">
        <v>27</v>
      </c>
      <c r="AW59">
        <v>8</v>
      </c>
      <c r="AX59" t="s">
        <v>74</v>
      </c>
      <c r="AY59" t="s">
        <v>74</v>
      </c>
      <c r="AZ59" t="s">
        <v>74</v>
      </c>
      <c r="BA59" t="s">
        <v>74</v>
      </c>
      <c r="BB59">
        <v>1662</v>
      </c>
      <c r="BC59">
        <v>1677</v>
      </c>
      <c r="BD59" t="s">
        <v>74</v>
      </c>
      <c r="BE59" t="s">
        <v>1463</v>
      </c>
      <c r="BF59" t="str">
        <f>HYPERLINK("http://dx.doi.org/10.1111/gcb.15496","http://dx.doi.org/10.1111/gcb.15496")</f>
        <v>http://dx.doi.org/10.1111/gcb.15496</v>
      </c>
      <c r="BG59" t="s">
        <v>74</v>
      </c>
      <c r="BH59" t="s">
        <v>101</v>
      </c>
      <c r="BI59">
        <v>16</v>
      </c>
      <c r="BJ59" t="s">
        <v>1272</v>
      </c>
      <c r="BK59" t="s">
        <v>103</v>
      </c>
      <c r="BL59" t="s">
        <v>1053</v>
      </c>
      <c r="BM59" t="s">
        <v>1464</v>
      </c>
      <c r="BN59">
        <v>33342032</v>
      </c>
      <c r="BO59" t="s">
        <v>1465</v>
      </c>
      <c r="BP59" t="s">
        <v>74</v>
      </c>
      <c r="BQ59" t="s">
        <v>74</v>
      </c>
      <c r="BR59" t="s">
        <v>106</v>
      </c>
      <c r="BS59" t="s">
        <v>1466</v>
      </c>
      <c r="BT59" t="str">
        <f>HYPERLINK("https%3A%2F%2Fwww.webofscience.com%2Fwos%2Fwoscc%2Ffull-record%2FWOS:000607851100001","View Full Record in Web of Science")</f>
        <v>View Full Record in Web of Science</v>
      </c>
    </row>
    <row r="60" spans="1:72" x14ac:dyDescent="0.15">
      <c r="A60" t="s">
        <v>72</v>
      </c>
      <c r="B60" t="s">
        <v>1467</v>
      </c>
      <c r="C60" t="s">
        <v>74</v>
      </c>
      <c r="D60" t="s">
        <v>74</v>
      </c>
      <c r="E60" t="s">
        <v>74</v>
      </c>
      <c r="F60" t="s">
        <v>1468</v>
      </c>
      <c r="G60" t="s">
        <v>74</v>
      </c>
      <c r="H60" t="s">
        <v>74</v>
      </c>
      <c r="I60" t="s">
        <v>1469</v>
      </c>
      <c r="J60" t="s">
        <v>77</v>
      </c>
      <c r="K60" t="s">
        <v>74</v>
      </c>
      <c r="L60" t="s">
        <v>74</v>
      </c>
      <c r="M60" t="s">
        <v>78</v>
      </c>
      <c r="N60" t="s">
        <v>79</v>
      </c>
      <c r="O60" t="s">
        <v>74</v>
      </c>
      <c r="P60" t="s">
        <v>74</v>
      </c>
      <c r="Q60" t="s">
        <v>74</v>
      </c>
      <c r="R60" t="s">
        <v>74</v>
      </c>
      <c r="S60" t="s">
        <v>74</v>
      </c>
      <c r="T60" t="s">
        <v>1470</v>
      </c>
      <c r="U60" t="s">
        <v>1471</v>
      </c>
      <c r="V60" t="s">
        <v>1472</v>
      </c>
      <c r="W60" t="s">
        <v>1473</v>
      </c>
      <c r="X60" t="s">
        <v>1474</v>
      </c>
      <c r="Y60" t="s">
        <v>1475</v>
      </c>
      <c r="Z60" t="s">
        <v>1476</v>
      </c>
      <c r="AA60" t="s">
        <v>1477</v>
      </c>
      <c r="AB60" t="s">
        <v>1478</v>
      </c>
      <c r="AC60" t="s">
        <v>1479</v>
      </c>
      <c r="AD60" t="s">
        <v>1480</v>
      </c>
      <c r="AE60" t="s">
        <v>1481</v>
      </c>
      <c r="AF60" t="s">
        <v>74</v>
      </c>
      <c r="AG60">
        <v>101</v>
      </c>
      <c r="AH60">
        <v>4</v>
      </c>
      <c r="AI60">
        <v>4</v>
      </c>
      <c r="AJ60">
        <v>5</v>
      </c>
      <c r="AK60">
        <v>38</v>
      </c>
      <c r="AL60" t="s">
        <v>92</v>
      </c>
      <c r="AM60" t="s">
        <v>93</v>
      </c>
      <c r="AN60" t="s">
        <v>94</v>
      </c>
      <c r="AO60" t="s">
        <v>95</v>
      </c>
      <c r="AP60" t="s">
        <v>96</v>
      </c>
      <c r="AQ60" t="s">
        <v>74</v>
      </c>
      <c r="AR60" t="s">
        <v>97</v>
      </c>
      <c r="AS60" t="s">
        <v>98</v>
      </c>
      <c r="AT60" t="s">
        <v>1482</v>
      </c>
      <c r="AU60">
        <v>2021</v>
      </c>
      <c r="AV60">
        <v>768</v>
      </c>
      <c r="AW60" t="s">
        <v>74</v>
      </c>
      <c r="AX60" t="s">
        <v>74</v>
      </c>
      <c r="AY60" t="s">
        <v>74</v>
      </c>
      <c r="AZ60" t="s">
        <v>74</v>
      </c>
      <c r="BA60" t="s">
        <v>74</v>
      </c>
      <c r="BB60" t="s">
        <v>74</v>
      </c>
      <c r="BC60" t="s">
        <v>74</v>
      </c>
      <c r="BD60">
        <v>144373</v>
      </c>
      <c r="BE60" t="s">
        <v>1483</v>
      </c>
      <c r="BF60" t="str">
        <f>HYPERLINK("http://dx.doi.org/10.1016/j.scitotenv.2020.144373","http://dx.doi.org/10.1016/j.scitotenv.2020.144373")</f>
        <v>http://dx.doi.org/10.1016/j.scitotenv.2020.144373</v>
      </c>
      <c r="BG60" t="s">
        <v>74</v>
      </c>
      <c r="BH60" t="s">
        <v>101</v>
      </c>
      <c r="BI60">
        <v>10</v>
      </c>
      <c r="BJ60" t="s">
        <v>102</v>
      </c>
      <c r="BK60" t="s">
        <v>103</v>
      </c>
      <c r="BL60" t="s">
        <v>104</v>
      </c>
      <c r="BM60" t="s">
        <v>1484</v>
      </c>
      <c r="BN60">
        <v>33454479</v>
      </c>
      <c r="BO60" t="s">
        <v>1485</v>
      </c>
      <c r="BP60" t="s">
        <v>74</v>
      </c>
      <c r="BQ60" t="s">
        <v>74</v>
      </c>
      <c r="BR60" t="s">
        <v>106</v>
      </c>
      <c r="BS60" t="s">
        <v>1486</v>
      </c>
      <c r="BT60" t="str">
        <f>HYPERLINK("https%3A%2F%2Fwww.webofscience.com%2Fwos%2Fwoscc%2Ffull-record%2FWOS:000625384700025","View Full Record in Web of Science")</f>
        <v>View Full Record in Web of Science</v>
      </c>
    </row>
    <row r="61" spans="1:72" x14ac:dyDescent="0.15">
      <c r="A61" t="s">
        <v>72</v>
      </c>
      <c r="B61" t="s">
        <v>1487</v>
      </c>
      <c r="C61" t="s">
        <v>74</v>
      </c>
      <c r="D61" t="s">
        <v>74</v>
      </c>
      <c r="E61" t="s">
        <v>74</v>
      </c>
      <c r="F61" t="s">
        <v>1488</v>
      </c>
      <c r="G61" t="s">
        <v>74</v>
      </c>
      <c r="H61" t="s">
        <v>74</v>
      </c>
      <c r="I61" t="s">
        <v>1489</v>
      </c>
      <c r="J61" t="s">
        <v>1490</v>
      </c>
      <c r="K61" t="s">
        <v>74</v>
      </c>
      <c r="L61" t="s">
        <v>74</v>
      </c>
      <c r="M61" t="s">
        <v>78</v>
      </c>
      <c r="N61" t="s">
        <v>79</v>
      </c>
      <c r="O61" t="s">
        <v>74</v>
      </c>
      <c r="P61" t="s">
        <v>74</v>
      </c>
      <c r="Q61" t="s">
        <v>74</v>
      </c>
      <c r="R61" t="s">
        <v>74</v>
      </c>
      <c r="S61" t="s">
        <v>74</v>
      </c>
      <c r="T61" t="s">
        <v>1491</v>
      </c>
      <c r="U61" t="s">
        <v>1492</v>
      </c>
      <c r="V61" t="s">
        <v>1493</v>
      </c>
      <c r="W61" t="s">
        <v>1494</v>
      </c>
      <c r="X61" t="s">
        <v>1495</v>
      </c>
      <c r="Y61" t="s">
        <v>1496</v>
      </c>
      <c r="Z61" t="s">
        <v>1497</v>
      </c>
      <c r="AA61" t="s">
        <v>1498</v>
      </c>
      <c r="AB61" t="s">
        <v>1499</v>
      </c>
      <c r="AC61" t="s">
        <v>1500</v>
      </c>
      <c r="AD61" t="s">
        <v>1501</v>
      </c>
      <c r="AE61" t="s">
        <v>1502</v>
      </c>
      <c r="AF61" t="s">
        <v>74</v>
      </c>
      <c r="AG61">
        <v>85</v>
      </c>
      <c r="AH61">
        <v>3</v>
      </c>
      <c r="AI61">
        <v>3</v>
      </c>
      <c r="AJ61">
        <v>3</v>
      </c>
      <c r="AK61">
        <v>30</v>
      </c>
      <c r="AL61" t="s">
        <v>92</v>
      </c>
      <c r="AM61" t="s">
        <v>93</v>
      </c>
      <c r="AN61" t="s">
        <v>94</v>
      </c>
      <c r="AO61" t="s">
        <v>1503</v>
      </c>
      <c r="AP61" t="s">
        <v>1504</v>
      </c>
      <c r="AQ61" t="s">
        <v>74</v>
      </c>
      <c r="AR61" t="s">
        <v>1505</v>
      </c>
      <c r="AS61" t="s">
        <v>1506</v>
      </c>
      <c r="AT61" t="s">
        <v>1507</v>
      </c>
      <c r="AU61">
        <v>2021</v>
      </c>
      <c r="AV61">
        <v>440</v>
      </c>
      <c r="AW61" t="s">
        <v>74</v>
      </c>
      <c r="AX61" t="s">
        <v>74</v>
      </c>
      <c r="AY61" t="s">
        <v>74</v>
      </c>
      <c r="AZ61" t="s">
        <v>74</v>
      </c>
      <c r="BA61" t="s">
        <v>74</v>
      </c>
      <c r="BB61" t="s">
        <v>74</v>
      </c>
      <c r="BC61" t="s">
        <v>74</v>
      </c>
      <c r="BD61">
        <v>109352</v>
      </c>
      <c r="BE61" t="s">
        <v>1508</v>
      </c>
      <c r="BF61" t="str">
        <f>HYPERLINK("http://dx.doi.org/10.1016/j.ecolmodel.2020.109352","http://dx.doi.org/10.1016/j.ecolmodel.2020.109352")</f>
        <v>http://dx.doi.org/10.1016/j.ecolmodel.2020.109352</v>
      </c>
      <c r="BG61" t="s">
        <v>74</v>
      </c>
      <c r="BH61" t="s">
        <v>74</v>
      </c>
      <c r="BI61">
        <v>15</v>
      </c>
      <c r="BJ61" t="s">
        <v>1509</v>
      </c>
      <c r="BK61" t="s">
        <v>103</v>
      </c>
      <c r="BL61" t="s">
        <v>104</v>
      </c>
      <c r="BM61" t="s">
        <v>1510</v>
      </c>
      <c r="BN61" t="s">
        <v>74</v>
      </c>
      <c r="BO61" t="s">
        <v>1511</v>
      </c>
      <c r="BP61" t="s">
        <v>74</v>
      </c>
      <c r="BQ61" t="s">
        <v>74</v>
      </c>
      <c r="BR61" t="s">
        <v>106</v>
      </c>
      <c r="BS61" t="s">
        <v>1512</v>
      </c>
      <c r="BT61" t="str">
        <f>HYPERLINK("https%3A%2F%2Fwww.webofscience.com%2Fwos%2Fwoscc%2Ffull-record%2FWOS:000612041700005","View Full Record in Web of Science")</f>
        <v>View Full Record in Web of Science</v>
      </c>
    </row>
    <row r="62" spans="1:72" x14ac:dyDescent="0.15">
      <c r="A62" t="s">
        <v>72</v>
      </c>
      <c r="B62" t="s">
        <v>1513</v>
      </c>
      <c r="C62" t="s">
        <v>74</v>
      </c>
      <c r="D62" t="s">
        <v>74</v>
      </c>
      <c r="E62" t="s">
        <v>74</v>
      </c>
      <c r="F62" t="s">
        <v>1514</v>
      </c>
      <c r="G62" t="s">
        <v>74</v>
      </c>
      <c r="H62" t="s">
        <v>74</v>
      </c>
      <c r="I62" t="s">
        <v>1515</v>
      </c>
      <c r="J62" t="s">
        <v>1516</v>
      </c>
      <c r="K62" t="s">
        <v>74</v>
      </c>
      <c r="L62" t="s">
        <v>74</v>
      </c>
      <c r="M62" t="s">
        <v>78</v>
      </c>
      <c r="N62" t="s">
        <v>79</v>
      </c>
      <c r="O62" t="s">
        <v>74</v>
      </c>
      <c r="P62" t="s">
        <v>74</v>
      </c>
      <c r="Q62" t="s">
        <v>74</v>
      </c>
      <c r="R62" t="s">
        <v>74</v>
      </c>
      <c r="S62" t="s">
        <v>74</v>
      </c>
      <c r="T62" t="s">
        <v>1517</v>
      </c>
      <c r="U62" t="s">
        <v>1518</v>
      </c>
      <c r="V62" t="s">
        <v>1519</v>
      </c>
      <c r="W62" t="s">
        <v>1520</v>
      </c>
      <c r="X62" t="s">
        <v>1521</v>
      </c>
      <c r="Y62" t="s">
        <v>1522</v>
      </c>
      <c r="Z62" t="s">
        <v>1523</v>
      </c>
      <c r="AA62" t="s">
        <v>1524</v>
      </c>
      <c r="AB62" t="s">
        <v>1525</v>
      </c>
      <c r="AC62" t="s">
        <v>1526</v>
      </c>
      <c r="AD62" t="s">
        <v>1527</v>
      </c>
      <c r="AE62" t="s">
        <v>1528</v>
      </c>
      <c r="AF62" t="s">
        <v>74</v>
      </c>
      <c r="AG62">
        <v>214</v>
      </c>
      <c r="AH62">
        <v>7</v>
      </c>
      <c r="AI62">
        <v>7</v>
      </c>
      <c r="AJ62">
        <v>1</v>
      </c>
      <c r="AK62">
        <v>2</v>
      </c>
      <c r="AL62" t="s">
        <v>418</v>
      </c>
      <c r="AM62" t="s">
        <v>178</v>
      </c>
      <c r="AN62" t="s">
        <v>419</v>
      </c>
      <c r="AO62" t="s">
        <v>1529</v>
      </c>
      <c r="AP62" t="s">
        <v>1530</v>
      </c>
      <c r="AQ62" t="s">
        <v>74</v>
      </c>
      <c r="AR62" t="s">
        <v>1531</v>
      </c>
      <c r="AS62" t="s">
        <v>1532</v>
      </c>
      <c r="AT62" t="s">
        <v>1533</v>
      </c>
      <c r="AU62">
        <v>2021</v>
      </c>
      <c r="AV62">
        <v>571</v>
      </c>
      <c r="AW62" t="s">
        <v>74</v>
      </c>
      <c r="AX62" t="s">
        <v>74</v>
      </c>
      <c r="AY62" t="s">
        <v>74</v>
      </c>
      <c r="AZ62" t="s">
        <v>74</v>
      </c>
      <c r="BA62" t="s">
        <v>74</v>
      </c>
      <c r="BB62">
        <v>97</v>
      </c>
      <c r="BC62">
        <v>116</v>
      </c>
      <c r="BD62" t="s">
        <v>74</v>
      </c>
      <c r="BE62" t="s">
        <v>1534</v>
      </c>
      <c r="BF62" t="str">
        <f>HYPERLINK("http://dx.doi.org/10.1016/j.quaint.2020.12.022","http://dx.doi.org/10.1016/j.quaint.2020.12.022")</f>
        <v>http://dx.doi.org/10.1016/j.quaint.2020.12.022</v>
      </c>
      <c r="BG62" t="s">
        <v>74</v>
      </c>
      <c r="BH62" t="s">
        <v>101</v>
      </c>
      <c r="BI62">
        <v>20</v>
      </c>
      <c r="BJ62" t="s">
        <v>156</v>
      </c>
      <c r="BK62" t="s">
        <v>103</v>
      </c>
      <c r="BL62" t="s">
        <v>157</v>
      </c>
      <c r="BM62" t="s">
        <v>1535</v>
      </c>
      <c r="BN62" t="s">
        <v>74</v>
      </c>
      <c r="BO62" t="s">
        <v>74</v>
      </c>
      <c r="BP62" t="s">
        <v>74</v>
      </c>
      <c r="BQ62" t="s">
        <v>74</v>
      </c>
      <c r="BR62" t="s">
        <v>106</v>
      </c>
      <c r="BS62" t="s">
        <v>1536</v>
      </c>
      <c r="BT62" t="str">
        <f>HYPERLINK("https%3A%2F%2Fwww.webofscience.com%2Fwos%2Fwoscc%2Ffull-record%2FWOS:000612120800001","View Full Record in Web of Science")</f>
        <v>View Full Record in Web of Science</v>
      </c>
    </row>
    <row r="63" spans="1:72" x14ac:dyDescent="0.15">
      <c r="A63" t="s">
        <v>72</v>
      </c>
      <c r="B63" t="s">
        <v>1537</v>
      </c>
      <c r="C63" t="s">
        <v>74</v>
      </c>
      <c r="D63" t="s">
        <v>74</v>
      </c>
      <c r="E63" t="s">
        <v>74</v>
      </c>
      <c r="F63" t="s">
        <v>1538</v>
      </c>
      <c r="G63" t="s">
        <v>74</v>
      </c>
      <c r="H63" t="s">
        <v>74</v>
      </c>
      <c r="I63" t="s">
        <v>1539</v>
      </c>
      <c r="J63" t="s">
        <v>487</v>
      </c>
      <c r="K63" t="s">
        <v>74</v>
      </c>
      <c r="L63" t="s">
        <v>74</v>
      </c>
      <c r="M63" t="s">
        <v>78</v>
      </c>
      <c r="N63" t="s">
        <v>79</v>
      </c>
      <c r="O63" t="s">
        <v>74</v>
      </c>
      <c r="P63" t="s">
        <v>74</v>
      </c>
      <c r="Q63" t="s">
        <v>74</v>
      </c>
      <c r="R63" t="s">
        <v>74</v>
      </c>
      <c r="S63" t="s">
        <v>74</v>
      </c>
      <c r="T63" t="s">
        <v>1540</v>
      </c>
      <c r="U63" t="s">
        <v>1541</v>
      </c>
      <c r="V63" t="s">
        <v>1542</v>
      </c>
      <c r="W63" t="s">
        <v>1543</v>
      </c>
      <c r="X63" t="s">
        <v>1544</v>
      </c>
      <c r="Y63" t="s">
        <v>1545</v>
      </c>
      <c r="Z63" t="s">
        <v>1546</v>
      </c>
      <c r="AA63" t="s">
        <v>74</v>
      </c>
      <c r="AB63" t="s">
        <v>74</v>
      </c>
      <c r="AC63" t="s">
        <v>1547</v>
      </c>
      <c r="AD63" t="s">
        <v>1548</v>
      </c>
      <c r="AE63" t="s">
        <v>1549</v>
      </c>
      <c r="AF63" t="s">
        <v>74</v>
      </c>
      <c r="AG63">
        <v>81</v>
      </c>
      <c r="AH63">
        <v>8</v>
      </c>
      <c r="AI63">
        <v>8</v>
      </c>
      <c r="AJ63">
        <v>1</v>
      </c>
      <c r="AK63">
        <v>11</v>
      </c>
      <c r="AL63" t="s">
        <v>500</v>
      </c>
      <c r="AM63" t="s">
        <v>501</v>
      </c>
      <c r="AN63" t="s">
        <v>502</v>
      </c>
      <c r="AO63" t="s">
        <v>74</v>
      </c>
      <c r="AP63" t="s">
        <v>503</v>
      </c>
      <c r="AQ63" t="s">
        <v>74</v>
      </c>
      <c r="AR63" t="s">
        <v>504</v>
      </c>
      <c r="AS63" t="s">
        <v>505</v>
      </c>
      <c r="AT63" t="s">
        <v>1507</v>
      </c>
      <c r="AU63">
        <v>2021</v>
      </c>
      <c r="AV63">
        <v>7</v>
      </c>
      <c r="AW63" t="s">
        <v>74</v>
      </c>
      <c r="AX63" t="s">
        <v>74</v>
      </c>
      <c r="AY63" t="s">
        <v>74</v>
      </c>
      <c r="AZ63" t="s">
        <v>74</v>
      </c>
      <c r="BA63" t="s">
        <v>74</v>
      </c>
      <c r="BB63" t="s">
        <v>74</v>
      </c>
      <c r="BC63" t="s">
        <v>74</v>
      </c>
      <c r="BD63">
        <v>614263</v>
      </c>
      <c r="BE63" t="s">
        <v>1550</v>
      </c>
      <c r="BF63" t="str">
        <f>HYPERLINK("http://dx.doi.org/10.3389/fmars.2020.614263","http://dx.doi.org/10.3389/fmars.2020.614263")</f>
        <v>http://dx.doi.org/10.3389/fmars.2020.614263</v>
      </c>
      <c r="BG63" t="s">
        <v>74</v>
      </c>
      <c r="BH63" t="s">
        <v>74</v>
      </c>
      <c r="BI63">
        <v>17</v>
      </c>
      <c r="BJ63" t="s">
        <v>507</v>
      </c>
      <c r="BK63" t="s">
        <v>103</v>
      </c>
      <c r="BL63" t="s">
        <v>508</v>
      </c>
      <c r="BM63" t="s">
        <v>1551</v>
      </c>
      <c r="BN63" t="s">
        <v>74</v>
      </c>
      <c r="BO63" t="s">
        <v>246</v>
      </c>
      <c r="BP63" t="s">
        <v>74</v>
      </c>
      <c r="BQ63" t="s">
        <v>74</v>
      </c>
      <c r="BR63" t="s">
        <v>106</v>
      </c>
      <c r="BS63" t="s">
        <v>1552</v>
      </c>
      <c r="BT63" t="str">
        <f>HYPERLINK("https%3A%2F%2Fwww.webofscience.com%2Fwos%2Fwoscc%2Ffull-record%2FWOS:000612359000001","View Full Record in Web of Science")</f>
        <v>View Full Record in Web of Science</v>
      </c>
    </row>
    <row r="64" spans="1:72" x14ac:dyDescent="0.15">
      <c r="A64" t="s">
        <v>72</v>
      </c>
      <c r="B64" t="s">
        <v>1553</v>
      </c>
      <c r="C64" t="s">
        <v>74</v>
      </c>
      <c r="D64" t="s">
        <v>74</v>
      </c>
      <c r="E64" t="s">
        <v>74</v>
      </c>
      <c r="F64" t="s">
        <v>1554</v>
      </c>
      <c r="G64" t="s">
        <v>74</v>
      </c>
      <c r="H64" t="s">
        <v>74</v>
      </c>
      <c r="I64" t="s">
        <v>1555</v>
      </c>
      <c r="J64" t="s">
        <v>1556</v>
      </c>
      <c r="K64" t="s">
        <v>74</v>
      </c>
      <c r="L64" t="s">
        <v>74</v>
      </c>
      <c r="M64" t="s">
        <v>78</v>
      </c>
      <c r="N64" t="s">
        <v>79</v>
      </c>
      <c r="O64" t="s">
        <v>74</v>
      </c>
      <c r="P64" t="s">
        <v>74</v>
      </c>
      <c r="Q64" t="s">
        <v>74</v>
      </c>
      <c r="R64" t="s">
        <v>74</v>
      </c>
      <c r="S64" t="s">
        <v>74</v>
      </c>
      <c r="T64" t="s">
        <v>74</v>
      </c>
      <c r="U64" t="s">
        <v>1557</v>
      </c>
      <c r="V64" t="s">
        <v>1558</v>
      </c>
      <c r="W64" t="s">
        <v>1559</v>
      </c>
      <c r="X64" t="s">
        <v>1560</v>
      </c>
      <c r="Y64" t="s">
        <v>1561</v>
      </c>
      <c r="Z64" t="s">
        <v>1562</v>
      </c>
      <c r="AA64" t="s">
        <v>1563</v>
      </c>
      <c r="AB64" t="s">
        <v>1564</v>
      </c>
      <c r="AC64" t="s">
        <v>74</v>
      </c>
      <c r="AD64" t="s">
        <v>74</v>
      </c>
      <c r="AE64" t="s">
        <v>74</v>
      </c>
      <c r="AF64" t="s">
        <v>74</v>
      </c>
      <c r="AG64">
        <v>168</v>
      </c>
      <c r="AH64">
        <v>4</v>
      </c>
      <c r="AI64">
        <v>4</v>
      </c>
      <c r="AJ64">
        <v>3</v>
      </c>
      <c r="AK64">
        <v>18</v>
      </c>
      <c r="AL64" t="s">
        <v>123</v>
      </c>
      <c r="AM64" t="s">
        <v>124</v>
      </c>
      <c r="AN64" t="s">
        <v>125</v>
      </c>
      <c r="AO64" t="s">
        <v>1565</v>
      </c>
      <c r="AP64" t="s">
        <v>1566</v>
      </c>
      <c r="AQ64" t="s">
        <v>74</v>
      </c>
      <c r="AR64" t="s">
        <v>1567</v>
      </c>
      <c r="AS64" t="s">
        <v>1568</v>
      </c>
      <c r="AT64" t="s">
        <v>1507</v>
      </c>
      <c r="AU64">
        <v>2021</v>
      </c>
      <c r="AV64">
        <v>17</v>
      </c>
      <c r="AW64">
        <v>1</v>
      </c>
      <c r="AX64" t="s">
        <v>74</v>
      </c>
      <c r="AY64" t="s">
        <v>74</v>
      </c>
      <c r="AZ64" t="s">
        <v>74</v>
      </c>
      <c r="BA64" t="s">
        <v>74</v>
      </c>
      <c r="BB64">
        <v>171</v>
      </c>
      <c r="BC64">
        <v>201</v>
      </c>
      <c r="BD64" t="s">
        <v>74</v>
      </c>
      <c r="BE64" t="s">
        <v>1569</v>
      </c>
      <c r="BF64" t="str">
        <f>HYPERLINK("http://dx.doi.org/10.5194/cp-17-171-2021","http://dx.doi.org/10.5194/cp-17-171-2021")</f>
        <v>http://dx.doi.org/10.5194/cp-17-171-2021</v>
      </c>
      <c r="BG64" t="s">
        <v>74</v>
      </c>
      <c r="BH64" t="s">
        <v>74</v>
      </c>
      <c r="BI64">
        <v>31</v>
      </c>
      <c r="BJ64" t="s">
        <v>1570</v>
      </c>
      <c r="BK64" t="s">
        <v>103</v>
      </c>
      <c r="BL64" t="s">
        <v>1571</v>
      </c>
      <c r="BM64" t="s">
        <v>1572</v>
      </c>
      <c r="BN64" t="s">
        <v>74</v>
      </c>
      <c r="BO64" t="s">
        <v>917</v>
      </c>
      <c r="BP64" t="s">
        <v>74</v>
      </c>
      <c r="BQ64" t="s">
        <v>74</v>
      </c>
      <c r="BR64" t="s">
        <v>106</v>
      </c>
      <c r="BS64" t="s">
        <v>1573</v>
      </c>
      <c r="BT64" t="str">
        <f>HYPERLINK("https%3A%2F%2Fwww.webofscience.com%2Fwos%2Fwoscc%2Ffull-record%2FWOS:000611361500002","View Full Record in Web of Science")</f>
        <v>View Full Record in Web of Science</v>
      </c>
    </row>
    <row r="65" spans="1:72" x14ac:dyDescent="0.15">
      <c r="A65" t="s">
        <v>72</v>
      </c>
      <c r="B65" t="s">
        <v>1574</v>
      </c>
      <c r="C65" t="s">
        <v>74</v>
      </c>
      <c r="D65" t="s">
        <v>74</v>
      </c>
      <c r="E65" t="s">
        <v>74</v>
      </c>
      <c r="F65" t="s">
        <v>1575</v>
      </c>
      <c r="G65" t="s">
        <v>74</v>
      </c>
      <c r="H65" t="s">
        <v>74</v>
      </c>
      <c r="I65" t="s">
        <v>1576</v>
      </c>
      <c r="J65" t="s">
        <v>1556</v>
      </c>
      <c r="K65" t="s">
        <v>74</v>
      </c>
      <c r="L65" t="s">
        <v>74</v>
      </c>
      <c r="M65" t="s">
        <v>78</v>
      </c>
      <c r="N65" t="s">
        <v>79</v>
      </c>
      <c r="O65" t="s">
        <v>74</v>
      </c>
      <c r="P65" t="s">
        <v>74</v>
      </c>
      <c r="Q65" t="s">
        <v>74</v>
      </c>
      <c r="R65" t="s">
        <v>74</v>
      </c>
      <c r="S65" t="s">
        <v>74</v>
      </c>
      <c r="T65" t="s">
        <v>74</v>
      </c>
      <c r="U65" t="s">
        <v>1577</v>
      </c>
      <c r="V65" t="s">
        <v>1578</v>
      </c>
      <c r="W65" t="s">
        <v>1579</v>
      </c>
      <c r="X65" t="s">
        <v>1580</v>
      </c>
      <c r="Y65" t="s">
        <v>1581</v>
      </c>
      <c r="Z65" t="s">
        <v>1582</v>
      </c>
      <c r="AA65" t="s">
        <v>1583</v>
      </c>
      <c r="AB65" t="s">
        <v>1584</v>
      </c>
      <c r="AC65" t="s">
        <v>1585</v>
      </c>
      <c r="AD65" t="s">
        <v>1586</v>
      </c>
      <c r="AE65" t="s">
        <v>1587</v>
      </c>
      <c r="AF65" t="s">
        <v>74</v>
      </c>
      <c r="AG65">
        <v>106</v>
      </c>
      <c r="AH65">
        <v>69</v>
      </c>
      <c r="AI65">
        <v>75</v>
      </c>
      <c r="AJ65">
        <v>11</v>
      </c>
      <c r="AK65">
        <v>49</v>
      </c>
      <c r="AL65" t="s">
        <v>123</v>
      </c>
      <c r="AM65" t="s">
        <v>124</v>
      </c>
      <c r="AN65" t="s">
        <v>125</v>
      </c>
      <c r="AO65" t="s">
        <v>1565</v>
      </c>
      <c r="AP65" t="s">
        <v>1566</v>
      </c>
      <c r="AQ65" t="s">
        <v>74</v>
      </c>
      <c r="AR65" t="s">
        <v>1567</v>
      </c>
      <c r="AS65" t="s">
        <v>1568</v>
      </c>
      <c r="AT65" t="s">
        <v>1507</v>
      </c>
      <c r="AU65">
        <v>2021</v>
      </c>
      <c r="AV65">
        <v>17</v>
      </c>
      <c r="AW65">
        <v>1</v>
      </c>
      <c r="AX65" t="s">
        <v>74</v>
      </c>
      <c r="AY65" t="s">
        <v>74</v>
      </c>
      <c r="AZ65" t="s">
        <v>74</v>
      </c>
      <c r="BA65" t="s">
        <v>74</v>
      </c>
      <c r="BB65">
        <v>203</v>
      </c>
      <c r="BC65">
        <v>227</v>
      </c>
      <c r="BD65" t="s">
        <v>74</v>
      </c>
      <c r="BE65" t="s">
        <v>1588</v>
      </c>
      <c r="BF65" t="str">
        <f>HYPERLINK("http://dx.doi.org/10.5194/cp-17-203-2021","http://dx.doi.org/10.5194/cp-17-203-2021")</f>
        <v>http://dx.doi.org/10.5194/cp-17-203-2021</v>
      </c>
      <c r="BG65" t="s">
        <v>74</v>
      </c>
      <c r="BH65" t="s">
        <v>74</v>
      </c>
      <c r="BI65">
        <v>25</v>
      </c>
      <c r="BJ65" t="s">
        <v>1570</v>
      </c>
      <c r="BK65" t="s">
        <v>103</v>
      </c>
      <c r="BL65" t="s">
        <v>1571</v>
      </c>
      <c r="BM65" t="s">
        <v>1572</v>
      </c>
      <c r="BN65" t="s">
        <v>74</v>
      </c>
      <c r="BO65" t="s">
        <v>660</v>
      </c>
      <c r="BP65" t="s">
        <v>1589</v>
      </c>
      <c r="BQ65" t="s">
        <v>1590</v>
      </c>
      <c r="BR65" t="s">
        <v>106</v>
      </c>
      <c r="BS65" t="s">
        <v>1591</v>
      </c>
      <c r="BT65" t="str">
        <f>HYPERLINK("https%3A%2F%2Fwww.webofscience.com%2Fwos%2Fwoscc%2Ffull-record%2FWOS:000611361500003","View Full Record in Web of Science")</f>
        <v>View Full Record in Web of Science</v>
      </c>
    </row>
    <row r="66" spans="1:72" x14ac:dyDescent="0.15">
      <c r="A66" t="s">
        <v>72</v>
      </c>
      <c r="B66" t="s">
        <v>1592</v>
      </c>
      <c r="C66" t="s">
        <v>74</v>
      </c>
      <c r="D66" t="s">
        <v>74</v>
      </c>
      <c r="E66" t="s">
        <v>74</v>
      </c>
      <c r="F66" t="s">
        <v>1593</v>
      </c>
      <c r="G66" t="s">
        <v>74</v>
      </c>
      <c r="H66" t="s">
        <v>74</v>
      </c>
      <c r="I66" t="s">
        <v>1594</v>
      </c>
      <c r="J66" t="s">
        <v>111</v>
      </c>
      <c r="K66" t="s">
        <v>74</v>
      </c>
      <c r="L66" t="s">
        <v>74</v>
      </c>
      <c r="M66" t="s">
        <v>78</v>
      </c>
      <c r="N66" t="s">
        <v>79</v>
      </c>
      <c r="O66" t="s">
        <v>74</v>
      </c>
      <c r="P66" t="s">
        <v>74</v>
      </c>
      <c r="Q66" t="s">
        <v>74</v>
      </c>
      <c r="R66" t="s">
        <v>74</v>
      </c>
      <c r="S66" t="s">
        <v>74</v>
      </c>
      <c r="T66" t="s">
        <v>74</v>
      </c>
      <c r="U66" t="s">
        <v>1595</v>
      </c>
      <c r="V66" t="s">
        <v>1596</v>
      </c>
      <c r="W66" t="s">
        <v>1597</v>
      </c>
      <c r="X66" t="s">
        <v>1598</v>
      </c>
      <c r="Y66" t="s">
        <v>1599</v>
      </c>
      <c r="Z66" t="s">
        <v>1600</v>
      </c>
      <c r="AA66" t="s">
        <v>1601</v>
      </c>
      <c r="AB66" t="s">
        <v>1602</v>
      </c>
      <c r="AC66" t="s">
        <v>1603</v>
      </c>
      <c r="AD66" t="s">
        <v>1604</v>
      </c>
      <c r="AE66" t="s">
        <v>1605</v>
      </c>
      <c r="AF66" t="s">
        <v>74</v>
      </c>
      <c r="AG66">
        <v>28</v>
      </c>
      <c r="AH66">
        <v>4</v>
      </c>
      <c r="AI66">
        <v>4</v>
      </c>
      <c r="AJ66">
        <v>0</v>
      </c>
      <c r="AK66">
        <v>4</v>
      </c>
      <c r="AL66" t="s">
        <v>123</v>
      </c>
      <c r="AM66" t="s">
        <v>124</v>
      </c>
      <c r="AN66" t="s">
        <v>125</v>
      </c>
      <c r="AO66" t="s">
        <v>126</v>
      </c>
      <c r="AP66" t="s">
        <v>127</v>
      </c>
      <c r="AQ66" t="s">
        <v>74</v>
      </c>
      <c r="AR66" t="s">
        <v>128</v>
      </c>
      <c r="AS66" t="s">
        <v>129</v>
      </c>
      <c r="AT66" t="s">
        <v>1507</v>
      </c>
      <c r="AU66">
        <v>2021</v>
      </c>
      <c r="AV66">
        <v>21</v>
      </c>
      <c r="AW66">
        <v>1</v>
      </c>
      <c r="AX66" t="s">
        <v>74</v>
      </c>
      <c r="AY66" t="s">
        <v>74</v>
      </c>
      <c r="AZ66" t="s">
        <v>74</v>
      </c>
      <c r="BA66" t="s">
        <v>74</v>
      </c>
      <c r="BB66">
        <v>505</v>
      </c>
      <c r="BC66">
        <v>516</v>
      </c>
      <c r="BD66" t="s">
        <v>74</v>
      </c>
      <c r="BE66" t="s">
        <v>1606</v>
      </c>
      <c r="BF66" t="str">
        <f>HYPERLINK("http://dx.doi.org/10.5194/acp-21-505-2021","http://dx.doi.org/10.5194/acp-21-505-2021")</f>
        <v>http://dx.doi.org/10.5194/acp-21-505-2021</v>
      </c>
      <c r="BG66" t="s">
        <v>74</v>
      </c>
      <c r="BH66" t="s">
        <v>74</v>
      </c>
      <c r="BI66">
        <v>12</v>
      </c>
      <c r="BJ66" t="s">
        <v>132</v>
      </c>
      <c r="BK66" t="s">
        <v>103</v>
      </c>
      <c r="BL66" t="s">
        <v>133</v>
      </c>
      <c r="BM66" t="s">
        <v>1607</v>
      </c>
      <c r="BN66" t="s">
        <v>74</v>
      </c>
      <c r="BO66" t="s">
        <v>917</v>
      </c>
      <c r="BP66" t="s">
        <v>74</v>
      </c>
      <c r="BQ66" t="s">
        <v>74</v>
      </c>
      <c r="BR66" t="s">
        <v>106</v>
      </c>
      <c r="BS66" t="s">
        <v>1608</v>
      </c>
      <c r="BT66" t="str">
        <f>HYPERLINK("https%3A%2F%2Fwww.webofscience.com%2Fwos%2Fwoscc%2Ffull-record%2FWOS:000611357100001","View Full Record in Web of Science")</f>
        <v>View Full Record in Web of Science</v>
      </c>
    </row>
    <row r="67" spans="1:72" x14ac:dyDescent="0.15">
      <c r="A67" t="s">
        <v>72</v>
      </c>
      <c r="B67" t="s">
        <v>1609</v>
      </c>
      <c r="C67" t="s">
        <v>74</v>
      </c>
      <c r="D67" t="s">
        <v>74</v>
      </c>
      <c r="E67" t="s">
        <v>74</v>
      </c>
      <c r="F67" t="s">
        <v>1610</v>
      </c>
      <c r="G67" t="s">
        <v>74</v>
      </c>
      <c r="H67" t="s">
        <v>74</v>
      </c>
      <c r="I67" t="s">
        <v>1611</v>
      </c>
      <c r="J67" t="s">
        <v>1612</v>
      </c>
      <c r="K67" t="s">
        <v>74</v>
      </c>
      <c r="L67" t="s">
        <v>74</v>
      </c>
      <c r="M67" t="s">
        <v>78</v>
      </c>
      <c r="N67" t="s">
        <v>79</v>
      </c>
      <c r="O67" t="s">
        <v>74</v>
      </c>
      <c r="P67" t="s">
        <v>74</v>
      </c>
      <c r="Q67" t="s">
        <v>74</v>
      </c>
      <c r="R67" t="s">
        <v>74</v>
      </c>
      <c r="S67" t="s">
        <v>74</v>
      </c>
      <c r="T67" t="s">
        <v>1613</v>
      </c>
      <c r="U67" t="s">
        <v>1614</v>
      </c>
      <c r="V67" t="s">
        <v>1615</v>
      </c>
      <c r="W67" t="s">
        <v>1616</v>
      </c>
      <c r="X67" t="s">
        <v>1617</v>
      </c>
      <c r="Y67" t="s">
        <v>1618</v>
      </c>
      <c r="Z67" t="s">
        <v>1619</v>
      </c>
      <c r="AA67" t="s">
        <v>1620</v>
      </c>
      <c r="AB67" t="s">
        <v>1621</v>
      </c>
      <c r="AC67" t="s">
        <v>1622</v>
      </c>
      <c r="AD67" t="s">
        <v>1623</v>
      </c>
      <c r="AE67" t="s">
        <v>1624</v>
      </c>
      <c r="AF67" t="s">
        <v>74</v>
      </c>
      <c r="AG67">
        <v>52</v>
      </c>
      <c r="AH67">
        <v>10</v>
      </c>
      <c r="AI67">
        <v>10</v>
      </c>
      <c r="AJ67">
        <v>0</v>
      </c>
      <c r="AK67">
        <v>16</v>
      </c>
      <c r="AL67" t="s">
        <v>92</v>
      </c>
      <c r="AM67" t="s">
        <v>93</v>
      </c>
      <c r="AN67" t="s">
        <v>94</v>
      </c>
      <c r="AO67" t="s">
        <v>1625</v>
      </c>
      <c r="AP67" t="s">
        <v>1626</v>
      </c>
      <c r="AQ67" t="s">
        <v>74</v>
      </c>
      <c r="AR67" t="s">
        <v>1627</v>
      </c>
      <c r="AS67" t="s">
        <v>1628</v>
      </c>
      <c r="AT67" t="s">
        <v>347</v>
      </c>
      <c r="AU67">
        <v>2021</v>
      </c>
      <c r="AV67">
        <v>536</v>
      </c>
      <c r="AW67" t="s">
        <v>74</v>
      </c>
      <c r="AX67" t="s">
        <v>74</v>
      </c>
      <c r="AY67" t="s">
        <v>74</v>
      </c>
      <c r="AZ67" t="s">
        <v>74</v>
      </c>
      <c r="BA67" t="s">
        <v>74</v>
      </c>
      <c r="BB67" t="s">
        <v>74</v>
      </c>
      <c r="BC67" t="s">
        <v>74</v>
      </c>
      <c r="BD67">
        <v>151509</v>
      </c>
      <c r="BE67" t="s">
        <v>1629</v>
      </c>
      <c r="BF67" t="str">
        <f>HYPERLINK("http://dx.doi.org/10.1016/j.jembe.2020.151509","http://dx.doi.org/10.1016/j.jembe.2020.151509")</f>
        <v>http://dx.doi.org/10.1016/j.jembe.2020.151509</v>
      </c>
      <c r="BG67" t="s">
        <v>74</v>
      </c>
      <c r="BH67" t="s">
        <v>101</v>
      </c>
      <c r="BI67">
        <v>9</v>
      </c>
      <c r="BJ67" t="s">
        <v>1630</v>
      </c>
      <c r="BK67" t="s">
        <v>103</v>
      </c>
      <c r="BL67" t="s">
        <v>508</v>
      </c>
      <c r="BM67" t="s">
        <v>1631</v>
      </c>
      <c r="BN67" t="s">
        <v>74</v>
      </c>
      <c r="BO67" t="s">
        <v>74</v>
      </c>
      <c r="BP67" t="s">
        <v>74</v>
      </c>
      <c r="BQ67" t="s">
        <v>74</v>
      </c>
      <c r="BR67" t="s">
        <v>106</v>
      </c>
      <c r="BS67" t="s">
        <v>1632</v>
      </c>
      <c r="BT67" t="str">
        <f>HYPERLINK("https%3A%2F%2Fwww.webofscience.com%2Fwos%2Fwoscc%2Ffull-record%2FWOS:000614217600004","View Full Record in Web of Science")</f>
        <v>View Full Record in Web of Science</v>
      </c>
    </row>
    <row r="68" spans="1:72" x14ac:dyDescent="0.15">
      <c r="A68" t="s">
        <v>72</v>
      </c>
      <c r="B68" t="s">
        <v>1633</v>
      </c>
      <c r="C68" t="s">
        <v>74</v>
      </c>
      <c r="D68" t="s">
        <v>74</v>
      </c>
      <c r="E68" t="s">
        <v>74</v>
      </c>
      <c r="F68" t="s">
        <v>1634</v>
      </c>
      <c r="G68" t="s">
        <v>74</v>
      </c>
      <c r="H68" t="s">
        <v>74</v>
      </c>
      <c r="I68" t="s">
        <v>1635</v>
      </c>
      <c r="J68" t="s">
        <v>1636</v>
      </c>
      <c r="K68" t="s">
        <v>74</v>
      </c>
      <c r="L68" t="s">
        <v>74</v>
      </c>
      <c r="M68" t="s">
        <v>78</v>
      </c>
      <c r="N68" t="s">
        <v>79</v>
      </c>
      <c r="O68" t="s">
        <v>74</v>
      </c>
      <c r="P68" t="s">
        <v>74</v>
      </c>
      <c r="Q68" t="s">
        <v>74</v>
      </c>
      <c r="R68" t="s">
        <v>74</v>
      </c>
      <c r="S68" t="s">
        <v>74</v>
      </c>
      <c r="T68" t="s">
        <v>1637</v>
      </c>
      <c r="U68" t="s">
        <v>1638</v>
      </c>
      <c r="V68" t="s">
        <v>1639</v>
      </c>
      <c r="W68" t="s">
        <v>1640</v>
      </c>
      <c r="X68" t="s">
        <v>1641</v>
      </c>
      <c r="Y68" t="s">
        <v>1642</v>
      </c>
      <c r="Z68" t="s">
        <v>1643</v>
      </c>
      <c r="AA68" t="s">
        <v>1644</v>
      </c>
      <c r="AB68" t="s">
        <v>74</v>
      </c>
      <c r="AC68" t="s">
        <v>1645</v>
      </c>
      <c r="AD68" t="s">
        <v>1646</v>
      </c>
      <c r="AE68" t="s">
        <v>1647</v>
      </c>
      <c r="AF68" t="s">
        <v>74</v>
      </c>
      <c r="AG68">
        <v>29</v>
      </c>
      <c r="AH68">
        <v>8</v>
      </c>
      <c r="AI68">
        <v>10</v>
      </c>
      <c r="AJ68">
        <v>3</v>
      </c>
      <c r="AK68">
        <v>21</v>
      </c>
      <c r="AL68" t="s">
        <v>418</v>
      </c>
      <c r="AM68" t="s">
        <v>178</v>
      </c>
      <c r="AN68" t="s">
        <v>419</v>
      </c>
      <c r="AO68" t="s">
        <v>1648</v>
      </c>
      <c r="AP68" t="s">
        <v>1649</v>
      </c>
      <c r="AQ68" t="s">
        <v>74</v>
      </c>
      <c r="AR68" t="s">
        <v>1650</v>
      </c>
      <c r="AS68" t="s">
        <v>1651</v>
      </c>
      <c r="AT68" t="s">
        <v>1507</v>
      </c>
      <c r="AU68">
        <v>2021</v>
      </c>
      <c r="AV68">
        <v>220</v>
      </c>
      <c r="AW68" t="s">
        <v>74</v>
      </c>
      <c r="AX68" t="s">
        <v>74</v>
      </c>
      <c r="AY68" t="s">
        <v>74</v>
      </c>
      <c r="AZ68" t="s">
        <v>74</v>
      </c>
      <c r="BA68" t="s">
        <v>74</v>
      </c>
      <c r="BB68" t="s">
        <v>74</v>
      </c>
      <c r="BC68" t="s">
        <v>74</v>
      </c>
      <c r="BD68">
        <v>108475</v>
      </c>
      <c r="BE68" t="s">
        <v>1652</v>
      </c>
      <c r="BF68" t="str">
        <f>HYPERLINK("http://dx.doi.org/10.1016/j.oceaneng.2020.108475","http://dx.doi.org/10.1016/j.oceaneng.2020.108475")</f>
        <v>http://dx.doi.org/10.1016/j.oceaneng.2020.108475</v>
      </c>
      <c r="BG68" t="s">
        <v>74</v>
      </c>
      <c r="BH68" t="s">
        <v>74</v>
      </c>
      <c r="BI68">
        <v>8</v>
      </c>
      <c r="BJ68" t="s">
        <v>1653</v>
      </c>
      <c r="BK68" t="s">
        <v>103</v>
      </c>
      <c r="BL68" t="s">
        <v>377</v>
      </c>
      <c r="BM68" t="s">
        <v>1654</v>
      </c>
      <c r="BN68" t="s">
        <v>74</v>
      </c>
      <c r="BO68" t="s">
        <v>74</v>
      </c>
      <c r="BP68" t="s">
        <v>74</v>
      </c>
      <c r="BQ68" t="s">
        <v>74</v>
      </c>
      <c r="BR68" t="s">
        <v>106</v>
      </c>
      <c r="BS68" t="s">
        <v>1655</v>
      </c>
      <c r="BT68" t="str">
        <f>HYPERLINK("https%3A%2F%2Fwww.webofscience.com%2Fwos%2Fwoscc%2Ffull-record%2FWOS:000607850200057","View Full Record in Web of Science")</f>
        <v>View Full Record in Web of Science</v>
      </c>
    </row>
    <row r="69" spans="1:72" x14ac:dyDescent="0.15">
      <c r="A69" t="s">
        <v>72</v>
      </c>
      <c r="B69" t="s">
        <v>1656</v>
      </c>
      <c r="C69" t="s">
        <v>74</v>
      </c>
      <c r="D69" t="s">
        <v>74</v>
      </c>
      <c r="E69" t="s">
        <v>74</v>
      </c>
      <c r="F69" t="s">
        <v>1657</v>
      </c>
      <c r="G69" t="s">
        <v>74</v>
      </c>
      <c r="H69" t="s">
        <v>74</v>
      </c>
      <c r="I69" t="s">
        <v>1658</v>
      </c>
      <c r="J69" t="s">
        <v>279</v>
      </c>
      <c r="K69" t="s">
        <v>74</v>
      </c>
      <c r="L69" t="s">
        <v>74</v>
      </c>
      <c r="M69" t="s">
        <v>78</v>
      </c>
      <c r="N69" t="s">
        <v>79</v>
      </c>
      <c r="O69" t="s">
        <v>74</v>
      </c>
      <c r="P69" t="s">
        <v>74</v>
      </c>
      <c r="Q69" t="s">
        <v>74</v>
      </c>
      <c r="R69" t="s">
        <v>74</v>
      </c>
      <c r="S69" t="s">
        <v>74</v>
      </c>
      <c r="T69" t="s">
        <v>1659</v>
      </c>
      <c r="U69" t="s">
        <v>1660</v>
      </c>
      <c r="V69" t="s">
        <v>1661</v>
      </c>
      <c r="W69" t="s">
        <v>1662</v>
      </c>
      <c r="X69" t="s">
        <v>1663</v>
      </c>
      <c r="Y69" t="s">
        <v>1664</v>
      </c>
      <c r="Z69" t="s">
        <v>1665</v>
      </c>
      <c r="AA69" t="s">
        <v>1666</v>
      </c>
      <c r="AB69" t="s">
        <v>1667</v>
      </c>
      <c r="AC69" t="s">
        <v>1668</v>
      </c>
      <c r="AD69" t="s">
        <v>1669</v>
      </c>
      <c r="AE69" t="s">
        <v>1670</v>
      </c>
      <c r="AF69" t="s">
        <v>74</v>
      </c>
      <c r="AG69">
        <v>125</v>
      </c>
      <c r="AH69">
        <v>3</v>
      </c>
      <c r="AI69">
        <v>4</v>
      </c>
      <c r="AJ69">
        <v>3</v>
      </c>
      <c r="AK69">
        <v>15</v>
      </c>
      <c r="AL69" t="s">
        <v>92</v>
      </c>
      <c r="AM69" t="s">
        <v>93</v>
      </c>
      <c r="AN69" t="s">
        <v>94</v>
      </c>
      <c r="AO69" t="s">
        <v>290</v>
      </c>
      <c r="AP69" t="s">
        <v>291</v>
      </c>
      <c r="AQ69" t="s">
        <v>74</v>
      </c>
      <c r="AR69" t="s">
        <v>292</v>
      </c>
      <c r="AS69" t="s">
        <v>293</v>
      </c>
      <c r="AT69" t="s">
        <v>1507</v>
      </c>
      <c r="AU69">
        <v>2021</v>
      </c>
      <c r="AV69">
        <v>562</v>
      </c>
      <c r="AW69" t="s">
        <v>74</v>
      </c>
      <c r="AX69" t="s">
        <v>74</v>
      </c>
      <c r="AY69" t="s">
        <v>74</v>
      </c>
      <c r="AZ69" t="s">
        <v>74</v>
      </c>
      <c r="BA69" t="s">
        <v>74</v>
      </c>
      <c r="BB69" t="s">
        <v>74</v>
      </c>
      <c r="BC69" t="s">
        <v>74</v>
      </c>
      <c r="BD69">
        <v>110146</v>
      </c>
      <c r="BE69" t="s">
        <v>1671</v>
      </c>
      <c r="BF69" t="str">
        <f>HYPERLINK("http://dx.doi.org/10.1016/j.palaeo.2020.110146","http://dx.doi.org/10.1016/j.palaeo.2020.110146")</f>
        <v>http://dx.doi.org/10.1016/j.palaeo.2020.110146</v>
      </c>
      <c r="BG69" t="s">
        <v>74</v>
      </c>
      <c r="BH69" t="s">
        <v>74</v>
      </c>
      <c r="BI69">
        <v>15</v>
      </c>
      <c r="BJ69" t="s">
        <v>296</v>
      </c>
      <c r="BK69" t="s">
        <v>103</v>
      </c>
      <c r="BL69" t="s">
        <v>297</v>
      </c>
      <c r="BM69" t="s">
        <v>1672</v>
      </c>
      <c r="BN69" t="s">
        <v>74</v>
      </c>
      <c r="BO69" t="s">
        <v>189</v>
      </c>
      <c r="BP69" t="s">
        <v>74</v>
      </c>
      <c r="BQ69" t="s">
        <v>74</v>
      </c>
      <c r="BR69" t="s">
        <v>106</v>
      </c>
      <c r="BS69" t="s">
        <v>1673</v>
      </c>
      <c r="BT69" t="str">
        <f>HYPERLINK("https%3A%2F%2Fwww.webofscience.com%2Fwos%2Fwoscc%2Ffull-record%2FWOS:000604584600060","View Full Record in Web of Science")</f>
        <v>View Full Record in Web of Science</v>
      </c>
    </row>
    <row r="70" spans="1:72" x14ac:dyDescent="0.15">
      <c r="A70" t="s">
        <v>72</v>
      </c>
      <c r="B70" t="s">
        <v>1674</v>
      </c>
      <c r="C70" t="s">
        <v>74</v>
      </c>
      <c r="D70" t="s">
        <v>74</v>
      </c>
      <c r="E70" t="s">
        <v>74</v>
      </c>
      <c r="F70" t="s">
        <v>1675</v>
      </c>
      <c r="G70" t="s">
        <v>74</v>
      </c>
      <c r="H70" t="s">
        <v>74</v>
      </c>
      <c r="I70" t="s">
        <v>1676</v>
      </c>
      <c r="J70" t="s">
        <v>279</v>
      </c>
      <c r="K70" t="s">
        <v>74</v>
      </c>
      <c r="L70" t="s">
        <v>74</v>
      </c>
      <c r="M70" t="s">
        <v>78</v>
      </c>
      <c r="N70" t="s">
        <v>79</v>
      </c>
      <c r="O70" t="s">
        <v>74</v>
      </c>
      <c r="P70" t="s">
        <v>74</v>
      </c>
      <c r="Q70" t="s">
        <v>74</v>
      </c>
      <c r="R70" t="s">
        <v>74</v>
      </c>
      <c r="S70" t="s">
        <v>74</v>
      </c>
      <c r="T70" t="s">
        <v>1677</v>
      </c>
      <c r="U70" t="s">
        <v>1678</v>
      </c>
      <c r="V70" t="s">
        <v>1679</v>
      </c>
      <c r="W70" t="s">
        <v>1680</v>
      </c>
      <c r="X70" t="s">
        <v>1681</v>
      </c>
      <c r="Y70" t="s">
        <v>1682</v>
      </c>
      <c r="Z70" t="s">
        <v>1683</v>
      </c>
      <c r="AA70" t="s">
        <v>1684</v>
      </c>
      <c r="AB70" t="s">
        <v>74</v>
      </c>
      <c r="AC70" t="s">
        <v>74</v>
      </c>
      <c r="AD70" t="s">
        <v>74</v>
      </c>
      <c r="AE70" t="s">
        <v>74</v>
      </c>
      <c r="AF70" t="s">
        <v>74</v>
      </c>
      <c r="AG70">
        <v>116</v>
      </c>
      <c r="AH70">
        <v>6</v>
      </c>
      <c r="AI70">
        <v>6</v>
      </c>
      <c r="AJ70">
        <v>1</v>
      </c>
      <c r="AK70">
        <v>6</v>
      </c>
      <c r="AL70" t="s">
        <v>92</v>
      </c>
      <c r="AM70" t="s">
        <v>93</v>
      </c>
      <c r="AN70" t="s">
        <v>94</v>
      </c>
      <c r="AO70" t="s">
        <v>290</v>
      </c>
      <c r="AP70" t="s">
        <v>291</v>
      </c>
      <c r="AQ70" t="s">
        <v>74</v>
      </c>
      <c r="AR70" t="s">
        <v>292</v>
      </c>
      <c r="AS70" t="s">
        <v>293</v>
      </c>
      <c r="AT70" t="s">
        <v>1507</v>
      </c>
      <c r="AU70">
        <v>2021</v>
      </c>
      <c r="AV70">
        <v>562</v>
      </c>
      <c r="AW70" t="s">
        <v>74</v>
      </c>
      <c r="AX70" t="s">
        <v>74</v>
      </c>
      <c r="AY70" t="s">
        <v>74</v>
      </c>
      <c r="AZ70" t="s">
        <v>74</v>
      </c>
      <c r="BA70" t="s">
        <v>74</v>
      </c>
      <c r="BB70" t="s">
        <v>74</v>
      </c>
      <c r="BC70" t="s">
        <v>74</v>
      </c>
      <c r="BD70">
        <v>110148</v>
      </c>
      <c r="BE70" t="s">
        <v>1685</v>
      </c>
      <c r="BF70" t="str">
        <f>HYPERLINK("http://dx.doi.org/10.1016/j.palaeo.2020.110148","http://dx.doi.org/10.1016/j.palaeo.2020.110148")</f>
        <v>http://dx.doi.org/10.1016/j.palaeo.2020.110148</v>
      </c>
      <c r="BG70" t="s">
        <v>74</v>
      </c>
      <c r="BH70" t="s">
        <v>74</v>
      </c>
      <c r="BI70">
        <v>17</v>
      </c>
      <c r="BJ70" t="s">
        <v>296</v>
      </c>
      <c r="BK70" t="s">
        <v>103</v>
      </c>
      <c r="BL70" t="s">
        <v>297</v>
      </c>
      <c r="BM70" t="s">
        <v>1672</v>
      </c>
      <c r="BN70" t="s">
        <v>74</v>
      </c>
      <c r="BO70" t="s">
        <v>74</v>
      </c>
      <c r="BP70" t="s">
        <v>74</v>
      </c>
      <c r="BQ70" t="s">
        <v>74</v>
      </c>
      <c r="BR70" t="s">
        <v>106</v>
      </c>
      <c r="BS70" t="s">
        <v>1686</v>
      </c>
      <c r="BT70" t="str">
        <f>HYPERLINK("https%3A%2F%2Fwww.webofscience.com%2Fwos%2Fwoscc%2Ffull-record%2FWOS:000604584600062","View Full Record in Web of Science")</f>
        <v>View Full Record in Web of Science</v>
      </c>
    </row>
    <row r="71" spans="1:72" x14ac:dyDescent="0.15">
      <c r="A71" t="s">
        <v>72</v>
      </c>
      <c r="B71" t="s">
        <v>1687</v>
      </c>
      <c r="C71" t="s">
        <v>74</v>
      </c>
      <c r="D71" t="s">
        <v>74</v>
      </c>
      <c r="E71" t="s">
        <v>74</v>
      </c>
      <c r="F71" t="s">
        <v>1688</v>
      </c>
      <c r="G71" t="s">
        <v>74</v>
      </c>
      <c r="H71" t="s">
        <v>74</v>
      </c>
      <c r="I71" t="s">
        <v>1689</v>
      </c>
      <c r="J71" t="s">
        <v>1690</v>
      </c>
      <c r="K71" t="s">
        <v>74</v>
      </c>
      <c r="L71" t="s">
        <v>74</v>
      </c>
      <c r="M71" t="s">
        <v>78</v>
      </c>
      <c r="N71" t="s">
        <v>79</v>
      </c>
      <c r="O71" t="s">
        <v>74</v>
      </c>
      <c r="P71" t="s">
        <v>74</v>
      </c>
      <c r="Q71" t="s">
        <v>74</v>
      </c>
      <c r="R71" t="s">
        <v>74</v>
      </c>
      <c r="S71" t="s">
        <v>74</v>
      </c>
      <c r="T71" t="s">
        <v>1691</v>
      </c>
      <c r="U71" t="s">
        <v>1692</v>
      </c>
      <c r="V71" t="s">
        <v>1693</v>
      </c>
      <c r="W71" t="s">
        <v>1694</v>
      </c>
      <c r="X71" t="s">
        <v>1695</v>
      </c>
      <c r="Y71" t="s">
        <v>1696</v>
      </c>
      <c r="Z71" t="s">
        <v>1697</v>
      </c>
      <c r="AA71" t="s">
        <v>74</v>
      </c>
      <c r="AB71" t="s">
        <v>1698</v>
      </c>
      <c r="AC71" t="s">
        <v>1699</v>
      </c>
      <c r="AD71" t="s">
        <v>1700</v>
      </c>
      <c r="AE71" t="s">
        <v>1701</v>
      </c>
      <c r="AF71" t="s">
        <v>74</v>
      </c>
      <c r="AG71">
        <v>54</v>
      </c>
      <c r="AH71">
        <v>1</v>
      </c>
      <c r="AI71">
        <v>2</v>
      </c>
      <c r="AJ71">
        <v>1</v>
      </c>
      <c r="AK71">
        <v>10</v>
      </c>
      <c r="AL71" t="s">
        <v>207</v>
      </c>
      <c r="AM71" t="s">
        <v>473</v>
      </c>
      <c r="AN71" t="s">
        <v>474</v>
      </c>
      <c r="AO71" t="s">
        <v>1702</v>
      </c>
      <c r="AP71" t="s">
        <v>1703</v>
      </c>
      <c r="AQ71" t="s">
        <v>74</v>
      </c>
      <c r="AR71" t="s">
        <v>1704</v>
      </c>
      <c r="AS71" t="s">
        <v>1705</v>
      </c>
      <c r="AT71" t="s">
        <v>184</v>
      </c>
      <c r="AU71">
        <v>2021</v>
      </c>
      <c r="AV71">
        <v>44</v>
      </c>
      <c r="AW71">
        <v>2</v>
      </c>
      <c r="AX71" t="s">
        <v>74</v>
      </c>
      <c r="AY71" t="s">
        <v>74</v>
      </c>
      <c r="AZ71" t="s">
        <v>74</v>
      </c>
      <c r="BA71" t="s">
        <v>74</v>
      </c>
      <c r="BB71">
        <v>259</v>
      </c>
      <c r="BC71">
        <v>273</v>
      </c>
      <c r="BD71" t="s">
        <v>74</v>
      </c>
      <c r="BE71" t="s">
        <v>1706</v>
      </c>
      <c r="BF71" t="str">
        <f>HYPERLINK("http://dx.doi.org/10.1007/s00300-020-02783-3","http://dx.doi.org/10.1007/s00300-020-02783-3")</f>
        <v>http://dx.doi.org/10.1007/s00300-020-02783-3</v>
      </c>
      <c r="BG71" t="s">
        <v>74</v>
      </c>
      <c r="BH71" t="s">
        <v>101</v>
      </c>
      <c r="BI71">
        <v>15</v>
      </c>
      <c r="BJ71" t="s">
        <v>1052</v>
      </c>
      <c r="BK71" t="s">
        <v>103</v>
      </c>
      <c r="BL71" t="s">
        <v>1053</v>
      </c>
      <c r="BM71" t="s">
        <v>1707</v>
      </c>
      <c r="BN71" t="s">
        <v>74</v>
      </c>
      <c r="BO71" t="s">
        <v>1708</v>
      </c>
      <c r="BP71" t="s">
        <v>74</v>
      </c>
      <c r="BQ71" t="s">
        <v>74</v>
      </c>
      <c r="BR71" t="s">
        <v>106</v>
      </c>
      <c r="BS71" t="s">
        <v>1709</v>
      </c>
      <c r="BT71" t="str">
        <f>HYPERLINK("https%3A%2F%2Fwww.webofscience.com%2Fwos%2Fwoscc%2Ffull-record%2FWOS:000608180200001","View Full Record in Web of Science")</f>
        <v>View Full Record in Web of Science</v>
      </c>
    </row>
    <row r="72" spans="1:72" x14ac:dyDescent="0.15">
      <c r="A72" t="s">
        <v>72</v>
      </c>
      <c r="B72" t="s">
        <v>1710</v>
      </c>
      <c r="C72" t="s">
        <v>74</v>
      </c>
      <c r="D72" t="s">
        <v>74</v>
      </c>
      <c r="E72" t="s">
        <v>74</v>
      </c>
      <c r="F72" t="s">
        <v>1711</v>
      </c>
      <c r="G72" t="s">
        <v>74</v>
      </c>
      <c r="H72" t="s">
        <v>74</v>
      </c>
      <c r="I72" t="s">
        <v>1712</v>
      </c>
      <c r="J72" t="s">
        <v>1713</v>
      </c>
      <c r="K72" t="s">
        <v>74</v>
      </c>
      <c r="L72" t="s">
        <v>74</v>
      </c>
      <c r="M72" t="s">
        <v>78</v>
      </c>
      <c r="N72" t="s">
        <v>79</v>
      </c>
      <c r="O72" t="s">
        <v>74</v>
      </c>
      <c r="P72" t="s">
        <v>74</v>
      </c>
      <c r="Q72" t="s">
        <v>74</v>
      </c>
      <c r="R72" t="s">
        <v>74</v>
      </c>
      <c r="S72" t="s">
        <v>74</v>
      </c>
      <c r="T72" t="s">
        <v>1714</v>
      </c>
      <c r="U72" t="s">
        <v>1715</v>
      </c>
      <c r="V72" t="s">
        <v>1716</v>
      </c>
      <c r="W72" t="s">
        <v>1717</v>
      </c>
      <c r="X72" t="s">
        <v>1718</v>
      </c>
      <c r="Y72" t="s">
        <v>1719</v>
      </c>
      <c r="Z72" t="s">
        <v>1720</v>
      </c>
      <c r="AA72" t="s">
        <v>1721</v>
      </c>
      <c r="AB72" t="s">
        <v>1722</v>
      </c>
      <c r="AC72" t="s">
        <v>1723</v>
      </c>
      <c r="AD72" t="s">
        <v>1724</v>
      </c>
      <c r="AE72" t="s">
        <v>1725</v>
      </c>
      <c r="AF72" t="s">
        <v>74</v>
      </c>
      <c r="AG72">
        <v>125</v>
      </c>
      <c r="AH72">
        <v>4</v>
      </c>
      <c r="AI72">
        <v>7</v>
      </c>
      <c r="AJ72">
        <v>3</v>
      </c>
      <c r="AK72">
        <v>28</v>
      </c>
      <c r="AL72" t="s">
        <v>418</v>
      </c>
      <c r="AM72" t="s">
        <v>178</v>
      </c>
      <c r="AN72" t="s">
        <v>419</v>
      </c>
      <c r="AO72" t="s">
        <v>1726</v>
      </c>
      <c r="AP72" t="s">
        <v>1727</v>
      </c>
      <c r="AQ72" t="s">
        <v>74</v>
      </c>
      <c r="AR72" t="s">
        <v>1728</v>
      </c>
      <c r="AS72" t="s">
        <v>1729</v>
      </c>
      <c r="AT72" t="s">
        <v>1507</v>
      </c>
      <c r="AU72">
        <v>2021</v>
      </c>
      <c r="AV72">
        <v>252</v>
      </c>
      <c r="AW72" t="s">
        <v>74</v>
      </c>
      <c r="AX72" t="s">
        <v>74</v>
      </c>
      <c r="AY72" t="s">
        <v>74</v>
      </c>
      <c r="AZ72" t="s">
        <v>74</v>
      </c>
      <c r="BA72" t="s">
        <v>74</v>
      </c>
      <c r="BB72" t="s">
        <v>74</v>
      </c>
      <c r="BC72" t="s">
        <v>74</v>
      </c>
      <c r="BD72">
        <v>106738</v>
      </c>
      <c r="BE72" t="s">
        <v>1730</v>
      </c>
      <c r="BF72" t="str">
        <f>HYPERLINK("http://dx.doi.org/10.1016/j.quascirev.2020.106738","http://dx.doi.org/10.1016/j.quascirev.2020.106738")</f>
        <v>http://dx.doi.org/10.1016/j.quascirev.2020.106738</v>
      </c>
      <c r="BG72" t="s">
        <v>74</v>
      </c>
      <c r="BH72" t="s">
        <v>74</v>
      </c>
      <c r="BI72">
        <v>20</v>
      </c>
      <c r="BJ72" t="s">
        <v>156</v>
      </c>
      <c r="BK72" t="s">
        <v>103</v>
      </c>
      <c r="BL72" t="s">
        <v>157</v>
      </c>
      <c r="BM72" t="s">
        <v>1731</v>
      </c>
      <c r="BN72" t="s">
        <v>74</v>
      </c>
      <c r="BO72" t="s">
        <v>1732</v>
      </c>
      <c r="BP72" t="s">
        <v>74</v>
      </c>
      <c r="BQ72" t="s">
        <v>74</v>
      </c>
      <c r="BR72" t="s">
        <v>106</v>
      </c>
      <c r="BS72" t="s">
        <v>1733</v>
      </c>
      <c r="BT72" t="str">
        <f>HYPERLINK("https%3A%2F%2Fwww.webofscience.com%2Fwos%2Fwoscc%2Ffull-record%2FWOS:000604567600006","View Full Record in Web of Science")</f>
        <v>View Full Record in Web of Science</v>
      </c>
    </row>
    <row r="73" spans="1:72" x14ac:dyDescent="0.15">
      <c r="A73" t="s">
        <v>72</v>
      </c>
      <c r="B73" t="s">
        <v>1734</v>
      </c>
      <c r="C73" t="s">
        <v>74</v>
      </c>
      <c r="D73" t="s">
        <v>74</v>
      </c>
      <c r="E73" t="s">
        <v>74</v>
      </c>
      <c r="F73" t="s">
        <v>1735</v>
      </c>
      <c r="G73" t="s">
        <v>74</v>
      </c>
      <c r="H73" t="s">
        <v>74</v>
      </c>
      <c r="I73" t="s">
        <v>1736</v>
      </c>
      <c r="J73" t="s">
        <v>1737</v>
      </c>
      <c r="K73" t="s">
        <v>74</v>
      </c>
      <c r="L73" t="s">
        <v>74</v>
      </c>
      <c r="M73" t="s">
        <v>78</v>
      </c>
      <c r="N73" t="s">
        <v>79</v>
      </c>
      <c r="O73" t="s">
        <v>74</v>
      </c>
      <c r="P73" t="s">
        <v>74</v>
      </c>
      <c r="Q73" t="s">
        <v>74</v>
      </c>
      <c r="R73" t="s">
        <v>74</v>
      </c>
      <c r="S73" t="s">
        <v>74</v>
      </c>
      <c r="T73" t="s">
        <v>1738</v>
      </c>
      <c r="U73" t="s">
        <v>1739</v>
      </c>
      <c r="V73" t="s">
        <v>1740</v>
      </c>
      <c r="W73" t="s">
        <v>1741</v>
      </c>
      <c r="X73" t="s">
        <v>1742</v>
      </c>
      <c r="Y73" t="s">
        <v>1743</v>
      </c>
      <c r="Z73" t="s">
        <v>1744</v>
      </c>
      <c r="AA73" t="s">
        <v>1745</v>
      </c>
      <c r="AB73" t="s">
        <v>1746</v>
      </c>
      <c r="AC73" t="s">
        <v>1747</v>
      </c>
      <c r="AD73" t="s">
        <v>1747</v>
      </c>
      <c r="AE73" t="s">
        <v>1748</v>
      </c>
      <c r="AF73" t="s">
        <v>74</v>
      </c>
      <c r="AG73">
        <v>53</v>
      </c>
      <c r="AH73">
        <v>11</v>
      </c>
      <c r="AI73">
        <v>11</v>
      </c>
      <c r="AJ73">
        <v>0</v>
      </c>
      <c r="AK73">
        <v>12</v>
      </c>
      <c r="AL73" t="s">
        <v>92</v>
      </c>
      <c r="AM73" t="s">
        <v>93</v>
      </c>
      <c r="AN73" t="s">
        <v>94</v>
      </c>
      <c r="AO73" t="s">
        <v>1749</v>
      </c>
      <c r="AP73" t="s">
        <v>1750</v>
      </c>
      <c r="AQ73" t="s">
        <v>74</v>
      </c>
      <c r="AR73" t="s">
        <v>1751</v>
      </c>
      <c r="AS73" t="s">
        <v>1752</v>
      </c>
      <c r="AT73" t="s">
        <v>1507</v>
      </c>
      <c r="AU73">
        <v>2021</v>
      </c>
      <c r="AV73">
        <v>554</v>
      </c>
      <c r="AW73" t="s">
        <v>74</v>
      </c>
      <c r="AX73" t="s">
        <v>74</v>
      </c>
      <c r="AY73" t="s">
        <v>74</v>
      </c>
      <c r="AZ73" t="s">
        <v>74</v>
      </c>
      <c r="BA73" t="s">
        <v>74</v>
      </c>
      <c r="BB73" t="s">
        <v>74</v>
      </c>
      <c r="BC73" t="s">
        <v>74</v>
      </c>
      <c r="BD73">
        <v>116698</v>
      </c>
      <c r="BE73" t="s">
        <v>1753</v>
      </c>
      <c r="BF73" t="str">
        <f>HYPERLINK("http://dx.doi.org/10.1016/j.epsl.2020.116698","http://dx.doi.org/10.1016/j.epsl.2020.116698")</f>
        <v>http://dx.doi.org/10.1016/j.epsl.2020.116698</v>
      </c>
      <c r="BG73" t="s">
        <v>74</v>
      </c>
      <c r="BH73" t="s">
        <v>74</v>
      </c>
      <c r="BI73">
        <v>12</v>
      </c>
      <c r="BJ73" t="s">
        <v>426</v>
      </c>
      <c r="BK73" t="s">
        <v>103</v>
      </c>
      <c r="BL73" t="s">
        <v>426</v>
      </c>
      <c r="BM73" t="s">
        <v>1754</v>
      </c>
      <c r="BN73" t="s">
        <v>74</v>
      </c>
      <c r="BO73" t="s">
        <v>1755</v>
      </c>
      <c r="BP73" t="s">
        <v>74</v>
      </c>
      <c r="BQ73" t="s">
        <v>74</v>
      </c>
      <c r="BR73" t="s">
        <v>106</v>
      </c>
      <c r="BS73" t="s">
        <v>1756</v>
      </c>
      <c r="BT73" t="str">
        <f>HYPERLINK("https%3A%2F%2Fwww.webofscience.com%2Fwos%2Fwoscc%2Ffull-record%2FWOS:000604582500042","View Full Record in Web of Science")</f>
        <v>View Full Record in Web of Science</v>
      </c>
    </row>
    <row r="74" spans="1:72" x14ac:dyDescent="0.15">
      <c r="A74" t="s">
        <v>72</v>
      </c>
      <c r="B74" t="s">
        <v>1757</v>
      </c>
      <c r="C74" t="s">
        <v>74</v>
      </c>
      <c r="D74" t="s">
        <v>74</v>
      </c>
      <c r="E74" t="s">
        <v>74</v>
      </c>
      <c r="F74" t="s">
        <v>1758</v>
      </c>
      <c r="G74" t="s">
        <v>74</v>
      </c>
      <c r="H74" t="s">
        <v>74</v>
      </c>
      <c r="I74" t="s">
        <v>1759</v>
      </c>
      <c r="J74" t="s">
        <v>1737</v>
      </c>
      <c r="K74" t="s">
        <v>74</v>
      </c>
      <c r="L74" t="s">
        <v>74</v>
      </c>
      <c r="M74" t="s">
        <v>78</v>
      </c>
      <c r="N74" t="s">
        <v>79</v>
      </c>
      <c r="O74" t="s">
        <v>74</v>
      </c>
      <c r="P74" t="s">
        <v>74</v>
      </c>
      <c r="Q74" t="s">
        <v>74</v>
      </c>
      <c r="R74" t="s">
        <v>74</v>
      </c>
      <c r="S74" t="s">
        <v>74</v>
      </c>
      <c r="T74" t="s">
        <v>1760</v>
      </c>
      <c r="U74" t="s">
        <v>1761</v>
      </c>
      <c r="V74" t="s">
        <v>1762</v>
      </c>
      <c r="W74" t="s">
        <v>1763</v>
      </c>
      <c r="X74" t="s">
        <v>1764</v>
      </c>
      <c r="Y74" t="s">
        <v>1765</v>
      </c>
      <c r="Z74" t="s">
        <v>1766</v>
      </c>
      <c r="AA74" t="s">
        <v>1767</v>
      </c>
      <c r="AB74" t="s">
        <v>1768</v>
      </c>
      <c r="AC74" t="s">
        <v>1769</v>
      </c>
      <c r="AD74" t="s">
        <v>1770</v>
      </c>
      <c r="AE74" t="s">
        <v>1771</v>
      </c>
      <c r="AF74" t="s">
        <v>74</v>
      </c>
      <c r="AG74">
        <v>71</v>
      </c>
      <c r="AH74">
        <v>11</v>
      </c>
      <c r="AI74">
        <v>11</v>
      </c>
      <c r="AJ74">
        <v>1</v>
      </c>
      <c r="AK74">
        <v>25</v>
      </c>
      <c r="AL74" t="s">
        <v>92</v>
      </c>
      <c r="AM74" t="s">
        <v>93</v>
      </c>
      <c r="AN74" t="s">
        <v>94</v>
      </c>
      <c r="AO74" t="s">
        <v>1749</v>
      </c>
      <c r="AP74" t="s">
        <v>1750</v>
      </c>
      <c r="AQ74" t="s">
        <v>74</v>
      </c>
      <c r="AR74" t="s">
        <v>1751</v>
      </c>
      <c r="AS74" t="s">
        <v>1752</v>
      </c>
      <c r="AT74" t="s">
        <v>1507</v>
      </c>
      <c r="AU74">
        <v>2021</v>
      </c>
      <c r="AV74">
        <v>554</v>
      </c>
      <c r="AW74" t="s">
        <v>74</v>
      </c>
      <c r="AX74" t="s">
        <v>74</v>
      </c>
      <c r="AY74" t="s">
        <v>74</v>
      </c>
      <c r="AZ74" t="s">
        <v>74</v>
      </c>
      <c r="BA74" t="s">
        <v>74</v>
      </c>
      <c r="BB74" t="s">
        <v>74</v>
      </c>
      <c r="BC74" t="s">
        <v>74</v>
      </c>
      <c r="BD74">
        <v>116649</v>
      </c>
      <c r="BE74" t="s">
        <v>1772</v>
      </c>
      <c r="BF74" t="str">
        <f>HYPERLINK("http://dx.doi.org/10.1016/j.epsl.2020.116649","http://dx.doi.org/10.1016/j.epsl.2020.116649")</f>
        <v>http://dx.doi.org/10.1016/j.epsl.2020.116649</v>
      </c>
      <c r="BG74" t="s">
        <v>74</v>
      </c>
      <c r="BH74" t="s">
        <v>74</v>
      </c>
      <c r="BI74">
        <v>12</v>
      </c>
      <c r="BJ74" t="s">
        <v>426</v>
      </c>
      <c r="BK74" t="s">
        <v>103</v>
      </c>
      <c r="BL74" t="s">
        <v>426</v>
      </c>
      <c r="BM74" t="s">
        <v>1754</v>
      </c>
      <c r="BN74" t="s">
        <v>74</v>
      </c>
      <c r="BO74" t="s">
        <v>1195</v>
      </c>
      <c r="BP74" t="s">
        <v>74</v>
      </c>
      <c r="BQ74" t="s">
        <v>74</v>
      </c>
      <c r="BR74" t="s">
        <v>106</v>
      </c>
      <c r="BS74" t="s">
        <v>1773</v>
      </c>
      <c r="BT74" t="str">
        <f>HYPERLINK("https%3A%2F%2Fwww.webofscience.com%2Fwos%2Fwoscc%2Ffull-record%2FWOS:000604582500008","View Full Record in Web of Science")</f>
        <v>View Full Record in Web of Science</v>
      </c>
    </row>
    <row r="75" spans="1:72" x14ac:dyDescent="0.15">
      <c r="A75" t="s">
        <v>72</v>
      </c>
      <c r="B75" t="s">
        <v>1774</v>
      </c>
      <c r="C75" t="s">
        <v>74</v>
      </c>
      <c r="D75" t="s">
        <v>74</v>
      </c>
      <c r="E75" t="s">
        <v>74</v>
      </c>
      <c r="F75" t="s">
        <v>1775</v>
      </c>
      <c r="G75" t="s">
        <v>74</v>
      </c>
      <c r="H75" t="s">
        <v>74</v>
      </c>
      <c r="I75" t="s">
        <v>1776</v>
      </c>
      <c r="J75" t="s">
        <v>1737</v>
      </c>
      <c r="K75" t="s">
        <v>74</v>
      </c>
      <c r="L75" t="s">
        <v>74</v>
      </c>
      <c r="M75" t="s">
        <v>78</v>
      </c>
      <c r="N75" t="s">
        <v>79</v>
      </c>
      <c r="O75" t="s">
        <v>74</v>
      </c>
      <c r="P75" t="s">
        <v>74</v>
      </c>
      <c r="Q75" t="s">
        <v>74</v>
      </c>
      <c r="R75" t="s">
        <v>74</v>
      </c>
      <c r="S75" t="s">
        <v>74</v>
      </c>
      <c r="T75" t="s">
        <v>1777</v>
      </c>
      <c r="U75" t="s">
        <v>1778</v>
      </c>
      <c r="V75" t="s">
        <v>1779</v>
      </c>
      <c r="W75" t="s">
        <v>1780</v>
      </c>
      <c r="X75" t="s">
        <v>1781</v>
      </c>
      <c r="Y75" t="s">
        <v>1782</v>
      </c>
      <c r="Z75" t="s">
        <v>1783</v>
      </c>
      <c r="AA75" t="s">
        <v>1784</v>
      </c>
      <c r="AB75" t="s">
        <v>74</v>
      </c>
      <c r="AC75" t="s">
        <v>1785</v>
      </c>
      <c r="AD75" t="s">
        <v>1786</v>
      </c>
      <c r="AE75" t="s">
        <v>1787</v>
      </c>
      <c r="AF75" t="s">
        <v>74</v>
      </c>
      <c r="AG75">
        <v>86</v>
      </c>
      <c r="AH75">
        <v>15</v>
      </c>
      <c r="AI75">
        <v>19</v>
      </c>
      <c r="AJ75">
        <v>6</v>
      </c>
      <c r="AK75">
        <v>66</v>
      </c>
      <c r="AL75" t="s">
        <v>92</v>
      </c>
      <c r="AM75" t="s">
        <v>93</v>
      </c>
      <c r="AN75" t="s">
        <v>94</v>
      </c>
      <c r="AO75" t="s">
        <v>1749</v>
      </c>
      <c r="AP75" t="s">
        <v>1750</v>
      </c>
      <c r="AQ75" t="s">
        <v>74</v>
      </c>
      <c r="AR75" t="s">
        <v>1751</v>
      </c>
      <c r="AS75" t="s">
        <v>1752</v>
      </c>
      <c r="AT75" t="s">
        <v>1507</v>
      </c>
      <c r="AU75">
        <v>2021</v>
      </c>
      <c r="AV75">
        <v>554</v>
      </c>
      <c r="AW75" t="s">
        <v>74</v>
      </c>
      <c r="AX75" t="s">
        <v>74</v>
      </c>
      <c r="AY75" t="s">
        <v>74</v>
      </c>
      <c r="AZ75" t="s">
        <v>74</v>
      </c>
      <c r="BA75" t="s">
        <v>74</v>
      </c>
      <c r="BB75" t="s">
        <v>74</v>
      </c>
      <c r="BC75" t="s">
        <v>74</v>
      </c>
      <c r="BD75">
        <v>116648</v>
      </c>
      <c r="BE75" t="s">
        <v>1788</v>
      </c>
      <c r="BF75" t="str">
        <f>HYPERLINK("http://dx.doi.org/10.1016/j.epsl.2020.116648","http://dx.doi.org/10.1016/j.epsl.2020.116648")</f>
        <v>http://dx.doi.org/10.1016/j.epsl.2020.116648</v>
      </c>
      <c r="BG75" t="s">
        <v>74</v>
      </c>
      <c r="BH75" t="s">
        <v>74</v>
      </c>
      <c r="BI75">
        <v>14</v>
      </c>
      <c r="BJ75" t="s">
        <v>426</v>
      </c>
      <c r="BK75" t="s">
        <v>103</v>
      </c>
      <c r="BL75" t="s">
        <v>426</v>
      </c>
      <c r="BM75" t="s">
        <v>1754</v>
      </c>
      <c r="BN75" t="s">
        <v>74</v>
      </c>
      <c r="BO75" t="s">
        <v>74</v>
      </c>
      <c r="BP75" t="s">
        <v>74</v>
      </c>
      <c r="BQ75" t="s">
        <v>74</v>
      </c>
      <c r="BR75" t="s">
        <v>106</v>
      </c>
      <c r="BS75" t="s">
        <v>1789</v>
      </c>
      <c r="BT75" t="str">
        <f>HYPERLINK("https%3A%2F%2Fwww.webofscience.com%2Fwos%2Fwoscc%2Ffull-record%2FWOS:000604582500007","View Full Record in Web of Science")</f>
        <v>View Full Record in Web of Science</v>
      </c>
    </row>
    <row r="76" spans="1:72" x14ac:dyDescent="0.15">
      <c r="A76" t="s">
        <v>72</v>
      </c>
      <c r="B76" t="s">
        <v>1790</v>
      </c>
      <c r="C76" t="s">
        <v>74</v>
      </c>
      <c r="D76" t="s">
        <v>74</v>
      </c>
      <c r="E76" t="s">
        <v>74</v>
      </c>
      <c r="F76" t="s">
        <v>1791</v>
      </c>
      <c r="G76" t="s">
        <v>74</v>
      </c>
      <c r="H76" t="s">
        <v>74</v>
      </c>
      <c r="I76" t="s">
        <v>1792</v>
      </c>
      <c r="J76" t="s">
        <v>1737</v>
      </c>
      <c r="K76" t="s">
        <v>74</v>
      </c>
      <c r="L76" t="s">
        <v>74</v>
      </c>
      <c r="M76" t="s">
        <v>78</v>
      </c>
      <c r="N76" t="s">
        <v>79</v>
      </c>
      <c r="O76" t="s">
        <v>74</v>
      </c>
      <c r="P76" t="s">
        <v>74</v>
      </c>
      <c r="Q76" t="s">
        <v>74</v>
      </c>
      <c r="R76" t="s">
        <v>74</v>
      </c>
      <c r="S76" t="s">
        <v>74</v>
      </c>
      <c r="T76" t="s">
        <v>1793</v>
      </c>
      <c r="U76" t="s">
        <v>1794</v>
      </c>
      <c r="V76" t="s">
        <v>1795</v>
      </c>
      <c r="W76" t="s">
        <v>1796</v>
      </c>
      <c r="X76" t="s">
        <v>1797</v>
      </c>
      <c r="Y76" t="s">
        <v>1798</v>
      </c>
      <c r="Z76" t="s">
        <v>1799</v>
      </c>
      <c r="AA76" t="s">
        <v>1800</v>
      </c>
      <c r="AB76" t="s">
        <v>1801</v>
      </c>
      <c r="AC76" t="s">
        <v>1802</v>
      </c>
      <c r="AD76" t="s">
        <v>1803</v>
      </c>
      <c r="AE76" t="s">
        <v>1804</v>
      </c>
      <c r="AF76" t="s">
        <v>74</v>
      </c>
      <c r="AG76">
        <v>66</v>
      </c>
      <c r="AH76">
        <v>29</v>
      </c>
      <c r="AI76">
        <v>32</v>
      </c>
      <c r="AJ76">
        <v>6</v>
      </c>
      <c r="AK76">
        <v>80</v>
      </c>
      <c r="AL76" t="s">
        <v>92</v>
      </c>
      <c r="AM76" t="s">
        <v>93</v>
      </c>
      <c r="AN76" t="s">
        <v>94</v>
      </c>
      <c r="AO76" t="s">
        <v>1749</v>
      </c>
      <c r="AP76" t="s">
        <v>1750</v>
      </c>
      <c r="AQ76" t="s">
        <v>74</v>
      </c>
      <c r="AR76" t="s">
        <v>1751</v>
      </c>
      <c r="AS76" t="s">
        <v>1752</v>
      </c>
      <c r="AT76" t="s">
        <v>1507</v>
      </c>
      <c r="AU76">
        <v>2021</v>
      </c>
      <c r="AV76">
        <v>554</v>
      </c>
      <c r="AW76" t="s">
        <v>74</v>
      </c>
      <c r="AX76" t="s">
        <v>74</v>
      </c>
      <c r="AY76" t="s">
        <v>74</v>
      </c>
      <c r="AZ76" t="s">
        <v>74</v>
      </c>
      <c r="BA76" t="s">
        <v>74</v>
      </c>
      <c r="BB76" t="s">
        <v>74</v>
      </c>
      <c r="BC76" t="s">
        <v>74</v>
      </c>
      <c r="BD76">
        <v>116665</v>
      </c>
      <c r="BE76" t="s">
        <v>1805</v>
      </c>
      <c r="BF76" t="str">
        <f>HYPERLINK("http://dx.doi.org/10.1016/j.epsl.2020.116665","http://dx.doi.org/10.1016/j.epsl.2020.116665")</f>
        <v>http://dx.doi.org/10.1016/j.epsl.2020.116665</v>
      </c>
      <c r="BG76" t="s">
        <v>74</v>
      </c>
      <c r="BH76" t="s">
        <v>74</v>
      </c>
      <c r="BI76">
        <v>11</v>
      </c>
      <c r="BJ76" t="s">
        <v>426</v>
      </c>
      <c r="BK76" t="s">
        <v>103</v>
      </c>
      <c r="BL76" t="s">
        <v>426</v>
      </c>
      <c r="BM76" t="s">
        <v>1754</v>
      </c>
      <c r="BN76" t="s">
        <v>74</v>
      </c>
      <c r="BO76" t="s">
        <v>218</v>
      </c>
      <c r="BP76" t="s">
        <v>74</v>
      </c>
      <c r="BQ76" t="s">
        <v>74</v>
      </c>
      <c r="BR76" t="s">
        <v>106</v>
      </c>
      <c r="BS76" t="s">
        <v>1806</v>
      </c>
      <c r="BT76" t="str">
        <f>HYPERLINK("https%3A%2F%2Fwww.webofscience.com%2Fwos%2Fwoscc%2Ffull-record%2FWOS:000604582500018","View Full Record in Web of Science")</f>
        <v>View Full Record in Web of Science</v>
      </c>
    </row>
    <row r="77" spans="1:72" x14ac:dyDescent="0.15">
      <c r="A77" t="s">
        <v>72</v>
      </c>
      <c r="B77" t="s">
        <v>1807</v>
      </c>
      <c r="C77" t="s">
        <v>74</v>
      </c>
      <c r="D77" t="s">
        <v>74</v>
      </c>
      <c r="E77" t="s">
        <v>74</v>
      </c>
      <c r="F77" t="s">
        <v>1808</v>
      </c>
      <c r="G77" t="s">
        <v>74</v>
      </c>
      <c r="H77" t="s">
        <v>74</v>
      </c>
      <c r="I77" t="s">
        <v>1809</v>
      </c>
      <c r="J77" t="s">
        <v>1810</v>
      </c>
      <c r="K77" t="s">
        <v>74</v>
      </c>
      <c r="L77" t="s">
        <v>74</v>
      </c>
      <c r="M77" t="s">
        <v>78</v>
      </c>
      <c r="N77" t="s">
        <v>79</v>
      </c>
      <c r="O77" t="s">
        <v>74</v>
      </c>
      <c r="P77" t="s">
        <v>74</v>
      </c>
      <c r="Q77" t="s">
        <v>74</v>
      </c>
      <c r="R77" t="s">
        <v>74</v>
      </c>
      <c r="S77" t="s">
        <v>74</v>
      </c>
      <c r="T77" t="s">
        <v>1811</v>
      </c>
      <c r="U77" t="s">
        <v>1812</v>
      </c>
      <c r="V77" t="s">
        <v>1813</v>
      </c>
      <c r="W77" t="s">
        <v>1814</v>
      </c>
      <c r="X77" t="s">
        <v>1815</v>
      </c>
      <c r="Y77" t="s">
        <v>1816</v>
      </c>
      <c r="Z77" t="s">
        <v>1817</v>
      </c>
      <c r="AA77" t="s">
        <v>1818</v>
      </c>
      <c r="AB77" t="s">
        <v>1819</v>
      </c>
      <c r="AC77" t="s">
        <v>1820</v>
      </c>
      <c r="AD77" t="s">
        <v>1821</v>
      </c>
      <c r="AE77" t="s">
        <v>1822</v>
      </c>
      <c r="AF77" t="s">
        <v>74</v>
      </c>
      <c r="AG77">
        <v>50</v>
      </c>
      <c r="AH77">
        <v>10</v>
      </c>
      <c r="AI77">
        <v>11</v>
      </c>
      <c r="AJ77">
        <v>4</v>
      </c>
      <c r="AK77">
        <v>16</v>
      </c>
      <c r="AL77" t="s">
        <v>552</v>
      </c>
      <c r="AM77" t="s">
        <v>553</v>
      </c>
      <c r="AN77" t="s">
        <v>554</v>
      </c>
      <c r="AO77" t="s">
        <v>1823</v>
      </c>
      <c r="AP77" t="s">
        <v>1824</v>
      </c>
      <c r="AQ77" t="s">
        <v>74</v>
      </c>
      <c r="AR77" t="s">
        <v>1825</v>
      </c>
      <c r="AS77" t="s">
        <v>1826</v>
      </c>
      <c r="AT77" t="s">
        <v>214</v>
      </c>
      <c r="AU77">
        <v>2021</v>
      </c>
      <c r="AV77">
        <v>58</v>
      </c>
      <c r="AW77">
        <v>4</v>
      </c>
      <c r="AX77" t="s">
        <v>74</v>
      </c>
      <c r="AY77" t="s">
        <v>74</v>
      </c>
      <c r="AZ77" t="s">
        <v>74</v>
      </c>
      <c r="BA77" t="s">
        <v>74</v>
      </c>
      <c r="BB77">
        <v>801</v>
      </c>
      <c r="BC77">
        <v>811</v>
      </c>
      <c r="BD77" t="s">
        <v>74</v>
      </c>
      <c r="BE77" t="s">
        <v>1827</v>
      </c>
      <c r="BF77" t="str">
        <f>HYPERLINK("http://dx.doi.org/10.1111/1365-2664.13828","http://dx.doi.org/10.1111/1365-2664.13828")</f>
        <v>http://dx.doi.org/10.1111/1365-2664.13828</v>
      </c>
      <c r="BG77" t="s">
        <v>74</v>
      </c>
      <c r="BH77" t="s">
        <v>101</v>
      </c>
      <c r="BI77">
        <v>11</v>
      </c>
      <c r="BJ77" t="s">
        <v>1052</v>
      </c>
      <c r="BK77" t="s">
        <v>103</v>
      </c>
      <c r="BL77" t="s">
        <v>1053</v>
      </c>
      <c r="BM77" t="s">
        <v>1828</v>
      </c>
      <c r="BN77" t="s">
        <v>74</v>
      </c>
      <c r="BO77" t="s">
        <v>74</v>
      </c>
      <c r="BP77" t="s">
        <v>74</v>
      </c>
      <c r="BQ77" t="s">
        <v>74</v>
      </c>
      <c r="BR77" t="s">
        <v>106</v>
      </c>
      <c r="BS77" t="s">
        <v>1829</v>
      </c>
      <c r="BT77" t="str">
        <f>HYPERLINK("https%3A%2F%2Fwww.webofscience.com%2Fwos%2Fwoscc%2Ffull-record%2FWOS:000607717000001","View Full Record in Web of Science")</f>
        <v>View Full Record in Web of Science</v>
      </c>
    </row>
    <row r="78" spans="1:72" x14ac:dyDescent="0.15">
      <c r="A78" t="s">
        <v>72</v>
      </c>
      <c r="B78" t="s">
        <v>1830</v>
      </c>
      <c r="C78" t="s">
        <v>74</v>
      </c>
      <c r="D78" t="s">
        <v>74</v>
      </c>
      <c r="E78" t="s">
        <v>74</v>
      </c>
      <c r="F78" t="s">
        <v>1831</v>
      </c>
      <c r="G78" t="s">
        <v>74</v>
      </c>
      <c r="H78" t="s">
        <v>74</v>
      </c>
      <c r="I78" t="s">
        <v>1832</v>
      </c>
      <c r="J78" t="s">
        <v>1833</v>
      </c>
      <c r="K78" t="s">
        <v>74</v>
      </c>
      <c r="L78" t="s">
        <v>74</v>
      </c>
      <c r="M78" t="s">
        <v>78</v>
      </c>
      <c r="N78" t="s">
        <v>79</v>
      </c>
      <c r="O78" t="s">
        <v>74</v>
      </c>
      <c r="P78" t="s">
        <v>74</v>
      </c>
      <c r="Q78" t="s">
        <v>74</v>
      </c>
      <c r="R78" t="s">
        <v>74</v>
      </c>
      <c r="S78" t="s">
        <v>74</v>
      </c>
      <c r="T78" t="s">
        <v>1834</v>
      </c>
      <c r="U78" t="s">
        <v>1835</v>
      </c>
      <c r="V78" t="s">
        <v>1836</v>
      </c>
      <c r="W78" t="s">
        <v>1837</v>
      </c>
      <c r="X78" t="s">
        <v>1838</v>
      </c>
      <c r="Y78" t="s">
        <v>1839</v>
      </c>
      <c r="Z78" t="s">
        <v>1840</v>
      </c>
      <c r="AA78" t="s">
        <v>1841</v>
      </c>
      <c r="AB78" t="s">
        <v>1842</v>
      </c>
      <c r="AC78" t="s">
        <v>1843</v>
      </c>
      <c r="AD78" t="s">
        <v>1844</v>
      </c>
      <c r="AE78" t="s">
        <v>1845</v>
      </c>
      <c r="AF78" t="s">
        <v>74</v>
      </c>
      <c r="AG78">
        <v>64</v>
      </c>
      <c r="AH78">
        <v>5</v>
      </c>
      <c r="AI78">
        <v>5</v>
      </c>
      <c r="AJ78">
        <v>1</v>
      </c>
      <c r="AK78">
        <v>12</v>
      </c>
      <c r="AL78" t="s">
        <v>552</v>
      </c>
      <c r="AM78" t="s">
        <v>553</v>
      </c>
      <c r="AN78" t="s">
        <v>554</v>
      </c>
      <c r="AO78" t="s">
        <v>1846</v>
      </c>
      <c r="AP78" t="s">
        <v>1847</v>
      </c>
      <c r="AQ78" t="s">
        <v>74</v>
      </c>
      <c r="AR78" t="s">
        <v>1848</v>
      </c>
      <c r="AS78" t="s">
        <v>1849</v>
      </c>
      <c r="AT78" t="s">
        <v>184</v>
      </c>
      <c r="AU78">
        <v>2021</v>
      </c>
      <c r="AV78">
        <v>30</v>
      </c>
      <c r="AW78">
        <v>4</v>
      </c>
      <c r="AX78" t="s">
        <v>74</v>
      </c>
      <c r="AY78" t="s">
        <v>74</v>
      </c>
      <c r="AZ78" t="s">
        <v>74</v>
      </c>
      <c r="BA78" t="s">
        <v>74</v>
      </c>
      <c r="BB78">
        <v>1042</v>
      </c>
      <c r="BC78">
        <v>1052</v>
      </c>
      <c r="BD78" t="s">
        <v>74</v>
      </c>
      <c r="BE78" t="s">
        <v>1850</v>
      </c>
      <c r="BF78" t="str">
        <f>HYPERLINK("http://dx.doi.org/10.1111/mec.15771","http://dx.doi.org/10.1111/mec.15771")</f>
        <v>http://dx.doi.org/10.1111/mec.15771</v>
      </c>
      <c r="BG78" t="s">
        <v>74</v>
      </c>
      <c r="BH78" t="s">
        <v>101</v>
      </c>
      <c r="BI78">
        <v>11</v>
      </c>
      <c r="BJ78" t="s">
        <v>1851</v>
      </c>
      <c r="BK78" t="s">
        <v>103</v>
      </c>
      <c r="BL78" t="s">
        <v>1852</v>
      </c>
      <c r="BM78" t="s">
        <v>1853</v>
      </c>
      <c r="BN78">
        <v>33300251</v>
      </c>
      <c r="BO78" t="s">
        <v>1485</v>
      </c>
      <c r="BP78" t="s">
        <v>74</v>
      </c>
      <c r="BQ78" t="s">
        <v>74</v>
      </c>
      <c r="BR78" t="s">
        <v>106</v>
      </c>
      <c r="BS78" t="s">
        <v>1854</v>
      </c>
      <c r="BT78" t="str">
        <f>HYPERLINK("https%3A%2F%2Fwww.webofscience.com%2Fwos%2Fwoscc%2Ffull-record%2FWOS:000607631400001","View Full Record in Web of Science")</f>
        <v>View Full Record in Web of Science</v>
      </c>
    </row>
    <row r="79" spans="1:72" x14ac:dyDescent="0.15">
      <c r="A79" t="s">
        <v>72</v>
      </c>
      <c r="B79" t="s">
        <v>1855</v>
      </c>
      <c r="C79" t="s">
        <v>74</v>
      </c>
      <c r="D79" t="s">
        <v>74</v>
      </c>
      <c r="E79" t="s">
        <v>74</v>
      </c>
      <c r="F79" t="s">
        <v>1856</v>
      </c>
      <c r="G79" t="s">
        <v>74</v>
      </c>
      <c r="H79" t="s">
        <v>74</v>
      </c>
      <c r="I79" t="s">
        <v>1857</v>
      </c>
      <c r="J79" t="s">
        <v>1858</v>
      </c>
      <c r="K79" t="s">
        <v>74</v>
      </c>
      <c r="L79" t="s">
        <v>74</v>
      </c>
      <c r="M79" t="s">
        <v>78</v>
      </c>
      <c r="N79" t="s">
        <v>79</v>
      </c>
      <c r="O79" t="s">
        <v>74</v>
      </c>
      <c r="P79" t="s">
        <v>74</v>
      </c>
      <c r="Q79" t="s">
        <v>74</v>
      </c>
      <c r="R79" t="s">
        <v>74</v>
      </c>
      <c r="S79" t="s">
        <v>74</v>
      </c>
      <c r="T79" t="s">
        <v>1859</v>
      </c>
      <c r="U79" t="s">
        <v>1860</v>
      </c>
      <c r="V79" t="s">
        <v>1861</v>
      </c>
      <c r="W79" t="s">
        <v>1862</v>
      </c>
      <c r="X79" t="s">
        <v>1863</v>
      </c>
      <c r="Y79" t="s">
        <v>1864</v>
      </c>
      <c r="Z79" t="s">
        <v>1865</v>
      </c>
      <c r="AA79" t="s">
        <v>1866</v>
      </c>
      <c r="AB79" t="s">
        <v>1867</v>
      </c>
      <c r="AC79" t="s">
        <v>1868</v>
      </c>
      <c r="AD79" t="s">
        <v>1869</v>
      </c>
      <c r="AE79" t="s">
        <v>1870</v>
      </c>
      <c r="AF79" t="s">
        <v>74</v>
      </c>
      <c r="AG79">
        <v>74</v>
      </c>
      <c r="AH79">
        <v>6</v>
      </c>
      <c r="AI79">
        <v>6</v>
      </c>
      <c r="AJ79">
        <v>1</v>
      </c>
      <c r="AK79">
        <v>31</v>
      </c>
      <c r="AL79" t="s">
        <v>92</v>
      </c>
      <c r="AM79" t="s">
        <v>93</v>
      </c>
      <c r="AN79" t="s">
        <v>94</v>
      </c>
      <c r="AO79" t="s">
        <v>1871</v>
      </c>
      <c r="AP79" t="s">
        <v>1872</v>
      </c>
      <c r="AQ79" t="s">
        <v>74</v>
      </c>
      <c r="AR79" t="s">
        <v>1858</v>
      </c>
      <c r="AS79" t="s">
        <v>1873</v>
      </c>
      <c r="AT79" t="s">
        <v>1507</v>
      </c>
      <c r="AU79">
        <v>2021</v>
      </c>
      <c r="AV79">
        <v>530</v>
      </c>
      <c r="AW79" t="s">
        <v>74</v>
      </c>
      <c r="AX79" t="s">
        <v>74</v>
      </c>
      <c r="AY79" t="s">
        <v>74</v>
      </c>
      <c r="AZ79" t="s">
        <v>74</v>
      </c>
      <c r="BA79" t="s">
        <v>74</v>
      </c>
      <c r="BB79" t="s">
        <v>74</v>
      </c>
      <c r="BC79" t="s">
        <v>74</v>
      </c>
      <c r="BD79">
        <v>735797</v>
      </c>
      <c r="BE79" t="s">
        <v>1874</v>
      </c>
      <c r="BF79" t="str">
        <f>HYPERLINK("http://dx.doi.org/10.1016/j.aquaculture.2020.735797","http://dx.doi.org/10.1016/j.aquaculture.2020.735797")</f>
        <v>http://dx.doi.org/10.1016/j.aquaculture.2020.735797</v>
      </c>
      <c r="BG79" t="s">
        <v>74</v>
      </c>
      <c r="BH79" t="s">
        <v>74</v>
      </c>
      <c r="BI79">
        <v>11</v>
      </c>
      <c r="BJ79" t="s">
        <v>584</v>
      </c>
      <c r="BK79" t="s">
        <v>103</v>
      </c>
      <c r="BL79" t="s">
        <v>584</v>
      </c>
      <c r="BM79" t="s">
        <v>1875</v>
      </c>
      <c r="BN79" t="s">
        <v>74</v>
      </c>
      <c r="BO79" t="s">
        <v>74</v>
      </c>
      <c r="BP79" t="s">
        <v>74</v>
      </c>
      <c r="BQ79" t="s">
        <v>74</v>
      </c>
      <c r="BR79" t="s">
        <v>106</v>
      </c>
      <c r="BS79" t="s">
        <v>1876</v>
      </c>
      <c r="BT79" t="str">
        <f>HYPERLINK("https%3A%2F%2Fwww.webofscience.com%2Fwos%2Fwoscc%2Ffull-record%2FWOS:000582169700045","View Full Record in Web of Science")</f>
        <v>View Full Record in Web of Science</v>
      </c>
    </row>
    <row r="80" spans="1:72" x14ac:dyDescent="0.15">
      <c r="A80" t="s">
        <v>72</v>
      </c>
      <c r="B80" t="s">
        <v>1877</v>
      </c>
      <c r="C80" t="s">
        <v>74</v>
      </c>
      <c r="D80" t="s">
        <v>74</v>
      </c>
      <c r="E80" t="s">
        <v>74</v>
      </c>
      <c r="F80" t="s">
        <v>1878</v>
      </c>
      <c r="G80" t="s">
        <v>74</v>
      </c>
      <c r="H80" t="s">
        <v>74</v>
      </c>
      <c r="I80" t="s">
        <v>1879</v>
      </c>
      <c r="J80" t="s">
        <v>1880</v>
      </c>
      <c r="K80" t="s">
        <v>74</v>
      </c>
      <c r="L80" t="s">
        <v>74</v>
      </c>
      <c r="M80" t="s">
        <v>78</v>
      </c>
      <c r="N80" t="s">
        <v>79</v>
      </c>
      <c r="O80" t="s">
        <v>74</v>
      </c>
      <c r="P80" t="s">
        <v>74</v>
      </c>
      <c r="Q80" t="s">
        <v>74</v>
      </c>
      <c r="R80" t="s">
        <v>74</v>
      </c>
      <c r="S80" t="s">
        <v>74</v>
      </c>
      <c r="T80" t="s">
        <v>1881</v>
      </c>
      <c r="U80" t="s">
        <v>1882</v>
      </c>
      <c r="V80" t="s">
        <v>1883</v>
      </c>
      <c r="W80" t="s">
        <v>1884</v>
      </c>
      <c r="X80" t="s">
        <v>1885</v>
      </c>
      <c r="Y80" t="s">
        <v>1886</v>
      </c>
      <c r="Z80" t="s">
        <v>1887</v>
      </c>
      <c r="AA80" t="s">
        <v>1888</v>
      </c>
      <c r="AB80" t="s">
        <v>1889</v>
      </c>
      <c r="AC80" t="s">
        <v>1890</v>
      </c>
      <c r="AD80" t="s">
        <v>1891</v>
      </c>
      <c r="AE80" t="s">
        <v>1892</v>
      </c>
      <c r="AF80" t="s">
        <v>74</v>
      </c>
      <c r="AG80">
        <v>57</v>
      </c>
      <c r="AH80">
        <v>18</v>
      </c>
      <c r="AI80">
        <v>19</v>
      </c>
      <c r="AJ80">
        <v>1</v>
      </c>
      <c r="AK80">
        <v>16</v>
      </c>
      <c r="AL80" t="s">
        <v>92</v>
      </c>
      <c r="AM80" t="s">
        <v>93</v>
      </c>
      <c r="AN80" t="s">
        <v>94</v>
      </c>
      <c r="AO80" t="s">
        <v>1893</v>
      </c>
      <c r="AP80" t="s">
        <v>1894</v>
      </c>
      <c r="AQ80" t="s">
        <v>74</v>
      </c>
      <c r="AR80" t="s">
        <v>1880</v>
      </c>
      <c r="AS80" t="s">
        <v>1895</v>
      </c>
      <c r="AT80" t="s">
        <v>1507</v>
      </c>
      <c r="AU80">
        <v>2021</v>
      </c>
      <c r="AV80">
        <v>382</v>
      </c>
      <c r="AW80" t="s">
        <v>74</v>
      </c>
      <c r="AX80" t="s">
        <v>74</v>
      </c>
      <c r="AY80" t="s">
        <v>74</v>
      </c>
      <c r="AZ80" t="s">
        <v>74</v>
      </c>
      <c r="BA80" t="s">
        <v>74</v>
      </c>
      <c r="BB80" t="s">
        <v>74</v>
      </c>
      <c r="BC80" t="s">
        <v>74</v>
      </c>
      <c r="BD80">
        <v>114707</v>
      </c>
      <c r="BE80" t="s">
        <v>1896</v>
      </c>
      <c r="BF80" t="str">
        <f>HYPERLINK("http://dx.doi.org/10.1016/j.geoderma.2020.114707","http://dx.doi.org/10.1016/j.geoderma.2020.114707")</f>
        <v>http://dx.doi.org/10.1016/j.geoderma.2020.114707</v>
      </c>
      <c r="BG80" t="s">
        <v>74</v>
      </c>
      <c r="BH80" t="s">
        <v>74</v>
      </c>
      <c r="BI80">
        <v>14</v>
      </c>
      <c r="BJ80" t="s">
        <v>1897</v>
      </c>
      <c r="BK80" t="s">
        <v>103</v>
      </c>
      <c r="BL80" t="s">
        <v>1898</v>
      </c>
      <c r="BM80" t="s">
        <v>1899</v>
      </c>
      <c r="BN80" t="s">
        <v>74</v>
      </c>
      <c r="BO80" t="s">
        <v>74</v>
      </c>
      <c r="BP80" t="s">
        <v>74</v>
      </c>
      <c r="BQ80" t="s">
        <v>74</v>
      </c>
      <c r="BR80" t="s">
        <v>106</v>
      </c>
      <c r="BS80" t="s">
        <v>1900</v>
      </c>
      <c r="BT80" t="str">
        <f>HYPERLINK("https%3A%2F%2Fwww.webofscience.com%2Fwos%2Fwoscc%2Ffull-record%2FWOS:000590747200007","View Full Record in Web of Science")</f>
        <v>View Full Record in Web of Science</v>
      </c>
    </row>
    <row r="81" spans="1:72" x14ac:dyDescent="0.15">
      <c r="A81" t="s">
        <v>72</v>
      </c>
      <c r="B81" t="s">
        <v>1901</v>
      </c>
      <c r="C81" t="s">
        <v>74</v>
      </c>
      <c r="D81" t="s">
        <v>74</v>
      </c>
      <c r="E81" t="s">
        <v>74</v>
      </c>
      <c r="F81" t="s">
        <v>1902</v>
      </c>
      <c r="G81" t="s">
        <v>74</v>
      </c>
      <c r="H81" t="s">
        <v>74</v>
      </c>
      <c r="I81" t="s">
        <v>1903</v>
      </c>
      <c r="J81" t="s">
        <v>1904</v>
      </c>
      <c r="K81" t="s">
        <v>74</v>
      </c>
      <c r="L81" t="s">
        <v>74</v>
      </c>
      <c r="M81" t="s">
        <v>78</v>
      </c>
      <c r="N81" t="s">
        <v>79</v>
      </c>
      <c r="O81" t="s">
        <v>74</v>
      </c>
      <c r="P81" t="s">
        <v>74</v>
      </c>
      <c r="Q81" t="s">
        <v>74</v>
      </c>
      <c r="R81" t="s">
        <v>74</v>
      </c>
      <c r="S81" t="s">
        <v>74</v>
      </c>
      <c r="T81" t="s">
        <v>74</v>
      </c>
      <c r="U81" t="s">
        <v>1905</v>
      </c>
      <c r="V81" t="s">
        <v>1906</v>
      </c>
      <c r="W81" t="s">
        <v>1907</v>
      </c>
      <c r="X81" t="s">
        <v>1908</v>
      </c>
      <c r="Y81" t="s">
        <v>1909</v>
      </c>
      <c r="Z81" t="s">
        <v>1910</v>
      </c>
      <c r="AA81" t="s">
        <v>1911</v>
      </c>
      <c r="AB81" t="s">
        <v>1912</v>
      </c>
      <c r="AC81" t="s">
        <v>74</v>
      </c>
      <c r="AD81" t="s">
        <v>74</v>
      </c>
      <c r="AE81" t="s">
        <v>74</v>
      </c>
      <c r="AF81" t="s">
        <v>74</v>
      </c>
      <c r="AG81">
        <v>169</v>
      </c>
      <c r="AH81">
        <v>3</v>
      </c>
      <c r="AI81">
        <v>3</v>
      </c>
      <c r="AJ81">
        <v>2</v>
      </c>
      <c r="AK81">
        <v>4</v>
      </c>
      <c r="AL81" t="s">
        <v>1913</v>
      </c>
      <c r="AM81" t="s">
        <v>1914</v>
      </c>
      <c r="AN81" t="s">
        <v>1915</v>
      </c>
      <c r="AO81" t="s">
        <v>1916</v>
      </c>
      <c r="AP81" t="s">
        <v>1917</v>
      </c>
      <c r="AQ81" t="s">
        <v>74</v>
      </c>
      <c r="AR81" t="s">
        <v>1918</v>
      </c>
      <c r="AS81" t="s">
        <v>1919</v>
      </c>
      <c r="AT81" t="s">
        <v>347</v>
      </c>
      <c r="AU81">
        <v>2021</v>
      </c>
      <c r="AV81">
        <v>178</v>
      </c>
      <c r="AW81">
        <v>2</v>
      </c>
      <c r="AX81" t="s">
        <v>74</v>
      </c>
      <c r="AY81" t="s">
        <v>74</v>
      </c>
      <c r="AZ81" t="s">
        <v>74</v>
      </c>
      <c r="BA81" t="s">
        <v>74</v>
      </c>
      <c r="BB81" t="s">
        <v>74</v>
      </c>
      <c r="BC81" t="s">
        <v>74</v>
      </c>
      <c r="BD81" t="s">
        <v>1920</v>
      </c>
      <c r="BE81" t="s">
        <v>1921</v>
      </c>
      <c r="BF81" t="str">
        <f>HYPERLINK("http://dx.doi.org/10.1144/jgs2020-081","http://dx.doi.org/10.1144/jgs2020-081")</f>
        <v>http://dx.doi.org/10.1144/jgs2020-081</v>
      </c>
      <c r="BG81" t="s">
        <v>74</v>
      </c>
      <c r="BH81" t="s">
        <v>101</v>
      </c>
      <c r="BI81">
        <v>18</v>
      </c>
      <c r="BJ81" t="s">
        <v>401</v>
      </c>
      <c r="BK81" t="s">
        <v>103</v>
      </c>
      <c r="BL81" t="s">
        <v>402</v>
      </c>
      <c r="BM81" t="s">
        <v>1922</v>
      </c>
      <c r="BN81" t="s">
        <v>74</v>
      </c>
      <c r="BO81" t="s">
        <v>189</v>
      </c>
      <c r="BP81" t="s">
        <v>74</v>
      </c>
      <c r="BQ81" t="s">
        <v>74</v>
      </c>
      <c r="BR81" t="s">
        <v>106</v>
      </c>
      <c r="BS81" t="s">
        <v>1923</v>
      </c>
      <c r="BT81" t="str">
        <f>HYPERLINK("https%3A%2F%2Fwww.webofscience.com%2Fwos%2Fwoscc%2Ffull-record%2FWOS:000614227300001","View Full Record in Web of Science")</f>
        <v>View Full Record in Web of Science</v>
      </c>
    </row>
    <row r="82" spans="1:72" x14ac:dyDescent="0.15">
      <c r="A82" t="s">
        <v>72</v>
      </c>
      <c r="B82" t="s">
        <v>1924</v>
      </c>
      <c r="C82" t="s">
        <v>74</v>
      </c>
      <c r="D82" t="s">
        <v>74</v>
      </c>
      <c r="E82" t="s">
        <v>74</v>
      </c>
      <c r="F82" t="s">
        <v>1925</v>
      </c>
      <c r="G82" t="s">
        <v>74</v>
      </c>
      <c r="H82" t="s">
        <v>74</v>
      </c>
      <c r="I82" t="s">
        <v>1926</v>
      </c>
      <c r="J82" t="s">
        <v>1927</v>
      </c>
      <c r="K82" t="s">
        <v>74</v>
      </c>
      <c r="L82" t="s">
        <v>74</v>
      </c>
      <c r="M82" t="s">
        <v>78</v>
      </c>
      <c r="N82" t="s">
        <v>79</v>
      </c>
      <c r="O82" t="s">
        <v>74</v>
      </c>
      <c r="P82" t="s">
        <v>74</v>
      </c>
      <c r="Q82" t="s">
        <v>74</v>
      </c>
      <c r="R82" t="s">
        <v>74</v>
      </c>
      <c r="S82" t="s">
        <v>74</v>
      </c>
      <c r="T82" t="s">
        <v>1928</v>
      </c>
      <c r="U82" t="s">
        <v>1929</v>
      </c>
      <c r="V82" t="s">
        <v>1930</v>
      </c>
      <c r="W82" t="s">
        <v>1931</v>
      </c>
      <c r="X82" t="s">
        <v>1932</v>
      </c>
      <c r="Y82" t="s">
        <v>1933</v>
      </c>
      <c r="Z82" t="s">
        <v>1934</v>
      </c>
      <c r="AA82" t="s">
        <v>1935</v>
      </c>
      <c r="AB82" t="s">
        <v>1936</v>
      </c>
      <c r="AC82" t="s">
        <v>1937</v>
      </c>
      <c r="AD82" t="s">
        <v>1938</v>
      </c>
      <c r="AE82" t="s">
        <v>1939</v>
      </c>
      <c r="AF82" t="s">
        <v>74</v>
      </c>
      <c r="AG82">
        <v>43</v>
      </c>
      <c r="AH82">
        <v>5</v>
      </c>
      <c r="AI82">
        <v>5</v>
      </c>
      <c r="AJ82">
        <v>1</v>
      </c>
      <c r="AK82">
        <v>12</v>
      </c>
      <c r="AL82" t="s">
        <v>92</v>
      </c>
      <c r="AM82" t="s">
        <v>93</v>
      </c>
      <c r="AN82" t="s">
        <v>94</v>
      </c>
      <c r="AO82" t="s">
        <v>1940</v>
      </c>
      <c r="AP82" t="s">
        <v>1941</v>
      </c>
      <c r="AQ82" t="s">
        <v>74</v>
      </c>
      <c r="AR82" t="s">
        <v>1927</v>
      </c>
      <c r="AS82" t="s">
        <v>1942</v>
      </c>
      <c r="AT82" t="s">
        <v>1507</v>
      </c>
      <c r="AU82">
        <v>2021</v>
      </c>
      <c r="AV82">
        <v>373</v>
      </c>
      <c r="AW82" t="s">
        <v>74</v>
      </c>
      <c r="AX82" t="s">
        <v>74</v>
      </c>
      <c r="AY82" t="s">
        <v>74</v>
      </c>
      <c r="AZ82" t="s">
        <v>74</v>
      </c>
      <c r="BA82" t="s">
        <v>74</v>
      </c>
      <c r="BB82" t="s">
        <v>74</v>
      </c>
      <c r="BC82" t="s">
        <v>74</v>
      </c>
      <c r="BD82">
        <v>107479</v>
      </c>
      <c r="BE82" t="s">
        <v>1943</v>
      </c>
      <c r="BF82" t="str">
        <f>HYPERLINK("http://dx.doi.org/10.1016/j.geomorph.2020.107479","http://dx.doi.org/10.1016/j.geomorph.2020.107479")</f>
        <v>http://dx.doi.org/10.1016/j.geomorph.2020.107479</v>
      </c>
      <c r="BG82" t="s">
        <v>74</v>
      </c>
      <c r="BH82" t="s">
        <v>74</v>
      </c>
      <c r="BI82">
        <v>10</v>
      </c>
      <c r="BJ82" t="s">
        <v>156</v>
      </c>
      <c r="BK82" t="s">
        <v>103</v>
      </c>
      <c r="BL82" t="s">
        <v>157</v>
      </c>
      <c r="BM82" t="s">
        <v>1944</v>
      </c>
      <c r="BN82" t="s">
        <v>74</v>
      </c>
      <c r="BO82" t="s">
        <v>74</v>
      </c>
      <c r="BP82" t="s">
        <v>74</v>
      </c>
      <c r="BQ82" t="s">
        <v>74</v>
      </c>
      <c r="BR82" t="s">
        <v>106</v>
      </c>
      <c r="BS82" t="s">
        <v>1945</v>
      </c>
      <c r="BT82" t="str">
        <f>HYPERLINK("https%3A%2F%2Fwww.webofscience.com%2Fwos%2Fwoscc%2Ffull-record%2FWOS:000597184500013","View Full Record in Web of Science")</f>
        <v>View Full Record in Web of Science</v>
      </c>
    </row>
    <row r="83" spans="1:72" x14ac:dyDescent="0.15">
      <c r="A83" t="s">
        <v>72</v>
      </c>
      <c r="B83" t="s">
        <v>1946</v>
      </c>
      <c r="C83" t="s">
        <v>74</v>
      </c>
      <c r="D83" t="s">
        <v>74</v>
      </c>
      <c r="E83" t="s">
        <v>74</v>
      </c>
      <c r="F83" t="s">
        <v>1947</v>
      </c>
      <c r="G83" t="s">
        <v>74</v>
      </c>
      <c r="H83" t="s">
        <v>74</v>
      </c>
      <c r="I83" t="s">
        <v>1948</v>
      </c>
      <c r="J83" t="s">
        <v>1927</v>
      </c>
      <c r="K83" t="s">
        <v>74</v>
      </c>
      <c r="L83" t="s">
        <v>74</v>
      </c>
      <c r="M83" t="s">
        <v>78</v>
      </c>
      <c r="N83" t="s">
        <v>79</v>
      </c>
      <c r="O83" t="s">
        <v>74</v>
      </c>
      <c r="P83" t="s">
        <v>74</v>
      </c>
      <c r="Q83" t="s">
        <v>74</v>
      </c>
      <c r="R83" t="s">
        <v>74</v>
      </c>
      <c r="S83" t="s">
        <v>74</v>
      </c>
      <c r="T83" t="s">
        <v>1949</v>
      </c>
      <c r="U83" t="s">
        <v>74</v>
      </c>
      <c r="V83" t="s">
        <v>1950</v>
      </c>
      <c r="W83" t="s">
        <v>1951</v>
      </c>
      <c r="X83" t="s">
        <v>1952</v>
      </c>
      <c r="Y83" t="s">
        <v>1953</v>
      </c>
      <c r="Z83" t="s">
        <v>1954</v>
      </c>
      <c r="AA83" t="s">
        <v>1955</v>
      </c>
      <c r="AB83" t="s">
        <v>1956</v>
      </c>
      <c r="AC83" t="s">
        <v>1957</v>
      </c>
      <c r="AD83" t="s">
        <v>1958</v>
      </c>
      <c r="AE83" t="s">
        <v>1959</v>
      </c>
      <c r="AF83" t="s">
        <v>74</v>
      </c>
      <c r="AG83">
        <v>62</v>
      </c>
      <c r="AH83">
        <v>9</v>
      </c>
      <c r="AI83">
        <v>9</v>
      </c>
      <c r="AJ83">
        <v>0</v>
      </c>
      <c r="AK83">
        <v>10</v>
      </c>
      <c r="AL83" t="s">
        <v>92</v>
      </c>
      <c r="AM83" t="s">
        <v>93</v>
      </c>
      <c r="AN83" t="s">
        <v>94</v>
      </c>
      <c r="AO83" t="s">
        <v>1940</v>
      </c>
      <c r="AP83" t="s">
        <v>1941</v>
      </c>
      <c r="AQ83" t="s">
        <v>74</v>
      </c>
      <c r="AR83" t="s">
        <v>1927</v>
      </c>
      <c r="AS83" t="s">
        <v>1942</v>
      </c>
      <c r="AT83" t="s">
        <v>1507</v>
      </c>
      <c r="AU83">
        <v>2021</v>
      </c>
      <c r="AV83">
        <v>373</v>
      </c>
      <c r="AW83" t="s">
        <v>74</v>
      </c>
      <c r="AX83" t="s">
        <v>74</v>
      </c>
      <c r="AY83" t="s">
        <v>74</v>
      </c>
      <c r="AZ83" t="s">
        <v>74</v>
      </c>
      <c r="BA83" t="s">
        <v>74</v>
      </c>
      <c r="BB83" t="s">
        <v>74</v>
      </c>
      <c r="BC83" t="s">
        <v>74</v>
      </c>
      <c r="BD83">
        <v>107475</v>
      </c>
      <c r="BE83" t="s">
        <v>1960</v>
      </c>
      <c r="BF83" t="str">
        <f>HYPERLINK("http://dx.doi.org/10.1016/j.geomorph.2020.107475","http://dx.doi.org/10.1016/j.geomorph.2020.107475")</f>
        <v>http://dx.doi.org/10.1016/j.geomorph.2020.107475</v>
      </c>
      <c r="BG83" t="s">
        <v>74</v>
      </c>
      <c r="BH83" t="s">
        <v>74</v>
      </c>
      <c r="BI83">
        <v>12</v>
      </c>
      <c r="BJ83" t="s">
        <v>156</v>
      </c>
      <c r="BK83" t="s">
        <v>103</v>
      </c>
      <c r="BL83" t="s">
        <v>157</v>
      </c>
      <c r="BM83" t="s">
        <v>1944</v>
      </c>
      <c r="BN83" t="s">
        <v>74</v>
      </c>
      <c r="BO83" t="s">
        <v>74</v>
      </c>
      <c r="BP83" t="s">
        <v>74</v>
      </c>
      <c r="BQ83" t="s">
        <v>74</v>
      </c>
      <c r="BR83" t="s">
        <v>106</v>
      </c>
      <c r="BS83" t="s">
        <v>1961</v>
      </c>
      <c r="BT83" t="str">
        <f>HYPERLINK("https%3A%2F%2Fwww.webofscience.com%2Fwos%2Fwoscc%2Ffull-record%2FWOS:000597184500011","View Full Record in Web of Science")</f>
        <v>View Full Record in Web of Science</v>
      </c>
    </row>
    <row r="84" spans="1:72" x14ac:dyDescent="0.15">
      <c r="A84" t="s">
        <v>72</v>
      </c>
      <c r="B84" t="s">
        <v>1962</v>
      </c>
      <c r="C84" t="s">
        <v>74</v>
      </c>
      <c r="D84" t="s">
        <v>74</v>
      </c>
      <c r="E84" t="s">
        <v>74</v>
      </c>
      <c r="F84" t="s">
        <v>1963</v>
      </c>
      <c r="G84" t="s">
        <v>74</v>
      </c>
      <c r="H84" t="s">
        <v>74</v>
      </c>
      <c r="I84" t="s">
        <v>1964</v>
      </c>
      <c r="J84" t="s">
        <v>408</v>
      </c>
      <c r="K84" t="s">
        <v>74</v>
      </c>
      <c r="L84" t="s">
        <v>74</v>
      </c>
      <c r="M84" t="s">
        <v>78</v>
      </c>
      <c r="N84" t="s">
        <v>79</v>
      </c>
      <c r="O84" t="s">
        <v>74</v>
      </c>
      <c r="P84" t="s">
        <v>74</v>
      </c>
      <c r="Q84" t="s">
        <v>74</v>
      </c>
      <c r="R84" t="s">
        <v>74</v>
      </c>
      <c r="S84" t="s">
        <v>74</v>
      </c>
      <c r="T84" t="s">
        <v>1965</v>
      </c>
      <c r="U84" t="s">
        <v>1966</v>
      </c>
      <c r="V84" t="s">
        <v>1967</v>
      </c>
      <c r="W84" t="s">
        <v>1968</v>
      </c>
      <c r="X84" t="s">
        <v>1969</v>
      </c>
      <c r="Y84" t="s">
        <v>1970</v>
      </c>
      <c r="Z84" t="s">
        <v>1971</v>
      </c>
      <c r="AA84" t="s">
        <v>1972</v>
      </c>
      <c r="AB84" t="s">
        <v>1973</v>
      </c>
      <c r="AC84" t="s">
        <v>1974</v>
      </c>
      <c r="AD84" t="s">
        <v>1975</v>
      </c>
      <c r="AE84" t="s">
        <v>1976</v>
      </c>
      <c r="AF84" t="s">
        <v>74</v>
      </c>
      <c r="AG84">
        <v>40</v>
      </c>
      <c r="AH84">
        <v>1</v>
      </c>
      <c r="AI84">
        <v>3</v>
      </c>
      <c r="AJ84">
        <v>3</v>
      </c>
      <c r="AK84">
        <v>20</v>
      </c>
      <c r="AL84" t="s">
        <v>418</v>
      </c>
      <c r="AM84" t="s">
        <v>178</v>
      </c>
      <c r="AN84" t="s">
        <v>419</v>
      </c>
      <c r="AO84" t="s">
        <v>420</v>
      </c>
      <c r="AP84" t="s">
        <v>421</v>
      </c>
      <c r="AQ84" t="s">
        <v>74</v>
      </c>
      <c r="AR84" t="s">
        <v>422</v>
      </c>
      <c r="AS84" t="s">
        <v>423</v>
      </c>
      <c r="AT84" t="s">
        <v>1507</v>
      </c>
      <c r="AU84">
        <v>2021</v>
      </c>
      <c r="AV84">
        <v>293</v>
      </c>
      <c r="AW84" t="s">
        <v>74</v>
      </c>
      <c r="AX84" t="s">
        <v>74</v>
      </c>
      <c r="AY84" t="s">
        <v>74</v>
      </c>
      <c r="AZ84" t="s">
        <v>74</v>
      </c>
      <c r="BA84" t="s">
        <v>74</v>
      </c>
      <c r="BB84">
        <v>18</v>
      </c>
      <c r="BC84">
        <v>27</v>
      </c>
      <c r="BD84" t="s">
        <v>74</v>
      </c>
      <c r="BE84" t="s">
        <v>1977</v>
      </c>
      <c r="BF84" t="str">
        <f>HYPERLINK("http://dx.doi.org/10.1016/j.gca.2020.10.020","http://dx.doi.org/10.1016/j.gca.2020.10.020")</f>
        <v>http://dx.doi.org/10.1016/j.gca.2020.10.020</v>
      </c>
      <c r="BG84" t="s">
        <v>74</v>
      </c>
      <c r="BH84" t="s">
        <v>74</v>
      </c>
      <c r="BI84">
        <v>10</v>
      </c>
      <c r="BJ84" t="s">
        <v>426</v>
      </c>
      <c r="BK84" t="s">
        <v>103</v>
      </c>
      <c r="BL84" t="s">
        <v>426</v>
      </c>
      <c r="BM84" t="s">
        <v>1978</v>
      </c>
      <c r="BN84" t="s">
        <v>74</v>
      </c>
      <c r="BO84" t="s">
        <v>561</v>
      </c>
      <c r="BP84" t="s">
        <v>74</v>
      </c>
      <c r="BQ84" t="s">
        <v>74</v>
      </c>
      <c r="BR84" t="s">
        <v>106</v>
      </c>
      <c r="BS84" t="s">
        <v>1979</v>
      </c>
      <c r="BT84" t="str">
        <f>HYPERLINK("https%3A%2F%2Fwww.webofscience.com%2Fwos%2Fwoscc%2Ffull-record%2FWOS:000600550100002","View Full Record in Web of Science")</f>
        <v>View Full Record in Web of Science</v>
      </c>
    </row>
    <row r="85" spans="1:72" x14ac:dyDescent="0.15">
      <c r="A85" t="s">
        <v>72</v>
      </c>
      <c r="B85" t="s">
        <v>1980</v>
      </c>
      <c r="C85" t="s">
        <v>74</v>
      </c>
      <c r="D85" t="s">
        <v>74</v>
      </c>
      <c r="E85" t="s">
        <v>74</v>
      </c>
      <c r="F85" t="s">
        <v>1981</v>
      </c>
      <c r="G85" t="s">
        <v>74</v>
      </c>
      <c r="H85" t="s">
        <v>74</v>
      </c>
      <c r="I85" t="s">
        <v>1982</v>
      </c>
      <c r="J85" t="s">
        <v>408</v>
      </c>
      <c r="K85" t="s">
        <v>74</v>
      </c>
      <c r="L85" t="s">
        <v>74</v>
      </c>
      <c r="M85" t="s">
        <v>78</v>
      </c>
      <c r="N85" t="s">
        <v>79</v>
      </c>
      <c r="O85" t="s">
        <v>74</v>
      </c>
      <c r="P85" t="s">
        <v>74</v>
      </c>
      <c r="Q85" t="s">
        <v>74</v>
      </c>
      <c r="R85" t="s">
        <v>74</v>
      </c>
      <c r="S85" t="s">
        <v>74</v>
      </c>
      <c r="T85" t="s">
        <v>1983</v>
      </c>
      <c r="U85" t="s">
        <v>1984</v>
      </c>
      <c r="V85" t="s">
        <v>1985</v>
      </c>
      <c r="W85" t="s">
        <v>1986</v>
      </c>
      <c r="X85" t="s">
        <v>1987</v>
      </c>
      <c r="Y85" t="s">
        <v>1988</v>
      </c>
      <c r="Z85" t="s">
        <v>1989</v>
      </c>
      <c r="AA85" t="s">
        <v>1990</v>
      </c>
      <c r="AB85" t="s">
        <v>1991</v>
      </c>
      <c r="AC85" t="s">
        <v>1992</v>
      </c>
      <c r="AD85" t="s">
        <v>1993</v>
      </c>
      <c r="AE85" t="s">
        <v>1994</v>
      </c>
      <c r="AF85" t="s">
        <v>74</v>
      </c>
      <c r="AG85">
        <v>112</v>
      </c>
      <c r="AH85">
        <v>13</v>
      </c>
      <c r="AI85">
        <v>15</v>
      </c>
      <c r="AJ85">
        <v>0</v>
      </c>
      <c r="AK85">
        <v>23</v>
      </c>
      <c r="AL85" t="s">
        <v>418</v>
      </c>
      <c r="AM85" t="s">
        <v>178</v>
      </c>
      <c r="AN85" t="s">
        <v>419</v>
      </c>
      <c r="AO85" t="s">
        <v>420</v>
      </c>
      <c r="AP85" t="s">
        <v>421</v>
      </c>
      <c r="AQ85" t="s">
        <v>74</v>
      </c>
      <c r="AR85" t="s">
        <v>422</v>
      </c>
      <c r="AS85" t="s">
        <v>423</v>
      </c>
      <c r="AT85" t="s">
        <v>1507</v>
      </c>
      <c r="AU85">
        <v>2021</v>
      </c>
      <c r="AV85">
        <v>293</v>
      </c>
      <c r="AW85" t="s">
        <v>74</v>
      </c>
      <c r="AX85" t="s">
        <v>74</v>
      </c>
      <c r="AY85" t="s">
        <v>74</v>
      </c>
      <c r="AZ85" t="s">
        <v>74</v>
      </c>
      <c r="BA85" t="s">
        <v>74</v>
      </c>
      <c r="BB85">
        <v>379</v>
      </c>
      <c r="BC85">
        <v>398</v>
      </c>
      <c r="BD85" t="s">
        <v>74</v>
      </c>
      <c r="BE85" t="s">
        <v>1995</v>
      </c>
      <c r="BF85" t="str">
        <f>HYPERLINK("http://dx.doi.org/10.1016/j.gca.2020.10.024","http://dx.doi.org/10.1016/j.gca.2020.10.024")</f>
        <v>http://dx.doi.org/10.1016/j.gca.2020.10.024</v>
      </c>
      <c r="BG85" t="s">
        <v>74</v>
      </c>
      <c r="BH85" t="s">
        <v>74</v>
      </c>
      <c r="BI85">
        <v>20</v>
      </c>
      <c r="BJ85" t="s">
        <v>426</v>
      </c>
      <c r="BK85" t="s">
        <v>103</v>
      </c>
      <c r="BL85" t="s">
        <v>426</v>
      </c>
      <c r="BM85" t="s">
        <v>1978</v>
      </c>
      <c r="BN85" t="s">
        <v>74</v>
      </c>
      <c r="BO85" t="s">
        <v>218</v>
      </c>
      <c r="BP85" t="s">
        <v>74</v>
      </c>
      <c r="BQ85" t="s">
        <v>74</v>
      </c>
      <c r="BR85" t="s">
        <v>106</v>
      </c>
      <c r="BS85" t="s">
        <v>1996</v>
      </c>
      <c r="BT85" t="str">
        <f>HYPERLINK("https%3A%2F%2Fwww.webofscience.com%2Fwos%2Fwoscc%2Ffull-record%2FWOS:000600550100020","View Full Record in Web of Science")</f>
        <v>View Full Record in Web of Science</v>
      </c>
    </row>
    <row r="86" spans="1:72" x14ac:dyDescent="0.15">
      <c r="A86" t="s">
        <v>72</v>
      </c>
      <c r="B86" t="s">
        <v>1997</v>
      </c>
      <c r="C86" t="s">
        <v>74</v>
      </c>
      <c r="D86" t="s">
        <v>74</v>
      </c>
      <c r="E86" t="s">
        <v>74</v>
      </c>
      <c r="F86" t="s">
        <v>1998</v>
      </c>
      <c r="G86" t="s">
        <v>74</v>
      </c>
      <c r="H86" t="s">
        <v>74</v>
      </c>
      <c r="I86" t="s">
        <v>1999</v>
      </c>
      <c r="J86" t="s">
        <v>408</v>
      </c>
      <c r="K86" t="s">
        <v>74</v>
      </c>
      <c r="L86" t="s">
        <v>74</v>
      </c>
      <c r="M86" t="s">
        <v>78</v>
      </c>
      <c r="N86" t="s">
        <v>79</v>
      </c>
      <c r="O86" t="s">
        <v>74</v>
      </c>
      <c r="P86" t="s">
        <v>74</v>
      </c>
      <c r="Q86" t="s">
        <v>74</v>
      </c>
      <c r="R86" t="s">
        <v>74</v>
      </c>
      <c r="S86" t="s">
        <v>74</v>
      </c>
      <c r="T86" t="s">
        <v>2000</v>
      </c>
      <c r="U86" t="s">
        <v>2001</v>
      </c>
      <c r="V86" t="s">
        <v>2002</v>
      </c>
      <c r="W86" t="s">
        <v>2003</v>
      </c>
      <c r="X86" t="s">
        <v>2004</v>
      </c>
      <c r="Y86" t="s">
        <v>2005</v>
      </c>
      <c r="Z86" t="s">
        <v>2006</v>
      </c>
      <c r="AA86" t="s">
        <v>2007</v>
      </c>
      <c r="AB86" t="s">
        <v>2008</v>
      </c>
      <c r="AC86" t="s">
        <v>2009</v>
      </c>
      <c r="AD86" t="s">
        <v>2010</v>
      </c>
      <c r="AE86" t="s">
        <v>2011</v>
      </c>
      <c r="AF86" t="s">
        <v>74</v>
      </c>
      <c r="AG86">
        <v>124</v>
      </c>
      <c r="AH86">
        <v>6</v>
      </c>
      <c r="AI86">
        <v>6</v>
      </c>
      <c r="AJ86">
        <v>0</v>
      </c>
      <c r="AK86">
        <v>9</v>
      </c>
      <c r="AL86" t="s">
        <v>418</v>
      </c>
      <c r="AM86" t="s">
        <v>178</v>
      </c>
      <c r="AN86" t="s">
        <v>419</v>
      </c>
      <c r="AO86" t="s">
        <v>420</v>
      </c>
      <c r="AP86" t="s">
        <v>421</v>
      </c>
      <c r="AQ86" t="s">
        <v>74</v>
      </c>
      <c r="AR86" t="s">
        <v>422</v>
      </c>
      <c r="AS86" t="s">
        <v>423</v>
      </c>
      <c r="AT86" t="s">
        <v>1507</v>
      </c>
      <c r="AU86">
        <v>2021</v>
      </c>
      <c r="AV86">
        <v>293</v>
      </c>
      <c r="AW86" t="s">
        <v>74</v>
      </c>
      <c r="AX86" t="s">
        <v>74</v>
      </c>
      <c r="AY86" t="s">
        <v>74</v>
      </c>
      <c r="AZ86" t="s">
        <v>74</v>
      </c>
      <c r="BA86" t="s">
        <v>74</v>
      </c>
      <c r="BB86">
        <v>399</v>
      </c>
      <c r="BC86">
        <v>421</v>
      </c>
      <c r="BD86" t="s">
        <v>74</v>
      </c>
      <c r="BE86" t="s">
        <v>2012</v>
      </c>
      <c r="BF86" t="str">
        <f>HYPERLINK("http://dx.doi.org/10.1016/j.gca.2020.11.006","http://dx.doi.org/10.1016/j.gca.2020.11.006")</f>
        <v>http://dx.doi.org/10.1016/j.gca.2020.11.006</v>
      </c>
      <c r="BG86" t="s">
        <v>74</v>
      </c>
      <c r="BH86" t="s">
        <v>74</v>
      </c>
      <c r="BI86">
        <v>23</v>
      </c>
      <c r="BJ86" t="s">
        <v>426</v>
      </c>
      <c r="BK86" t="s">
        <v>103</v>
      </c>
      <c r="BL86" t="s">
        <v>426</v>
      </c>
      <c r="BM86" t="s">
        <v>1978</v>
      </c>
      <c r="BN86" t="s">
        <v>74</v>
      </c>
      <c r="BO86" t="s">
        <v>74</v>
      </c>
      <c r="BP86" t="s">
        <v>74</v>
      </c>
      <c r="BQ86" t="s">
        <v>74</v>
      </c>
      <c r="BR86" t="s">
        <v>106</v>
      </c>
      <c r="BS86" t="s">
        <v>2013</v>
      </c>
      <c r="BT86" t="str">
        <f>HYPERLINK("https%3A%2F%2Fwww.webofscience.com%2Fwos%2Fwoscc%2Ffull-record%2FWOS:000600550100021","View Full Record in Web of Science")</f>
        <v>View Full Record in Web of Science</v>
      </c>
    </row>
    <row r="87" spans="1:72" x14ac:dyDescent="0.15">
      <c r="A87" t="s">
        <v>72</v>
      </c>
      <c r="B87" t="s">
        <v>2014</v>
      </c>
      <c r="C87" t="s">
        <v>74</v>
      </c>
      <c r="D87" t="s">
        <v>74</v>
      </c>
      <c r="E87" t="s">
        <v>74</v>
      </c>
      <c r="F87" t="s">
        <v>2015</v>
      </c>
      <c r="G87" t="s">
        <v>74</v>
      </c>
      <c r="H87" t="s">
        <v>74</v>
      </c>
      <c r="I87" t="s">
        <v>2016</v>
      </c>
      <c r="J87" t="s">
        <v>408</v>
      </c>
      <c r="K87" t="s">
        <v>74</v>
      </c>
      <c r="L87" t="s">
        <v>74</v>
      </c>
      <c r="M87" t="s">
        <v>78</v>
      </c>
      <c r="N87" t="s">
        <v>79</v>
      </c>
      <c r="O87" t="s">
        <v>74</v>
      </c>
      <c r="P87" t="s">
        <v>74</v>
      </c>
      <c r="Q87" t="s">
        <v>74</v>
      </c>
      <c r="R87" t="s">
        <v>74</v>
      </c>
      <c r="S87" t="s">
        <v>74</v>
      </c>
      <c r="T87" t="s">
        <v>2017</v>
      </c>
      <c r="U87" t="s">
        <v>2018</v>
      </c>
      <c r="V87" t="s">
        <v>2019</v>
      </c>
      <c r="W87" t="s">
        <v>2020</v>
      </c>
      <c r="X87" t="s">
        <v>2021</v>
      </c>
      <c r="Y87" t="s">
        <v>2022</v>
      </c>
      <c r="Z87" t="s">
        <v>2023</v>
      </c>
      <c r="AA87" t="s">
        <v>2024</v>
      </c>
      <c r="AB87" t="s">
        <v>2025</v>
      </c>
      <c r="AC87" t="s">
        <v>2026</v>
      </c>
      <c r="AD87" t="s">
        <v>2027</v>
      </c>
      <c r="AE87" t="s">
        <v>2028</v>
      </c>
      <c r="AF87" t="s">
        <v>74</v>
      </c>
      <c r="AG87">
        <v>107</v>
      </c>
      <c r="AH87">
        <v>16</v>
      </c>
      <c r="AI87">
        <v>16</v>
      </c>
      <c r="AJ87">
        <v>1</v>
      </c>
      <c r="AK87">
        <v>23</v>
      </c>
      <c r="AL87" t="s">
        <v>418</v>
      </c>
      <c r="AM87" t="s">
        <v>178</v>
      </c>
      <c r="AN87" t="s">
        <v>419</v>
      </c>
      <c r="AO87" t="s">
        <v>420</v>
      </c>
      <c r="AP87" t="s">
        <v>421</v>
      </c>
      <c r="AQ87" t="s">
        <v>74</v>
      </c>
      <c r="AR87" t="s">
        <v>422</v>
      </c>
      <c r="AS87" t="s">
        <v>423</v>
      </c>
      <c r="AT87" t="s">
        <v>1507</v>
      </c>
      <c r="AU87">
        <v>2021</v>
      </c>
      <c r="AV87">
        <v>293</v>
      </c>
      <c r="AW87" t="s">
        <v>74</v>
      </c>
      <c r="AX87" t="s">
        <v>74</v>
      </c>
      <c r="AY87" t="s">
        <v>74</v>
      </c>
      <c r="AZ87" t="s">
        <v>74</v>
      </c>
      <c r="BA87" t="s">
        <v>74</v>
      </c>
      <c r="BB87">
        <v>598</v>
      </c>
      <c r="BC87">
        <v>609</v>
      </c>
      <c r="BD87" t="s">
        <v>74</v>
      </c>
      <c r="BE87" t="s">
        <v>2029</v>
      </c>
      <c r="BF87" t="str">
        <f>HYPERLINK("http://dx.doi.org/10.1016/j.gca.2020.10.007","http://dx.doi.org/10.1016/j.gca.2020.10.007")</f>
        <v>http://dx.doi.org/10.1016/j.gca.2020.10.007</v>
      </c>
      <c r="BG87" t="s">
        <v>74</v>
      </c>
      <c r="BH87" t="s">
        <v>74</v>
      </c>
      <c r="BI87">
        <v>12</v>
      </c>
      <c r="BJ87" t="s">
        <v>426</v>
      </c>
      <c r="BK87" t="s">
        <v>103</v>
      </c>
      <c r="BL87" t="s">
        <v>426</v>
      </c>
      <c r="BM87" t="s">
        <v>1978</v>
      </c>
      <c r="BN87" t="s">
        <v>74</v>
      </c>
      <c r="BO87" t="s">
        <v>1708</v>
      </c>
      <c r="BP87" t="s">
        <v>74</v>
      </c>
      <c r="BQ87" t="s">
        <v>74</v>
      </c>
      <c r="BR87" t="s">
        <v>106</v>
      </c>
      <c r="BS87" t="s">
        <v>2030</v>
      </c>
      <c r="BT87" t="str">
        <f>HYPERLINK("https%3A%2F%2Fwww.webofscience.com%2Fwos%2Fwoscc%2Ffull-record%2FWOS:000600550100030","View Full Record in Web of Science")</f>
        <v>View Full Record in Web of Science</v>
      </c>
    </row>
    <row r="88" spans="1:72" x14ac:dyDescent="0.15">
      <c r="A88" t="s">
        <v>72</v>
      </c>
      <c r="B88" t="s">
        <v>2031</v>
      </c>
      <c r="C88" t="s">
        <v>74</v>
      </c>
      <c r="D88" t="s">
        <v>74</v>
      </c>
      <c r="E88" t="s">
        <v>74</v>
      </c>
      <c r="F88" t="s">
        <v>2032</v>
      </c>
      <c r="G88" t="s">
        <v>74</v>
      </c>
      <c r="H88" t="s">
        <v>74</v>
      </c>
      <c r="I88" t="s">
        <v>2033</v>
      </c>
      <c r="J88" t="s">
        <v>2034</v>
      </c>
      <c r="K88" t="s">
        <v>74</v>
      </c>
      <c r="L88" t="s">
        <v>74</v>
      </c>
      <c r="M88" t="s">
        <v>78</v>
      </c>
      <c r="N88" t="s">
        <v>79</v>
      </c>
      <c r="O88" t="s">
        <v>74</v>
      </c>
      <c r="P88" t="s">
        <v>74</v>
      </c>
      <c r="Q88" t="s">
        <v>74</v>
      </c>
      <c r="R88" t="s">
        <v>74</v>
      </c>
      <c r="S88" t="s">
        <v>74</v>
      </c>
      <c r="T88" t="s">
        <v>2035</v>
      </c>
      <c r="U88" t="s">
        <v>2036</v>
      </c>
      <c r="V88" t="s">
        <v>2037</v>
      </c>
      <c r="W88" t="s">
        <v>2038</v>
      </c>
      <c r="X88" t="s">
        <v>2039</v>
      </c>
      <c r="Y88" t="s">
        <v>2040</v>
      </c>
      <c r="Z88" t="s">
        <v>2041</v>
      </c>
      <c r="AA88" t="s">
        <v>74</v>
      </c>
      <c r="AB88" t="s">
        <v>2042</v>
      </c>
      <c r="AC88" t="s">
        <v>2043</v>
      </c>
      <c r="AD88" t="s">
        <v>2044</v>
      </c>
      <c r="AE88" t="s">
        <v>2045</v>
      </c>
      <c r="AF88" t="s">
        <v>74</v>
      </c>
      <c r="AG88">
        <v>68</v>
      </c>
      <c r="AH88">
        <v>4</v>
      </c>
      <c r="AI88">
        <v>5</v>
      </c>
      <c r="AJ88">
        <v>4</v>
      </c>
      <c r="AK88">
        <v>34</v>
      </c>
      <c r="AL88" t="s">
        <v>2046</v>
      </c>
      <c r="AM88" t="s">
        <v>473</v>
      </c>
      <c r="AN88" t="s">
        <v>2047</v>
      </c>
      <c r="AO88" t="s">
        <v>2048</v>
      </c>
      <c r="AP88" t="s">
        <v>2049</v>
      </c>
      <c r="AQ88" t="s">
        <v>74</v>
      </c>
      <c r="AR88" t="s">
        <v>2050</v>
      </c>
      <c r="AS88" t="s">
        <v>2051</v>
      </c>
      <c r="AT88" t="s">
        <v>1507</v>
      </c>
      <c r="AU88">
        <v>2021</v>
      </c>
      <c r="AV88">
        <v>248</v>
      </c>
      <c r="AW88" t="s">
        <v>74</v>
      </c>
      <c r="AX88" t="s">
        <v>74</v>
      </c>
      <c r="AY88" t="s">
        <v>74</v>
      </c>
      <c r="AZ88" t="s">
        <v>74</v>
      </c>
      <c r="BA88" t="s">
        <v>74</v>
      </c>
      <c r="BB88" t="s">
        <v>74</v>
      </c>
      <c r="BC88" t="s">
        <v>74</v>
      </c>
      <c r="BD88">
        <v>105263</v>
      </c>
      <c r="BE88" t="s">
        <v>2052</v>
      </c>
      <c r="BF88" t="str">
        <f>HYPERLINK("http://dx.doi.org/10.1016/j.atmosres.2020.105263","http://dx.doi.org/10.1016/j.atmosres.2020.105263")</f>
        <v>http://dx.doi.org/10.1016/j.atmosres.2020.105263</v>
      </c>
      <c r="BG88" t="s">
        <v>74</v>
      </c>
      <c r="BH88" t="s">
        <v>74</v>
      </c>
      <c r="BI88">
        <v>9</v>
      </c>
      <c r="BJ88" t="s">
        <v>687</v>
      </c>
      <c r="BK88" t="s">
        <v>103</v>
      </c>
      <c r="BL88" t="s">
        <v>687</v>
      </c>
      <c r="BM88" t="s">
        <v>2053</v>
      </c>
      <c r="BN88" t="s">
        <v>74</v>
      </c>
      <c r="BO88" t="s">
        <v>74</v>
      </c>
      <c r="BP88" t="s">
        <v>74</v>
      </c>
      <c r="BQ88" t="s">
        <v>74</v>
      </c>
      <c r="BR88" t="s">
        <v>106</v>
      </c>
      <c r="BS88" t="s">
        <v>2054</v>
      </c>
      <c r="BT88" t="str">
        <f>HYPERLINK("https%3A%2F%2Fwww.webofscience.com%2Fwos%2Fwoscc%2Ffull-record%2FWOS:000594097000005","View Full Record in Web of Science")</f>
        <v>View Full Record in Web of Science</v>
      </c>
    </row>
    <row r="89" spans="1:72" x14ac:dyDescent="0.15">
      <c r="A89" t="s">
        <v>72</v>
      </c>
      <c r="B89" t="s">
        <v>2055</v>
      </c>
      <c r="C89" t="s">
        <v>74</v>
      </c>
      <c r="D89" t="s">
        <v>74</v>
      </c>
      <c r="E89" t="s">
        <v>74</v>
      </c>
      <c r="F89" t="s">
        <v>2056</v>
      </c>
      <c r="G89" t="s">
        <v>74</v>
      </c>
      <c r="H89" t="s">
        <v>74</v>
      </c>
      <c r="I89" t="s">
        <v>2057</v>
      </c>
      <c r="J89" t="s">
        <v>1858</v>
      </c>
      <c r="K89" t="s">
        <v>74</v>
      </c>
      <c r="L89" t="s">
        <v>74</v>
      </c>
      <c r="M89" t="s">
        <v>78</v>
      </c>
      <c r="N89" t="s">
        <v>79</v>
      </c>
      <c r="O89" t="s">
        <v>74</v>
      </c>
      <c r="P89" t="s">
        <v>74</v>
      </c>
      <c r="Q89" t="s">
        <v>74</v>
      </c>
      <c r="R89" t="s">
        <v>74</v>
      </c>
      <c r="S89" t="s">
        <v>74</v>
      </c>
      <c r="T89" t="s">
        <v>2058</v>
      </c>
      <c r="U89" t="s">
        <v>2059</v>
      </c>
      <c r="V89" t="s">
        <v>2060</v>
      </c>
      <c r="W89" t="s">
        <v>2061</v>
      </c>
      <c r="X89" t="s">
        <v>2062</v>
      </c>
      <c r="Y89" t="s">
        <v>2063</v>
      </c>
      <c r="Z89" t="s">
        <v>2064</v>
      </c>
      <c r="AA89" t="s">
        <v>2065</v>
      </c>
      <c r="AB89" t="s">
        <v>2066</v>
      </c>
      <c r="AC89" t="s">
        <v>2067</v>
      </c>
      <c r="AD89" t="s">
        <v>2068</v>
      </c>
      <c r="AE89" t="s">
        <v>2069</v>
      </c>
      <c r="AF89" t="s">
        <v>74</v>
      </c>
      <c r="AG89">
        <v>78</v>
      </c>
      <c r="AH89">
        <v>8</v>
      </c>
      <c r="AI89">
        <v>9</v>
      </c>
      <c r="AJ89">
        <v>3</v>
      </c>
      <c r="AK89">
        <v>61</v>
      </c>
      <c r="AL89" t="s">
        <v>92</v>
      </c>
      <c r="AM89" t="s">
        <v>93</v>
      </c>
      <c r="AN89" t="s">
        <v>94</v>
      </c>
      <c r="AO89" t="s">
        <v>1871</v>
      </c>
      <c r="AP89" t="s">
        <v>1872</v>
      </c>
      <c r="AQ89" t="s">
        <v>74</v>
      </c>
      <c r="AR89" t="s">
        <v>1858</v>
      </c>
      <c r="AS89" t="s">
        <v>1873</v>
      </c>
      <c r="AT89" t="s">
        <v>1507</v>
      </c>
      <c r="AU89">
        <v>2021</v>
      </c>
      <c r="AV89">
        <v>530</v>
      </c>
      <c r="AW89" t="s">
        <v>74</v>
      </c>
      <c r="AX89" t="s">
        <v>74</v>
      </c>
      <c r="AY89" t="s">
        <v>74</v>
      </c>
      <c r="AZ89" t="s">
        <v>74</v>
      </c>
      <c r="BA89" t="s">
        <v>74</v>
      </c>
      <c r="BB89" t="s">
        <v>74</v>
      </c>
      <c r="BC89" t="s">
        <v>74</v>
      </c>
      <c r="BD89">
        <v>735760</v>
      </c>
      <c r="BE89" t="s">
        <v>2070</v>
      </c>
      <c r="BF89" t="str">
        <f>HYPERLINK("http://dx.doi.org/10.1016/j.aquaculture.2020.735760","http://dx.doi.org/10.1016/j.aquaculture.2020.735760")</f>
        <v>http://dx.doi.org/10.1016/j.aquaculture.2020.735760</v>
      </c>
      <c r="BG89" t="s">
        <v>74</v>
      </c>
      <c r="BH89" t="s">
        <v>74</v>
      </c>
      <c r="BI89">
        <v>10</v>
      </c>
      <c r="BJ89" t="s">
        <v>584</v>
      </c>
      <c r="BK89" t="s">
        <v>103</v>
      </c>
      <c r="BL89" t="s">
        <v>584</v>
      </c>
      <c r="BM89" t="s">
        <v>1875</v>
      </c>
      <c r="BN89" t="s">
        <v>74</v>
      </c>
      <c r="BO89" t="s">
        <v>74</v>
      </c>
      <c r="BP89" t="s">
        <v>74</v>
      </c>
      <c r="BQ89" t="s">
        <v>74</v>
      </c>
      <c r="BR89" t="s">
        <v>106</v>
      </c>
      <c r="BS89" t="s">
        <v>2071</v>
      </c>
      <c r="BT89" t="str">
        <f>HYPERLINK("https%3A%2F%2Fwww.webofscience.com%2Fwos%2Fwoscc%2Ffull-record%2FWOS:000582169700003","View Full Record in Web of Science")</f>
        <v>View Full Record in Web of Science</v>
      </c>
    </row>
    <row r="90" spans="1:72" x14ac:dyDescent="0.15">
      <c r="A90" t="s">
        <v>72</v>
      </c>
      <c r="B90" t="s">
        <v>2072</v>
      </c>
      <c r="C90" t="s">
        <v>74</v>
      </c>
      <c r="D90" t="s">
        <v>74</v>
      </c>
      <c r="E90" t="s">
        <v>74</v>
      </c>
      <c r="F90" t="s">
        <v>2073</v>
      </c>
      <c r="G90" t="s">
        <v>74</v>
      </c>
      <c r="H90" t="s">
        <v>74</v>
      </c>
      <c r="I90" t="s">
        <v>2074</v>
      </c>
      <c r="J90" t="s">
        <v>2075</v>
      </c>
      <c r="K90" t="s">
        <v>74</v>
      </c>
      <c r="L90" t="s">
        <v>74</v>
      </c>
      <c r="M90" t="s">
        <v>78</v>
      </c>
      <c r="N90" t="s">
        <v>79</v>
      </c>
      <c r="O90" t="s">
        <v>74</v>
      </c>
      <c r="P90" t="s">
        <v>74</v>
      </c>
      <c r="Q90" t="s">
        <v>74</v>
      </c>
      <c r="R90" t="s">
        <v>74</v>
      </c>
      <c r="S90" t="s">
        <v>74</v>
      </c>
      <c r="T90" t="s">
        <v>74</v>
      </c>
      <c r="U90" t="s">
        <v>2076</v>
      </c>
      <c r="V90" t="s">
        <v>2077</v>
      </c>
      <c r="W90" t="s">
        <v>2078</v>
      </c>
      <c r="X90" t="s">
        <v>2079</v>
      </c>
      <c r="Y90" t="s">
        <v>2080</v>
      </c>
      <c r="Z90" t="s">
        <v>2081</v>
      </c>
      <c r="AA90" t="s">
        <v>74</v>
      </c>
      <c r="AB90" t="s">
        <v>74</v>
      </c>
      <c r="AC90" t="s">
        <v>2082</v>
      </c>
      <c r="AD90" t="s">
        <v>2083</v>
      </c>
      <c r="AE90" t="s">
        <v>2084</v>
      </c>
      <c r="AF90" t="s">
        <v>74</v>
      </c>
      <c r="AG90">
        <v>57</v>
      </c>
      <c r="AH90">
        <v>9</v>
      </c>
      <c r="AI90">
        <v>9</v>
      </c>
      <c r="AJ90">
        <v>2</v>
      </c>
      <c r="AK90">
        <v>13</v>
      </c>
      <c r="AL90" t="s">
        <v>527</v>
      </c>
      <c r="AM90" t="s">
        <v>528</v>
      </c>
      <c r="AN90" t="s">
        <v>529</v>
      </c>
      <c r="AO90" t="s">
        <v>2085</v>
      </c>
      <c r="AP90" t="s">
        <v>74</v>
      </c>
      <c r="AQ90" t="s">
        <v>74</v>
      </c>
      <c r="AR90" t="s">
        <v>2086</v>
      </c>
      <c r="AS90" t="s">
        <v>2087</v>
      </c>
      <c r="AT90" t="s">
        <v>2088</v>
      </c>
      <c r="AU90">
        <v>2021</v>
      </c>
      <c r="AV90">
        <v>11</v>
      </c>
      <c r="AW90">
        <v>1</v>
      </c>
      <c r="AX90" t="s">
        <v>74</v>
      </c>
      <c r="AY90" t="s">
        <v>74</v>
      </c>
      <c r="AZ90" t="s">
        <v>74</v>
      </c>
      <c r="BA90" t="s">
        <v>74</v>
      </c>
      <c r="BB90" t="s">
        <v>74</v>
      </c>
      <c r="BC90" t="s">
        <v>74</v>
      </c>
      <c r="BD90">
        <v>1355</v>
      </c>
      <c r="BE90" t="s">
        <v>2089</v>
      </c>
      <c r="BF90" t="str">
        <f>HYPERLINK("http://dx.doi.org/10.1038/s41598-020-80353-7","http://dx.doi.org/10.1038/s41598-020-80353-7")</f>
        <v>http://dx.doi.org/10.1038/s41598-020-80353-7</v>
      </c>
      <c r="BG90" t="s">
        <v>74</v>
      </c>
      <c r="BH90" t="s">
        <v>74</v>
      </c>
      <c r="BI90">
        <v>10</v>
      </c>
      <c r="BJ90" t="s">
        <v>534</v>
      </c>
      <c r="BK90" t="s">
        <v>271</v>
      </c>
      <c r="BL90" t="s">
        <v>535</v>
      </c>
      <c r="BM90" t="s">
        <v>2090</v>
      </c>
      <c r="BN90">
        <v>33446774</v>
      </c>
      <c r="BO90" t="s">
        <v>246</v>
      </c>
      <c r="BP90" t="s">
        <v>74</v>
      </c>
      <c r="BQ90" t="s">
        <v>74</v>
      </c>
      <c r="BR90" t="s">
        <v>106</v>
      </c>
      <c r="BS90" t="s">
        <v>2091</v>
      </c>
      <c r="BT90" t="str">
        <f>HYPERLINK("https%3A%2F%2Fwww.webofscience.com%2Fwos%2Fwoscc%2Ffull-record%2FWOS:000626774100069","View Full Record in Web of Science")</f>
        <v>View Full Record in Web of Science</v>
      </c>
    </row>
    <row r="91" spans="1:72" x14ac:dyDescent="0.15">
      <c r="A91" t="s">
        <v>72</v>
      </c>
      <c r="B91" t="s">
        <v>2092</v>
      </c>
      <c r="C91" t="s">
        <v>74</v>
      </c>
      <c r="D91" t="s">
        <v>74</v>
      </c>
      <c r="E91" t="s">
        <v>74</v>
      </c>
      <c r="F91" t="s">
        <v>2093</v>
      </c>
      <c r="G91" t="s">
        <v>74</v>
      </c>
      <c r="H91" t="s">
        <v>74</v>
      </c>
      <c r="I91" t="s">
        <v>2094</v>
      </c>
      <c r="J91" t="s">
        <v>2075</v>
      </c>
      <c r="K91" t="s">
        <v>74</v>
      </c>
      <c r="L91" t="s">
        <v>74</v>
      </c>
      <c r="M91" t="s">
        <v>78</v>
      </c>
      <c r="N91" t="s">
        <v>79</v>
      </c>
      <c r="O91" t="s">
        <v>74</v>
      </c>
      <c r="P91" t="s">
        <v>74</v>
      </c>
      <c r="Q91" t="s">
        <v>74</v>
      </c>
      <c r="R91" t="s">
        <v>74</v>
      </c>
      <c r="S91" t="s">
        <v>74</v>
      </c>
      <c r="T91" t="s">
        <v>74</v>
      </c>
      <c r="U91" t="s">
        <v>2095</v>
      </c>
      <c r="V91" t="s">
        <v>2096</v>
      </c>
      <c r="W91" t="s">
        <v>2097</v>
      </c>
      <c r="X91" t="s">
        <v>2098</v>
      </c>
      <c r="Y91" t="s">
        <v>2099</v>
      </c>
      <c r="Z91" t="s">
        <v>2100</v>
      </c>
      <c r="AA91" t="s">
        <v>2101</v>
      </c>
      <c r="AB91" t="s">
        <v>2102</v>
      </c>
      <c r="AC91" t="s">
        <v>2103</v>
      </c>
      <c r="AD91" t="s">
        <v>2104</v>
      </c>
      <c r="AE91" t="s">
        <v>2105</v>
      </c>
      <c r="AF91" t="s">
        <v>74</v>
      </c>
      <c r="AG91">
        <v>98</v>
      </c>
      <c r="AH91">
        <v>18</v>
      </c>
      <c r="AI91">
        <v>20</v>
      </c>
      <c r="AJ91">
        <v>3</v>
      </c>
      <c r="AK91">
        <v>27</v>
      </c>
      <c r="AL91" t="s">
        <v>527</v>
      </c>
      <c r="AM91" t="s">
        <v>528</v>
      </c>
      <c r="AN91" t="s">
        <v>529</v>
      </c>
      <c r="AO91" t="s">
        <v>2085</v>
      </c>
      <c r="AP91" t="s">
        <v>74</v>
      </c>
      <c r="AQ91" t="s">
        <v>74</v>
      </c>
      <c r="AR91" t="s">
        <v>2086</v>
      </c>
      <c r="AS91" t="s">
        <v>2087</v>
      </c>
      <c r="AT91" t="s">
        <v>2088</v>
      </c>
      <c r="AU91">
        <v>2021</v>
      </c>
      <c r="AV91">
        <v>11</v>
      </c>
      <c r="AW91">
        <v>1</v>
      </c>
      <c r="AX91" t="s">
        <v>74</v>
      </c>
      <c r="AY91" t="s">
        <v>74</v>
      </c>
      <c r="AZ91" t="s">
        <v>74</v>
      </c>
      <c r="BA91" t="s">
        <v>74</v>
      </c>
      <c r="BB91" t="s">
        <v>74</v>
      </c>
      <c r="BC91" t="s">
        <v>74</v>
      </c>
      <c r="BD91">
        <v>1368</v>
      </c>
      <c r="BE91" t="s">
        <v>2106</v>
      </c>
      <c r="BF91" t="str">
        <f>HYPERLINK("http://dx.doi.org/10.1038/s41598-020-80568-8","http://dx.doi.org/10.1038/s41598-020-80568-8")</f>
        <v>http://dx.doi.org/10.1038/s41598-020-80568-8</v>
      </c>
      <c r="BG91" t="s">
        <v>74</v>
      </c>
      <c r="BH91" t="s">
        <v>74</v>
      </c>
      <c r="BI91">
        <v>16</v>
      </c>
      <c r="BJ91" t="s">
        <v>534</v>
      </c>
      <c r="BK91" t="s">
        <v>103</v>
      </c>
      <c r="BL91" t="s">
        <v>535</v>
      </c>
      <c r="BM91" t="s">
        <v>2090</v>
      </c>
      <c r="BN91">
        <v>33446791</v>
      </c>
      <c r="BO91" t="s">
        <v>2107</v>
      </c>
      <c r="BP91" t="s">
        <v>74</v>
      </c>
      <c r="BQ91" t="s">
        <v>74</v>
      </c>
      <c r="BR91" t="s">
        <v>106</v>
      </c>
      <c r="BS91" t="s">
        <v>2108</v>
      </c>
      <c r="BT91" t="str">
        <f>HYPERLINK("https%3A%2F%2Fwww.webofscience.com%2Fwos%2Fwoscc%2Ffull-record%2FWOS:000626774100082","View Full Record in Web of Science")</f>
        <v>View Full Record in Web of Science</v>
      </c>
    </row>
    <row r="92" spans="1:72" x14ac:dyDescent="0.15">
      <c r="A92" t="s">
        <v>72</v>
      </c>
      <c r="B92" t="s">
        <v>2109</v>
      </c>
      <c r="C92" t="s">
        <v>74</v>
      </c>
      <c r="D92" t="s">
        <v>74</v>
      </c>
      <c r="E92" t="s">
        <v>74</v>
      </c>
      <c r="F92" t="s">
        <v>2110</v>
      </c>
      <c r="G92" t="s">
        <v>74</v>
      </c>
      <c r="H92" t="s">
        <v>74</v>
      </c>
      <c r="I92" t="s">
        <v>2111</v>
      </c>
      <c r="J92" t="s">
        <v>77</v>
      </c>
      <c r="K92" t="s">
        <v>74</v>
      </c>
      <c r="L92" t="s">
        <v>74</v>
      </c>
      <c r="M92" t="s">
        <v>78</v>
      </c>
      <c r="N92" t="s">
        <v>79</v>
      </c>
      <c r="O92" t="s">
        <v>74</v>
      </c>
      <c r="P92" t="s">
        <v>74</v>
      </c>
      <c r="Q92" t="s">
        <v>74</v>
      </c>
      <c r="R92" t="s">
        <v>74</v>
      </c>
      <c r="S92" t="s">
        <v>74</v>
      </c>
      <c r="T92" t="s">
        <v>2112</v>
      </c>
      <c r="U92" t="s">
        <v>2113</v>
      </c>
      <c r="V92" t="s">
        <v>2114</v>
      </c>
      <c r="W92" t="s">
        <v>2115</v>
      </c>
      <c r="X92" t="s">
        <v>2116</v>
      </c>
      <c r="Y92" t="s">
        <v>2117</v>
      </c>
      <c r="Z92" t="s">
        <v>2118</v>
      </c>
      <c r="AA92" t="s">
        <v>2119</v>
      </c>
      <c r="AB92" t="s">
        <v>2120</v>
      </c>
      <c r="AC92" t="s">
        <v>2121</v>
      </c>
      <c r="AD92" t="s">
        <v>2122</v>
      </c>
      <c r="AE92" t="s">
        <v>2123</v>
      </c>
      <c r="AF92" t="s">
        <v>74</v>
      </c>
      <c r="AG92">
        <v>83</v>
      </c>
      <c r="AH92">
        <v>24</v>
      </c>
      <c r="AI92">
        <v>25</v>
      </c>
      <c r="AJ92">
        <v>15</v>
      </c>
      <c r="AK92">
        <v>187</v>
      </c>
      <c r="AL92" t="s">
        <v>92</v>
      </c>
      <c r="AM92" t="s">
        <v>93</v>
      </c>
      <c r="AN92" t="s">
        <v>94</v>
      </c>
      <c r="AO92" t="s">
        <v>95</v>
      </c>
      <c r="AP92" t="s">
        <v>96</v>
      </c>
      <c r="AQ92" t="s">
        <v>74</v>
      </c>
      <c r="AR92" t="s">
        <v>97</v>
      </c>
      <c r="AS92" t="s">
        <v>98</v>
      </c>
      <c r="AT92" t="s">
        <v>2124</v>
      </c>
      <c r="AU92">
        <v>2021</v>
      </c>
      <c r="AV92">
        <v>761</v>
      </c>
      <c r="AW92" t="s">
        <v>74</v>
      </c>
      <c r="AX92" t="s">
        <v>74</v>
      </c>
      <c r="AY92" t="s">
        <v>74</v>
      </c>
      <c r="AZ92" t="s">
        <v>74</v>
      </c>
      <c r="BA92" t="s">
        <v>74</v>
      </c>
      <c r="BB92" t="s">
        <v>74</v>
      </c>
      <c r="BC92" t="s">
        <v>74</v>
      </c>
      <c r="BD92">
        <v>143194</v>
      </c>
      <c r="BE92" t="s">
        <v>2125</v>
      </c>
      <c r="BF92" t="str">
        <f>HYPERLINK("http://dx.doi.org/10.1016/j.scitotenv.2020.143194","http://dx.doi.org/10.1016/j.scitotenv.2020.143194")</f>
        <v>http://dx.doi.org/10.1016/j.scitotenv.2020.143194</v>
      </c>
      <c r="BG92" t="s">
        <v>74</v>
      </c>
      <c r="BH92" t="s">
        <v>101</v>
      </c>
      <c r="BI92">
        <v>13</v>
      </c>
      <c r="BJ92" t="s">
        <v>102</v>
      </c>
      <c r="BK92" t="s">
        <v>103</v>
      </c>
      <c r="BL92" t="s">
        <v>104</v>
      </c>
      <c r="BM92" t="s">
        <v>2126</v>
      </c>
      <c r="BN92">
        <v>33183799</v>
      </c>
      <c r="BO92" t="s">
        <v>74</v>
      </c>
      <c r="BP92" t="s">
        <v>74</v>
      </c>
      <c r="BQ92" t="s">
        <v>74</v>
      </c>
      <c r="BR92" t="s">
        <v>106</v>
      </c>
      <c r="BS92" t="s">
        <v>2127</v>
      </c>
      <c r="BT92" t="str">
        <f>HYPERLINK("https%3A%2F%2Fwww.webofscience.com%2Fwos%2Fwoscc%2Ffull-record%2FWOS:000607780900013","View Full Record in Web of Science")</f>
        <v>View Full Record in Web of Science</v>
      </c>
    </row>
    <row r="93" spans="1:72" x14ac:dyDescent="0.15">
      <c r="A93" t="s">
        <v>72</v>
      </c>
      <c r="B93" t="s">
        <v>2128</v>
      </c>
      <c r="C93" t="s">
        <v>74</v>
      </c>
      <c r="D93" t="s">
        <v>74</v>
      </c>
      <c r="E93" t="s">
        <v>74</v>
      </c>
      <c r="F93" t="s">
        <v>2129</v>
      </c>
      <c r="G93" t="s">
        <v>74</v>
      </c>
      <c r="H93" t="s">
        <v>2130</v>
      </c>
      <c r="I93" t="s">
        <v>2131</v>
      </c>
      <c r="J93" t="s">
        <v>2132</v>
      </c>
      <c r="K93" t="s">
        <v>74</v>
      </c>
      <c r="L93" t="s">
        <v>74</v>
      </c>
      <c r="M93" t="s">
        <v>78</v>
      </c>
      <c r="N93" t="s">
        <v>79</v>
      </c>
      <c r="O93" t="s">
        <v>74</v>
      </c>
      <c r="P93" t="s">
        <v>74</v>
      </c>
      <c r="Q93" t="s">
        <v>74</v>
      </c>
      <c r="R93" t="s">
        <v>74</v>
      </c>
      <c r="S93" t="s">
        <v>74</v>
      </c>
      <c r="T93" t="s">
        <v>74</v>
      </c>
      <c r="U93" t="s">
        <v>2133</v>
      </c>
      <c r="V93" t="s">
        <v>2134</v>
      </c>
      <c r="W93" t="s">
        <v>2135</v>
      </c>
      <c r="X93" t="s">
        <v>2136</v>
      </c>
      <c r="Y93" t="s">
        <v>2137</v>
      </c>
      <c r="Z93" t="s">
        <v>2138</v>
      </c>
      <c r="AA93" t="s">
        <v>2139</v>
      </c>
      <c r="AB93" t="s">
        <v>2140</v>
      </c>
      <c r="AC93" t="s">
        <v>2141</v>
      </c>
      <c r="AD93" t="s">
        <v>2142</v>
      </c>
      <c r="AE93" t="s">
        <v>74</v>
      </c>
      <c r="AF93" t="s">
        <v>74</v>
      </c>
      <c r="AG93">
        <v>95</v>
      </c>
      <c r="AH93">
        <v>27</v>
      </c>
      <c r="AI93">
        <v>33</v>
      </c>
      <c r="AJ93">
        <v>7</v>
      </c>
      <c r="AK93">
        <v>59</v>
      </c>
      <c r="AL93" t="s">
        <v>955</v>
      </c>
      <c r="AM93" t="s">
        <v>528</v>
      </c>
      <c r="AN93" t="s">
        <v>529</v>
      </c>
      <c r="AO93" t="s">
        <v>2143</v>
      </c>
      <c r="AP93" t="s">
        <v>2144</v>
      </c>
      <c r="AQ93" t="s">
        <v>74</v>
      </c>
      <c r="AR93" t="s">
        <v>2132</v>
      </c>
      <c r="AS93" t="s">
        <v>2145</v>
      </c>
      <c r="AT93" t="s">
        <v>2088</v>
      </c>
      <c r="AU93">
        <v>2021</v>
      </c>
      <c r="AV93">
        <v>589</v>
      </c>
      <c r="AW93">
        <v>7841</v>
      </c>
      <c r="AX93" t="s">
        <v>74</v>
      </c>
      <c r="AY93" t="s">
        <v>74</v>
      </c>
      <c r="AZ93" t="s">
        <v>74</v>
      </c>
      <c r="BA93" t="s">
        <v>74</v>
      </c>
      <c r="BB93">
        <v>236</v>
      </c>
      <c r="BC93" t="s">
        <v>2146</v>
      </c>
      <c r="BD93" t="s">
        <v>74</v>
      </c>
      <c r="BE93" t="s">
        <v>2147</v>
      </c>
      <c r="BF93" t="str">
        <f>HYPERLINK("http://dx.doi.org/10.1038/s41586-020-03094-7","http://dx.doi.org/10.1038/s41586-020-03094-7")</f>
        <v>http://dx.doi.org/10.1038/s41586-020-03094-7</v>
      </c>
      <c r="BG93" t="s">
        <v>74</v>
      </c>
      <c r="BH93" t="s">
        <v>74</v>
      </c>
      <c r="BI93">
        <v>16</v>
      </c>
      <c r="BJ93" t="s">
        <v>534</v>
      </c>
      <c r="BK93" t="s">
        <v>103</v>
      </c>
      <c r="BL93" t="s">
        <v>535</v>
      </c>
      <c r="BM93" t="s">
        <v>2148</v>
      </c>
      <c r="BN93">
        <v>33442043</v>
      </c>
      <c r="BO93" t="s">
        <v>2149</v>
      </c>
      <c r="BP93" t="s">
        <v>74</v>
      </c>
      <c r="BQ93" t="s">
        <v>74</v>
      </c>
      <c r="BR93" t="s">
        <v>106</v>
      </c>
      <c r="BS93" t="s">
        <v>2150</v>
      </c>
      <c r="BT93" t="str">
        <f>HYPERLINK("https%3A%2F%2Fwww.webofscience.com%2Fwos%2Fwoscc%2Ffull-record%2FWOS:000607936500012","View Full Record in Web of Science")</f>
        <v>View Full Record in Web of Science</v>
      </c>
    </row>
    <row r="94" spans="1:72" x14ac:dyDescent="0.15">
      <c r="A94" t="s">
        <v>72</v>
      </c>
      <c r="B94" t="s">
        <v>2151</v>
      </c>
      <c r="C94" t="s">
        <v>74</v>
      </c>
      <c r="D94" t="s">
        <v>74</v>
      </c>
      <c r="E94" t="s">
        <v>74</v>
      </c>
      <c r="F94" t="s">
        <v>2152</v>
      </c>
      <c r="G94" t="s">
        <v>74</v>
      </c>
      <c r="H94" t="s">
        <v>74</v>
      </c>
      <c r="I94" t="s">
        <v>2153</v>
      </c>
      <c r="J94" t="s">
        <v>2154</v>
      </c>
      <c r="K94" t="s">
        <v>74</v>
      </c>
      <c r="L94" t="s">
        <v>74</v>
      </c>
      <c r="M94" t="s">
        <v>78</v>
      </c>
      <c r="N94" t="s">
        <v>79</v>
      </c>
      <c r="O94" t="s">
        <v>74</v>
      </c>
      <c r="P94" t="s">
        <v>74</v>
      </c>
      <c r="Q94" t="s">
        <v>74</v>
      </c>
      <c r="R94" t="s">
        <v>74</v>
      </c>
      <c r="S94" t="s">
        <v>74</v>
      </c>
      <c r="T94" t="s">
        <v>2155</v>
      </c>
      <c r="U94" t="s">
        <v>2156</v>
      </c>
      <c r="V94" t="s">
        <v>2157</v>
      </c>
      <c r="W94" t="s">
        <v>2158</v>
      </c>
      <c r="X94" t="s">
        <v>2159</v>
      </c>
      <c r="Y94" t="s">
        <v>2160</v>
      </c>
      <c r="Z94" t="s">
        <v>2161</v>
      </c>
      <c r="AA94" t="s">
        <v>2162</v>
      </c>
      <c r="AB94" t="s">
        <v>2163</v>
      </c>
      <c r="AC94" t="s">
        <v>2164</v>
      </c>
      <c r="AD94" t="s">
        <v>2165</v>
      </c>
      <c r="AE94" t="s">
        <v>2166</v>
      </c>
      <c r="AF94" t="s">
        <v>74</v>
      </c>
      <c r="AG94">
        <v>64</v>
      </c>
      <c r="AH94">
        <v>5</v>
      </c>
      <c r="AI94">
        <v>5</v>
      </c>
      <c r="AJ94">
        <v>1</v>
      </c>
      <c r="AK94">
        <v>2</v>
      </c>
      <c r="AL94" t="s">
        <v>802</v>
      </c>
      <c r="AM94" t="s">
        <v>178</v>
      </c>
      <c r="AN94" t="s">
        <v>803</v>
      </c>
      <c r="AO94" t="s">
        <v>2167</v>
      </c>
      <c r="AP94" t="s">
        <v>2168</v>
      </c>
      <c r="AQ94" t="s">
        <v>74</v>
      </c>
      <c r="AR94" t="s">
        <v>2169</v>
      </c>
      <c r="AS94" t="s">
        <v>2170</v>
      </c>
      <c r="AT94" t="s">
        <v>214</v>
      </c>
      <c r="AU94">
        <v>2021</v>
      </c>
      <c r="AV94">
        <v>225</v>
      </c>
      <c r="AW94">
        <v>1</v>
      </c>
      <c r="AX94" t="s">
        <v>74</v>
      </c>
      <c r="AY94" t="s">
        <v>74</v>
      </c>
      <c r="AZ94" t="s">
        <v>74</v>
      </c>
      <c r="BA94" t="s">
        <v>74</v>
      </c>
      <c r="BB94">
        <v>200</v>
      </c>
      <c r="BC94">
        <v>221</v>
      </c>
      <c r="BD94" t="s">
        <v>74</v>
      </c>
      <c r="BE94" t="s">
        <v>2171</v>
      </c>
      <c r="BF94" t="str">
        <f>HYPERLINK("http://dx.doi.org/10.1093/gji/ggaa590","http://dx.doi.org/10.1093/gji/ggaa590")</f>
        <v>http://dx.doi.org/10.1093/gji/ggaa590</v>
      </c>
      <c r="BG94" t="s">
        <v>74</v>
      </c>
      <c r="BH94" t="s">
        <v>101</v>
      </c>
      <c r="BI94">
        <v>22</v>
      </c>
      <c r="BJ94" t="s">
        <v>426</v>
      </c>
      <c r="BK94" t="s">
        <v>103</v>
      </c>
      <c r="BL94" t="s">
        <v>426</v>
      </c>
      <c r="BM94" t="s">
        <v>2172</v>
      </c>
      <c r="BN94" t="s">
        <v>74</v>
      </c>
      <c r="BO94" t="s">
        <v>1220</v>
      </c>
      <c r="BP94" t="s">
        <v>74</v>
      </c>
      <c r="BQ94" t="s">
        <v>74</v>
      </c>
      <c r="BR94" t="s">
        <v>106</v>
      </c>
      <c r="BS94" t="s">
        <v>2173</v>
      </c>
      <c r="BT94" t="str">
        <f>HYPERLINK("https%3A%2F%2Fwww.webofscience.com%2Fwos%2Fwoscc%2Ffull-record%2FWOS:000646864000013","View Full Record in Web of Science")</f>
        <v>View Full Record in Web of Science</v>
      </c>
    </row>
    <row r="95" spans="1:72" x14ac:dyDescent="0.15">
      <c r="A95" t="s">
        <v>72</v>
      </c>
      <c r="B95" t="s">
        <v>2174</v>
      </c>
      <c r="C95" t="s">
        <v>74</v>
      </c>
      <c r="D95" t="s">
        <v>74</v>
      </c>
      <c r="E95" t="s">
        <v>74</v>
      </c>
      <c r="F95" t="s">
        <v>2175</v>
      </c>
      <c r="G95" t="s">
        <v>74</v>
      </c>
      <c r="H95" t="s">
        <v>74</v>
      </c>
      <c r="I95" t="s">
        <v>2176</v>
      </c>
      <c r="J95" t="s">
        <v>2177</v>
      </c>
      <c r="K95" t="s">
        <v>74</v>
      </c>
      <c r="L95" t="s">
        <v>74</v>
      </c>
      <c r="M95" t="s">
        <v>78</v>
      </c>
      <c r="N95" t="s">
        <v>79</v>
      </c>
      <c r="O95" t="s">
        <v>74</v>
      </c>
      <c r="P95" t="s">
        <v>74</v>
      </c>
      <c r="Q95" t="s">
        <v>74</v>
      </c>
      <c r="R95" t="s">
        <v>74</v>
      </c>
      <c r="S95" t="s">
        <v>74</v>
      </c>
      <c r="T95" t="s">
        <v>2178</v>
      </c>
      <c r="U95" t="s">
        <v>74</v>
      </c>
      <c r="V95" t="s">
        <v>2179</v>
      </c>
      <c r="W95" t="s">
        <v>2180</v>
      </c>
      <c r="X95" t="s">
        <v>2181</v>
      </c>
      <c r="Y95" t="s">
        <v>2182</v>
      </c>
      <c r="Z95" t="s">
        <v>2183</v>
      </c>
      <c r="AA95" t="s">
        <v>2184</v>
      </c>
      <c r="AB95" t="s">
        <v>2185</v>
      </c>
      <c r="AC95" t="s">
        <v>2186</v>
      </c>
      <c r="AD95" t="s">
        <v>2187</v>
      </c>
      <c r="AE95" t="s">
        <v>2188</v>
      </c>
      <c r="AF95" t="s">
        <v>74</v>
      </c>
      <c r="AG95">
        <v>47</v>
      </c>
      <c r="AH95">
        <v>23</v>
      </c>
      <c r="AI95">
        <v>26</v>
      </c>
      <c r="AJ95">
        <v>30</v>
      </c>
      <c r="AK95">
        <v>142</v>
      </c>
      <c r="AL95" t="s">
        <v>92</v>
      </c>
      <c r="AM95" t="s">
        <v>93</v>
      </c>
      <c r="AN95" t="s">
        <v>94</v>
      </c>
      <c r="AO95" t="s">
        <v>2189</v>
      </c>
      <c r="AP95" t="s">
        <v>2190</v>
      </c>
      <c r="AQ95" t="s">
        <v>74</v>
      </c>
      <c r="AR95" t="s">
        <v>2191</v>
      </c>
      <c r="AS95" t="s">
        <v>2192</v>
      </c>
      <c r="AT95" t="s">
        <v>2193</v>
      </c>
      <c r="AU95">
        <v>2021</v>
      </c>
      <c r="AV95">
        <v>411</v>
      </c>
      <c r="AW95" t="s">
        <v>74</v>
      </c>
      <c r="AX95" t="s">
        <v>74</v>
      </c>
      <c r="AY95" t="s">
        <v>74</v>
      </c>
      <c r="AZ95" t="s">
        <v>74</v>
      </c>
      <c r="BA95" t="s">
        <v>74</v>
      </c>
      <c r="BB95" t="s">
        <v>74</v>
      </c>
      <c r="BC95" t="s">
        <v>74</v>
      </c>
      <c r="BD95">
        <v>125049</v>
      </c>
      <c r="BE95" t="s">
        <v>2194</v>
      </c>
      <c r="BF95" t="str">
        <f>HYPERLINK("http://dx.doi.org/10.1016/j.jhazmat.2021.125049","http://dx.doi.org/10.1016/j.jhazmat.2021.125049")</f>
        <v>http://dx.doi.org/10.1016/j.jhazmat.2021.125049</v>
      </c>
      <c r="BG95" t="s">
        <v>74</v>
      </c>
      <c r="BH95" t="s">
        <v>101</v>
      </c>
      <c r="BI95">
        <v>9</v>
      </c>
      <c r="BJ95" t="s">
        <v>2195</v>
      </c>
      <c r="BK95" t="s">
        <v>103</v>
      </c>
      <c r="BL95" t="s">
        <v>2196</v>
      </c>
      <c r="BM95" t="s">
        <v>2197</v>
      </c>
      <c r="BN95">
        <v>33453666</v>
      </c>
      <c r="BO95" t="s">
        <v>74</v>
      </c>
      <c r="BP95" t="s">
        <v>74</v>
      </c>
      <c r="BQ95" t="s">
        <v>74</v>
      </c>
      <c r="BR95" t="s">
        <v>106</v>
      </c>
      <c r="BS95" t="s">
        <v>2198</v>
      </c>
      <c r="BT95" t="str">
        <f>HYPERLINK("https%3A%2F%2Fwww.webofscience.com%2Fwos%2Fwoscc%2Ffull-record%2FWOS:000638062200004","View Full Record in Web of Science")</f>
        <v>View Full Record in Web of Science</v>
      </c>
    </row>
    <row r="96" spans="1:72" x14ac:dyDescent="0.15">
      <c r="A96" t="s">
        <v>72</v>
      </c>
      <c r="B96" t="s">
        <v>2199</v>
      </c>
      <c r="C96" t="s">
        <v>74</v>
      </c>
      <c r="D96" t="s">
        <v>74</v>
      </c>
      <c r="E96" t="s">
        <v>74</v>
      </c>
      <c r="F96" t="s">
        <v>2200</v>
      </c>
      <c r="G96" t="s">
        <v>74</v>
      </c>
      <c r="H96" t="s">
        <v>74</v>
      </c>
      <c r="I96" t="s">
        <v>2201</v>
      </c>
      <c r="J96" t="s">
        <v>2075</v>
      </c>
      <c r="K96" t="s">
        <v>74</v>
      </c>
      <c r="L96" t="s">
        <v>74</v>
      </c>
      <c r="M96" t="s">
        <v>78</v>
      </c>
      <c r="N96" t="s">
        <v>79</v>
      </c>
      <c r="O96" t="s">
        <v>74</v>
      </c>
      <c r="P96" t="s">
        <v>74</v>
      </c>
      <c r="Q96" t="s">
        <v>74</v>
      </c>
      <c r="R96" t="s">
        <v>74</v>
      </c>
      <c r="S96" t="s">
        <v>74</v>
      </c>
      <c r="T96" t="s">
        <v>74</v>
      </c>
      <c r="U96" t="s">
        <v>2202</v>
      </c>
      <c r="V96" t="s">
        <v>2203</v>
      </c>
      <c r="W96" t="s">
        <v>2204</v>
      </c>
      <c r="X96" t="s">
        <v>2205</v>
      </c>
      <c r="Y96" t="s">
        <v>2206</v>
      </c>
      <c r="Z96" t="s">
        <v>2207</v>
      </c>
      <c r="AA96" t="s">
        <v>74</v>
      </c>
      <c r="AB96" t="s">
        <v>74</v>
      </c>
      <c r="AC96" t="s">
        <v>74</v>
      </c>
      <c r="AD96" t="s">
        <v>74</v>
      </c>
      <c r="AE96" t="s">
        <v>74</v>
      </c>
      <c r="AF96" t="s">
        <v>74</v>
      </c>
      <c r="AG96">
        <v>52</v>
      </c>
      <c r="AH96">
        <v>0</v>
      </c>
      <c r="AI96">
        <v>1</v>
      </c>
      <c r="AJ96">
        <v>2</v>
      </c>
      <c r="AK96">
        <v>12</v>
      </c>
      <c r="AL96" t="s">
        <v>527</v>
      </c>
      <c r="AM96" t="s">
        <v>528</v>
      </c>
      <c r="AN96" t="s">
        <v>529</v>
      </c>
      <c r="AO96" t="s">
        <v>2085</v>
      </c>
      <c r="AP96" t="s">
        <v>74</v>
      </c>
      <c r="AQ96" t="s">
        <v>74</v>
      </c>
      <c r="AR96" t="s">
        <v>2086</v>
      </c>
      <c r="AS96" t="s">
        <v>2087</v>
      </c>
      <c r="AT96" t="s">
        <v>2208</v>
      </c>
      <c r="AU96">
        <v>2021</v>
      </c>
      <c r="AV96">
        <v>11</v>
      </c>
      <c r="AW96">
        <v>1</v>
      </c>
      <c r="AX96" t="s">
        <v>74</v>
      </c>
      <c r="AY96" t="s">
        <v>74</v>
      </c>
      <c r="AZ96" t="s">
        <v>74</v>
      </c>
      <c r="BA96" t="s">
        <v>74</v>
      </c>
      <c r="BB96" t="s">
        <v>74</v>
      </c>
      <c r="BC96" t="s">
        <v>74</v>
      </c>
      <c r="BD96">
        <v>901</v>
      </c>
      <c r="BE96" t="s">
        <v>2209</v>
      </c>
      <c r="BF96" t="str">
        <f>HYPERLINK("http://dx.doi.org/10.1038/s41598-020-79825-7","http://dx.doi.org/10.1038/s41598-020-79825-7")</f>
        <v>http://dx.doi.org/10.1038/s41598-020-79825-7</v>
      </c>
      <c r="BG96" t="s">
        <v>74</v>
      </c>
      <c r="BH96" t="s">
        <v>74</v>
      </c>
      <c r="BI96">
        <v>9</v>
      </c>
      <c r="BJ96" t="s">
        <v>534</v>
      </c>
      <c r="BK96" t="s">
        <v>103</v>
      </c>
      <c r="BL96" t="s">
        <v>535</v>
      </c>
      <c r="BM96" t="s">
        <v>2210</v>
      </c>
      <c r="BN96">
        <v>33441651</v>
      </c>
      <c r="BO96" t="s">
        <v>246</v>
      </c>
      <c r="BP96" t="s">
        <v>74</v>
      </c>
      <c r="BQ96" t="s">
        <v>74</v>
      </c>
      <c r="BR96" t="s">
        <v>106</v>
      </c>
      <c r="BS96" t="s">
        <v>2211</v>
      </c>
      <c r="BT96" t="str">
        <f>HYPERLINK("https%3A%2F%2Fwww.webofscience.com%2Fwos%2Fwoscc%2Ffull-record%2FWOS:000621765000054","View Full Record in Web of Science")</f>
        <v>View Full Record in Web of Science</v>
      </c>
    </row>
    <row r="97" spans="1:72" x14ac:dyDescent="0.15">
      <c r="A97" t="s">
        <v>72</v>
      </c>
      <c r="B97" t="s">
        <v>2212</v>
      </c>
      <c r="C97" t="s">
        <v>74</v>
      </c>
      <c r="D97" t="s">
        <v>74</v>
      </c>
      <c r="E97" t="s">
        <v>74</v>
      </c>
      <c r="F97" t="s">
        <v>2213</v>
      </c>
      <c r="G97" t="s">
        <v>74</v>
      </c>
      <c r="H97" t="s">
        <v>74</v>
      </c>
      <c r="I97" t="s">
        <v>2214</v>
      </c>
      <c r="J97" t="s">
        <v>922</v>
      </c>
      <c r="K97" t="s">
        <v>74</v>
      </c>
      <c r="L97" t="s">
        <v>74</v>
      </c>
      <c r="M97" t="s">
        <v>78</v>
      </c>
      <c r="N97" t="s">
        <v>79</v>
      </c>
      <c r="O97" t="s">
        <v>74</v>
      </c>
      <c r="P97" t="s">
        <v>74</v>
      </c>
      <c r="Q97" t="s">
        <v>74</v>
      </c>
      <c r="R97" t="s">
        <v>74</v>
      </c>
      <c r="S97" t="s">
        <v>74</v>
      </c>
      <c r="T97" t="s">
        <v>74</v>
      </c>
      <c r="U97" t="s">
        <v>2215</v>
      </c>
      <c r="V97" t="s">
        <v>2216</v>
      </c>
      <c r="W97" t="s">
        <v>2217</v>
      </c>
      <c r="X97" t="s">
        <v>2218</v>
      </c>
      <c r="Y97" t="s">
        <v>2219</v>
      </c>
      <c r="Z97" t="s">
        <v>2220</v>
      </c>
      <c r="AA97" t="s">
        <v>2221</v>
      </c>
      <c r="AB97" t="s">
        <v>2222</v>
      </c>
      <c r="AC97" t="s">
        <v>2223</v>
      </c>
      <c r="AD97" t="s">
        <v>2224</v>
      </c>
      <c r="AE97" t="s">
        <v>2225</v>
      </c>
      <c r="AF97" t="s">
        <v>74</v>
      </c>
      <c r="AG97">
        <v>81</v>
      </c>
      <c r="AH97">
        <v>80</v>
      </c>
      <c r="AI97">
        <v>84</v>
      </c>
      <c r="AJ97">
        <v>7</v>
      </c>
      <c r="AK97">
        <v>32</v>
      </c>
      <c r="AL97" t="s">
        <v>123</v>
      </c>
      <c r="AM97" t="s">
        <v>124</v>
      </c>
      <c r="AN97" t="s">
        <v>125</v>
      </c>
      <c r="AO97" t="s">
        <v>934</v>
      </c>
      <c r="AP97" t="s">
        <v>2226</v>
      </c>
      <c r="AQ97" t="s">
        <v>74</v>
      </c>
      <c r="AR97" t="s">
        <v>935</v>
      </c>
      <c r="AS97" t="s">
        <v>936</v>
      </c>
      <c r="AT97" t="s">
        <v>2208</v>
      </c>
      <c r="AU97">
        <v>2021</v>
      </c>
      <c r="AV97">
        <v>17</v>
      </c>
      <c r="AW97">
        <v>1</v>
      </c>
      <c r="AX97" t="s">
        <v>74</v>
      </c>
      <c r="AY97" t="s">
        <v>74</v>
      </c>
      <c r="AZ97" t="s">
        <v>74</v>
      </c>
      <c r="BA97" t="s">
        <v>74</v>
      </c>
      <c r="BB97">
        <v>59</v>
      </c>
      <c r="BC97">
        <v>90</v>
      </c>
      <c r="BD97" t="s">
        <v>74</v>
      </c>
      <c r="BE97" t="s">
        <v>2227</v>
      </c>
      <c r="BF97" t="str">
        <f>HYPERLINK("http://dx.doi.org/10.5194/os-17-59-2021","http://dx.doi.org/10.5194/os-17-59-2021")</f>
        <v>http://dx.doi.org/10.5194/os-17-59-2021</v>
      </c>
      <c r="BG97" t="s">
        <v>74</v>
      </c>
      <c r="BH97" t="s">
        <v>74</v>
      </c>
      <c r="BI97">
        <v>32</v>
      </c>
      <c r="BJ97" t="s">
        <v>938</v>
      </c>
      <c r="BK97" t="s">
        <v>103</v>
      </c>
      <c r="BL97" t="s">
        <v>938</v>
      </c>
      <c r="BM97" t="s">
        <v>2228</v>
      </c>
      <c r="BN97" t="s">
        <v>74</v>
      </c>
      <c r="BO97" t="s">
        <v>917</v>
      </c>
      <c r="BP97" t="s">
        <v>1589</v>
      </c>
      <c r="BQ97" t="s">
        <v>1590</v>
      </c>
      <c r="BR97" t="s">
        <v>106</v>
      </c>
      <c r="BS97" t="s">
        <v>2229</v>
      </c>
      <c r="BT97" t="str">
        <f>HYPERLINK("https%3A%2F%2Fwww.webofscience.com%2Fwos%2Fwoscc%2Ffull-record%2FWOS:000610928600001","View Full Record in Web of Science")</f>
        <v>View Full Record in Web of Science</v>
      </c>
    </row>
    <row r="98" spans="1:72" x14ac:dyDescent="0.15">
      <c r="A98" t="s">
        <v>72</v>
      </c>
      <c r="B98" t="s">
        <v>2230</v>
      </c>
      <c r="C98" t="s">
        <v>74</v>
      </c>
      <c r="D98" t="s">
        <v>74</v>
      </c>
      <c r="E98" t="s">
        <v>74</v>
      </c>
      <c r="F98" t="s">
        <v>2231</v>
      </c>
      <c r="G98" t="s">
        <v>74</v>
      </c>
      <c r="H98" t="s">
        <v>74</v>
      </c>
      <c r="I98" t="s">
        <v>2232</v>
      </c>
      <c r="J98" t="s">
        <v>2233</v>
      </c>
      <c r="K98" t="s">
        <v>74</v>
      </c>
      <c r="L98" t="s">
        <v>74</v>
      </c>
      <c r="M98" t="s">
        <v>78</v>
      </c>
      <c r="N98" t="s">
        <v>79</v>
      </c>
      <c r="O98" t="s">
        <v>74</v>
      </c>
      <c r="P98" t="s">
        <v>74</v>
      </c>
      <c r="Q98" t="s">
        <v>74</v>
      </c>
      <c r="R98" t="s">
        <v>74</v>
      </c>
      <c r="S98" t="s">
        <v>74</v>
      </c>
      <c r="T98" t="s">
        <v>2234</v>
      </c>
      <c r="U98" t="s">
        <v>2235</v>
      </c>
      <c r="V98" t="s">
        <v>2236</v>
      </c>
      <c r="W98" t="s">
        <v>2237</v>
      </c>
      <c r="X98" t="s">
        <v>2238</v>
      </c>
      <c r="Y98" t="s">
        <v>2239</v>
      </c>
      <c r="Z98" t="s">
        <v>2240</v>
      </c>
      <c r="AA98" t="s">
        <v>74</v>
      </c>
      <c r="AB98" t="s">
        <v>2241</v>
      </c>
      <c r="AC98" t="s">
        <v>2242</v>
      </c>
      <c r="AD98" t="s">
        <v>2243</v>
      </c>
      <c r="AE98" t="s">
        <v>2244</v>
      </c>
      <c r="AF98" t="s">
        <v>74</v>
      </c>
      <c r="AG98">
        <v>70</v>
      </c>
      <c r="AH98">
        <v>0</v>
      </c>
      <c r="AI98">
        <v>0</v>
      </c>
      <c r="AJ98">
        <v>0</v>
      </c>
      <c r="AK98">
        <v>3</v>
      </c>
      <c r="AL98" t="s">
        <v>418</v>
      </c>
      <c r="AM98" t="s">
        <v>178</v>
      </c>
      <c r="AN98" t="s">
        <v>419</v>
      </c>
      <c r="AO98" t="s">
        <v>2245</v>
      </c>
      <c r="AP98" t="s">
        <v>2246</v>
      </c>
      <c r="AQ98" t="s">
        <v>74</v>
      </c>
      <c r="AR98" t="s">
        <v>2247</v>
      </c>
      <c r="AS98" t="s">
        <v>2248</v>
      </c>
      <c r="AT98" t="s">
        <v>374</v>
      </c>
      <c r="AU98">
        <v>2021</v>
      </c>
      <c r="AV98">
        <v>167</v>
      </c>
      <c r="AW98" t="s">
        <v>74</v>
      </c>
      <c r="AX98" t="s">
        <v>74</v>
      </c>
      <c r="AY98" t="s">
        <v>74</v>
      </c>
      <c r="AZ98" t="s">
        <v>74</v>
      </c>
      <c r="BA98" t="s">
        <v>74</v>
      </c>
      <c r="BB98" t="s">
        <v>74</v>
      </c>
      <c r="BC98" t="s">
        <v>74</v>
      </c>
      <c r="BD98">
        <v>103424</v>
      </c>
      <c r="BE98" t="s">
        <v>2249</v>
      </c>
      <c r="BF98" t="str">
        <f>HYPERLINK("http://dx.doi.org/10.1016/j.dsr.2020.103424","http://dx.doi.org/10.1016/j.dsr.2020.103424")</f>
        <v>http://dx.doi.org/10.1016/j.dsr.2020.103424</v>
      </c>
      <c r="BG98" t="s">
        <v>74</v>
      </c>
      <c r="BH98" t="s">
        <v>101</v>
      </c>
      <c r="BI98">
        <v>12</v>
      </c>
      <c r="BJ98" t="s">
        <v>2250</v>
      </c>
      <c r="BK98" t="s">
        <v>103</v>
      </c>
      <c r="BL98" t="s">
        <v>2250</v>
      </c>
      <c r="BM98" t="s">
        <v>2251</v>
      </c>
      <c r="BN98" t="s">
        <v>74</v>
      </c>
      <c r="BO98" t="s">
        <v>218</v>
      </c>
      <c r="BP98" t="s">
        <v>74</v>
      </c>
      <c r="BQ98" t="s">
        <v>74</v>
      </c>
      <c r="BR98" t="s">
        <v>106</v>
      </c>
      <c r="BS98" t="s">
        <v>2252</v>
      </c>
      <c r="BT98" t="str">
        <f>HYPERLINK("https%3A%2F%2Fwww.webofscience.com%2Fwos%2Fwoscc%2Ffull-record%2FWOS:000612167000005","View Full Record in Web of Science")</f>
        <v>View Full Record in Web of Science</v>
      </c>
    </row>
    <row r="99" spans="1:72" x14ac:dyDescent="0.15">
      <c r="A99" t="s">
        <v>72</v>
      </c>
      <c r="B99" t="s">
        <v>2253</v>
      </c>
      <c r="C99" t="s">
        <v>74</v>
      </c>
      <c r="D99" t="s">
        <v>74</v>
      </c>
      <c r="E99" t="s">
        <v>74</v>
      </c>
      <c r="F99" t="s">
        <v>2254</v>
      </c>
      <c r="G99" t="s">
        <v>74</v>
      </c>
      <c r="H99" t="s">
        <v>74</v>
      </c>
      <c r="I99" t="s">
        <v>2255</v>
      </c>
      <c r="J99" t="s">
        <v>140</v>
      </c>
      <c r="K99" t="s">
        <v>74</v>
      </c>
      <c r="L99" t="s">
        <v>74</v>
      </c>
      <c r="M99" t="s">
        <v>78</v>
      </c>
      <c r="N99" t="s">
        <v>79</v>
      </c>
      <c r="O99" t="s">
        <v>74</v>
      </c>
      <c r="P99" t="s">
        <v>74</v>
      </c>
      <c r="Q99" t="s">
        <v>74</v>
      </c>
      <c r="R99" t="s">
        <v>74</v>
      </c>
      <c r="S99" t="s">
        <v>74</v>
      </c>
      <c r="T99" t="s">
        <v>74</v>
      </c>
      <c r="U99" t="s">
        <v>2256</v>
      </c>
      <c r="V99" t="s">
        <v>2257</v>
      </c>
      <c r="W99" t="s">
        <v>2258</v>
      </c>
      <c r="X99" t="s">
        <v>2259</v>
      </c>
      <c r="Y99" t="s">
        <v>2260</v>
      </c>
      <c r="Z99" t="s">
        <v>2261</v>
      </c>
      <c r="AA99" t="s">
        <v>74</v>
      </c>
      <c r="AB99" t="s">
        <v>2262</v>
      </c>
      <c r="AC99" t="s">
        <v>2263</v>
      </c>
      <c r="AD99" t="s">
        <v>2264</v>
      </c>
      <c r="AE99" t="s">
        <v>2265</v>
      </c>
      <c r="AF99" t="s">
        <v>74</v>
      </c>
      <c r="AG99">
        <v>70</v>
      </c>
      <c r="AH99">
        <v>21</v>
      </c>
      <c r="AI99">
        <v>21</v>
      </c>
      <c r="AJ99">
        <v>9</v>
      </c>
      <c r="AK99">
        <v>26</v>
      </c>
      <c r="AL99" t="s">
        <v>123</v>
      </c>
      <c r="AM99" t="s">
        <v>124</v>
      </c>
      <c r="AN99" t="s">
        <v>125</v>
      </c>
      <c r="AO99" t="s">
        <v>152</v>
      </c>
      <c r="AP99" t="s">
        <v>153</v>
      </c>
      <c r="AQ99" t="s">
        <v>74</v>
      </c>
      <c r="AR99" t="s">
        <v>140</v>
      </c>
      <c r="AS99" t="s">
        <v>154</v>
      </c>
      <c r="AT99" t="s">
        <v>2208</v>
      </c>
      <c r="AU99">
        <v>2021</v>
      </c>
      <c r="AV99">
        <v>15</v>
      </c>
      <c r="AW99">
        <v>1</v>
      </c>
      <c r="AX99" t="s">
        <v>74</v>
      </c>
      <c r="AY99" t="s">
        <v>74</v>
      </c>
      <c r="AZ99" t="s">
        <v>74</v>
      </c>
      <c r="BA99" t="s">
        <v>74</v>
      </c>
      <c r="BB99">
        <v>133</v>
      </c>
      <c r="BC99">
        <v>148</v>
      </c>
      <c r="BD99" t="s">
        <v>74</v>
      </c>
      <c r="BE99" t="s">
        <v>2266</v>
      </c>
      <c r="BF99" t="str">
        <f>HYPERLINK("http://dx.doi.org/10.5194/tc-15-133-2021","http://dx.doi.org/10.5194/tc-15-133-2021")</f>
        <v>http://dx.doi.org/10.5194/tc-15-133-2021</v>
      </c>
      <c r="BG99" t="s">
        <v>74</v>
      </c>
      <c r="BH99" t="s">
        <v>74</v>
      </c>
      <c r="BI99">
        <v>16</v>
      </c>
      <c r="BJ99" t="s">
        <v>156</v>
      </c>
      <c r="BK99" t="s">
        <v>103</v>
      </c>
      <c r="BL99" t="s">
        <v>157</v>
      </c>
      <c r="BM99" t="s">
        <v>2267</v>
      </c>
      <c r="BN99" t="s">
        <v>74</v>
      </c>
      <c r="BO99" t="s">
        <v>159</v>
      </c>
      <c r="BP99" t="s">
        <v>74</v>
      </c>
      <c r="BQ99" t="s">
        <v>74</v>
      </c>
      <c r="BR99" t="s">
        <v>106</v>
      </c>
      <c r="BS99" t="s">
        <v>2268</v>
      </c>
      <c r="BT99" t="str">
        <f>HYPERLINK("https%3A%2F%2Fwww.webofscience.com%2Fwos%2Fwoscc%2Ffull-record%2FWOS:000610932700001","View Full Record in Web of Science")</f>
        <v>View Full Record in Web of Science</v>
      </c>
    </row>
    <row r="100" spans="1:72" x14ac:dyDescent="0.15">
      <c r="A100" t="s">
        <v>72</v>
      </c>
      <c r="B100" t="s">
        <v>2269</v>
      </c>
      <c r="C100" t="s">
        <v>74</v>
      </c>
      <c r="D100" t="s">
        <v>74</v>
      </c>
      <c r="E100" t="s">
        <v>74</v>
      </c>
      <c r="F100" t="s">
        <v>2270</v>
      </c>
      <c r="G100" t="s">
        <v>74</v>
      </c>
      <c r="H100" t="s">
        <v>74</v>
      </c>
      <c r="I100" t="s">
        <v>2271</v>
      </c>
      <c r="J100" t="s">
        <v>2272</v>
      </c>
      <c r="K100" t="s">
        <v>74</v>
      </c>
      <c r="L100" t="s">
        <v>74</v>
      </c>
      <c r="M100" t="s">
        <v>78</v>
      </c>
      <c r="N100" t="s">
        <v>79</v>
      </c>
      <c r="O100" t="s">
        <v>74</v>
      </c>
      <c r="P100" t="s">
        <v>74</v>
      </c>
      <c r="Q100" t="s">
        <v>74</v>
      </c>
      <c r="R100" t="s">
        <v>74</v>
      </c>
      <c r="S100" t="s">
        <v>74</v>
      </c>
      <c r="T100" t="s">
        <v>74</v>
      </c>
      <c r="U100" t="s">
        <v>2273</v>
      </c>
      <c r="V100" t="s">
        <v>2274</v>
      </c>
      <c r="W100" t="s">
        <v>2275</v>
      </c>
      <c r="X100" t="s">
        <v>2276</v>
      </c>
      <c r="Y100" t="s">
        <v>2277</v>
      </c>
      <c r="Z100" t="s">
        <v>2278</v>
      </c>
      <c r="AA100" t="s">
        <v>2279</v>
      </c>
      <c r="AB100" t="s">
        <v>74</v>
      </c>
      <c r="AC100" t="s">
        <v>2280</v>
      </c>
      <c r="AD100" t="s">
        <v>2280</v>
      </c>
      <c r="AE100" t="s">
        <v>2281</v>
      </c>
      <c r="AF100" t="s">
        <v>74</v>
      </c>
      <c r="AG100">
        <v>42</v>
      </c>
      <c r="AH100">
        <v>8</v>
      </c>
      <c r="AI100">
        <v>9</v>
      </c>
      <c r="AJ100">
        <v>2</v>
      </c>
      <c r="AK100">
        <v>16</v>
      </c>
      <c r="AL100" t="s">
        <v>123</v>
      </c>
      <c r="AM100" t="s">
        <v>124</v>
      </c>
      <c r="AN100" t="s">
        <v>125</v>
      </c>
      <c r="AO100" t="s">
        <v>2282</v>
      </c>
      <c r="AP100" t="s">
        <v>2283</v>
      </c>
      <c r="AQ100" t="s">
        <v>74</v>
      </c>
      <c r="AR100" t="s">
        <v>2284</v>
      </c>
      <c r="AS100" t="s">
        <v>2285</v>
      </c>
      <c r="AT100" t="s">
        <v>2208</v>
      </c>
      <c r="AU100">
        <v>2021</v>
      </c>
      <c r="AV100">
        <v>13</v>
      </c>
      <c r="AW100">
        <v>1</v>
      </c>
      <c r="AX100" t="s">
        <v>74</v>
      </c>
      <c r="AY100" t="s">
        <v>74</v>
      </c>
      <c r="AZ100" t="s">
        <v>74</v>
      </c>
      <c r="BA100" t="s">
        <v>74</v>
      </c>
      <c r="BB100">
        <v>43</v>
      </c>
      <c r="BC100">
        <v>61</v>
      </c>
      <c r="BD100" t="s">
        <v>74</v>
      </c>
      <c r="BE100" t="s">
        <v>2286</v>
      </c>
      <c r="BF100" t="str">
        <f>HYPERLINK("http://dx.doi.org/10.5194/essd-13-43-2021","http://dx.doi.org/10.5194/essd-13-43-2021")</f>
        <v>http://dx.doi.org/10.5194/essd-13-43-2021</v>
      </c>
      <c r="BG100" t="s">
        <v>74</v>
      </c>
      <c r="BH100" t="s">
        <v>74</v>
      </c>
      <c r="BI100">
        <v>19</v>
      </c>
      <c r="BJ100" t="s">
        <v>1570</v>
      </c>
      <c r="BK100" t="s">
        <v>103</v>
      </c>
      <c r="BL100" t="s">
        <v>1571</v>
      </c>
      <c r="BM100" t="s">
        <v>2287</v>
      </c>
      <c r="BN100" t="s">
        <v>74</v>
      </c>
      <c r="BO100" t="s">
        <v>958</v>
      </c>
      <c r="BP100" t="s">
        <v>74</v>
      </c>
      <c r="BQ100" t="s">
        <v>74</v>
      </c>
      <c r="BR100" t="s">
        <v>106</v>
      </c>
      <c r="BS100" t="s">
        <v>2288</v>
      </c>
      <c r="BT100" t="str">
        <f>HYPERLINK("https%3A%2F%2Fwww.webofscience.com%2Fwos%2Fwoscc%2Ffull-record%2FWOS:000610922900001","View Full Record in Web of Science")</f>
        <v>View Full Record in Web of Science</v>
      </c>
    </row>
    <row r="101" spans="1:72" x14ac:dyDescent="0.15">
      <c r="A101" t="s">
        <v>72</v>
      </c>
      <c r="B101" t="s">
        <v>2289</v>
      </c>
      <c r="C101" t="s">
        <v>74</v>
      </c>
      <c r="D101" t="s">
        <v>74</v>
      </c>
      <c r="E101" t="s">
        <v>74</v>
      </c>
      <c r="F101" t="s">
        <v>2290</v>
      </c>
      <c r="G101" t="s">
        <v>74</v>
      </c>
      <c r="H101" t="s">
        <v>74</v>
      </c>
      <c r="I101" t="s">
        <v>2291</v>
      </c>
      <c r="J101" t="s">
        <v>77</v>
      </c>
      <c r="K101" t="s">
        <v>74</v>
      </c>
      <c r="L101" t="s">
        <v>74</v>
      </c>
      <c r="M101" t="s">
        <v>78</v>
      </c>
      <c r="N101" t="s">
        <v>79</v>
      </c>
      <c r="O101" t="s">
        <v>74</v>
      </c>
      <c r="P101" t="s">
        <v>74</v>
      </c>
      <c r="Q101" t="s">
        <v>74</v>
      </c>
      <c r="R101" t="s">
        <v>74</v>
      </c>
      <c r="S101" t="s">
        <v>74</v>
      </c>
      <c r="T101" t="s">
        <v>2292</v>
      </c>
      <c r="U101" t="s">
        <v>2293</v>
      </c>
      <c r="V101" t="s">
        <v>2294</v>
      </c>
      <c r="W101" t="s">
        <v>2295</v>
      </c>
      <c r="X101" t="s">
        <v>2296</v>
      </c>
      <c r="Y101" t="s">
        <v>2297</v>
      </c>
      <c r="Z101" t="s">
        <v>2298</v>
      </c>
      <c r="AA101" t="s">
        <v>2299</v>
      </c>
      <c r="AB101" t="s">
        <v>2300</v>
      </c>
      <c r="AC101" t="s">
        <v>2301</v>
      </c>
      <c r="AD101" t="s">
        <v>2302</v>
      </c>
      <c r="AE101" t="s">
        <v>2303</v>
      </c>
      <c r="AF101" t="s">
        <v>74</v>
      </c>
      <c r="AG101">
        <v>98</v>
      </c>
      <c r="AH101">
        <v>7</v>
      </c>
      <c r="AI101">
        <v>8</v>
      </c>
      <c r="AJ101">
        <v>14</v>
      </c>
      <c r="AK101">
        <v>101</v>
      </c>
      <c r="AL101" t="s">
        <v>92</v>
      </c>
      <c r="AM101" t="s">
        <v>93</v>
      </c>
      <c r="AN101" t="s">
        <v>94</v>
      </c>
      <c r="AO101" t="s">
        <v>95</v>
      </c>
      <c r="AP101" t="s">
        <v>96</v>
      </c>
      <c r="AQ101" t="s">
        <v>74</v>
      </c>
      <c r="AR101" t="s">
        <v>97</v>
      </c>
      <c r="AS101" t="s">
        <v>98</v>
      </c>
      <c r="AT101" t="s">
        <v>2304</v>
      </c>
      <c r="AU101">
        <v>2021</v>
      </c>
      <c r="AV101">
        <v>762</v>
      </c>
      <c r="AW101" t="s">
        <v>74</v>
      </c>
      <c r="AX101" t="s">
        <v>74</v>
      </c>
      <c r="AY101" t="s">
        <v>74</v>
      </c>
      <c r="AZ101" t="s">
        <v>74</v>
      </c>
      <c r="BA101" t="s">
        <v>74</v>
      </c>
      <c r="BB101" t="s">
        <v>74</v>
      </c>
      <c r="BC101" t="s">
        <v>74</v>
      </c>
      <c r="BD101">
        <v>143089</v>
      </c>
      <c r="BE101" t="s">
        <v>2305</v>
      </c>
      <c r="BF101" t="str">
        <f>HYPERLINK("http://dx.doi.org/10.1016/j.scitotenv.2020.143089","http://dx.doi.org/10.1016/j.scitotenv.2020.143089")</f>
        <v>http://dx.doi.org/10.1016/j.scitotenv.2020.143089</v>
      </c>
      <c r="BG101" t="s">
        <v>74</v>
      </c>
      <c r="BH101" t="s">
        <v>101</v>
      </c>
      <c r="BI101">
        <v>11</v>
      </c>
      <c r="BJ101" t="s">
        <v>102</v>
      </c>
      <c r="BK101" t="s">
        <v>103</v>
      </c>
      <c r="BL101" t="s">
        <v>104</v>
      </c>
      <c r="BM101" t="s">
        <v>2306</v>
      </c>
      <c r="BN101">
        <v>33160669</v>
      </c>
      <c r="BO101" t="s">
        <v>218</v>
      </c>
      <c r="BP101" t="s">
        <v>74</v>
      </c>
      <c r="BQ101" t="s">
        <v>74</v>
      </c>
      <c r="BR101" t="s">
        <v>106</v>
      </c>
      <c r="BS101" t="s">
        <v>2307</v>
      </c>
      <c r="BT101" t="str">
        <f>HYPERLINK("https%3A%2F%2Fwww.webofscience.com%2Fwos%2Fwoscc%2Ffull-record%2FWOS:000607910300024","View Full Record in Web of Science")</f>
        <v>View Full Record in Web of Science</v>
      </c>
    </row>
    <row r="102" spans="1:72" x14ac:dyDescent="0.15">
      <c r="A102" t="s">
        <v>72</v>
      </c>
      <c r="B102" t="s">
        <v>2308</v>
      </c>
      <c r="C102" t="s">
        <v>74</v>
      </c>
      <c r="D102" t="s">
        <v>74</v>
      </c>
      <c r="E102" t="s">
        <v>74</v>
      </c>
      <c r="F102" t="s">
        <v>2309</v>
      </c>
      <c r="G102" t="s">
        <v>74</v>
      </c>
      <c r="H102" t="s">
        <v>74</v>
      </c>
      <c r="I102" t="s">
        <v>2310</v>
      </c>
      <c r="J102" t="s">
        <v>77</v>
      </c>
      <c r="K102" t="s">
        <v>74</v>
      </c>
      <c r="L102" t="s">
        <v>74</v>
      </c>
      <c r="M102" t="s">
        <v>78</v>
      </c>
      <c r="N102" t="s">
        <v>79</v>
      </c>
      <c r="O102" t="s">
        <v>74</v>
      </c>
      <c r="P102" t="s">
        <v>74</v>
      </c>
      <c r="Q102" t="s">
        <v>74</v>
      </c>
      <c r="R102" t="s">
        <v>74</v>
      </c>
      <c r="S102" t="s">
        <v>74</v>
      </c>
      <c r="T102" t="s">
        <v>2311</v>
      </c>
      <c r="U102" t="s">
        <v>2312</v>
      </c>
      <c r="V102" t="s">
        <v>2313</v>
      </c>
      <c r="W102" t="s">
        <v>2314</v>
      </c>
      <c r="X102" t="s">
        <v>2315</v>
      </c>
      <c r="Y102" t="s">
        <v>2316</v>
      </c>
      <c r="Z102" t="s">
        <v>2317</v>
      </c>
      <c r="AA102" t="s">
        <v>2318</v>
      </c>
      <c r="AB102" t="s">
        <v>2319</v>
      </c>
      <c r="AC102" t="s">
        <v>2320</v>
      </c>
      <c r="AD102" t="s">
        <v>2321</v>
      </c>
      <c r="AE102" t="s">
        <v>2322</v>
      </c>
      <c r="AF102" t="s">
        <v>74</v>
      </c>
      <c r="AG102">
        <v>80</v>
      </c>
      <c r="AH102">
        <v>13</v>
      </c>
      <c r="AI102">
        <v>14</v>
      </c>
      <c r="AJ102">
        <v>5</v>
      </c>
      <c r="AK102">
        <v>60</v>
      </c>
      <c r="AL102" t="s">
        <v>92</v>
      </c>
      <c r="AM102" t="s">
        <v>93</v>
      </c>
      <c r="AN102" t="s">
        <v>94</v>
      </c>
      <c r="AO102" t="s">
        <v>95</v>
      </c>
      <c r="AP102" t="s">
        <v>96</v>
      </c>
      <c r="AQ102" t="s">
        <v>74</v>
      </c>
      <c r="AR102" t="s">
        <v>97</v>
      </c>
      <c r="AS102" t="s">
        <v>98</v>
      </c>
      <c r="AT102" t="s">
        <v>2304</v>
      </c>
      <c r="AU102">
        <v>2021</v>
      </c>
      <c r="AV102">
        <v>762</v>
      </c>
      <c r="AW102" t="s">
        <v>74</v>
      </c>
      <c r="AX102" t="s">
        <v>74</v>
      </c>
      <c r="AY102" t="s">
        <v>74</v>
      </c>
      <c r="AZ102" t="s">
        <v>74</v>
      </c>
      <c r="BA102" t="s">
        <v>74</v>
      </c>
      <c r="BB102" t="s">
        <v>74</v>
      </c>
      <c r="BC102" t="s">
        <v>74</v>
      </c>
      <c r="BD102">
        <v>143155</v>
      </c>
      <c r="BE102" t="s">
        <v>2323</v>
      </c>
      <c r="BF102" t="str">
        <f>HYPERLINK("http://dx.doi.org/10.1016/j.scitotenv.2020.143155","http://dx.doi.org/10.1016/j.scitotenv.2020.143155")</f>
        <v>http://dx.doi.org/10.1016/j.scitotenv.2020.143155</v>
      </c>
      <c r="BG102" t="s">
        <v>74</v>
      </c>
      <c r="BH102" t="s">
        <v>101</v>
      </c>
      <c r="BI102">
        <v>12</v>
      </c>
      <c r="BJ102" t="s">
        <v>102</v>
      </c>
      <c r="BK102" t="s">
        <v>103</v>
      </c>
      <c r="BL102" t="s">
        <v>104</v>
      </c>
      <c r="BM102" t="s">
        <v>2306</v>
      </c>
      <c r="BN102">
        <v>33131837</v>
      </c>
      <c r="BO102" t="s">
        <v>74</v>
      </c>
      <c r="BP102" t="s">
        <v>74</v>
      </c>
      <c r="BQ102" t="s">
        <v>74</v>
      </c>
      <c r="BR102" t="s">
        <v>106</v>
      </c>
      <c r="BS102" t="s">
        <v>2324</v>
      </c>
      <c r="BT102" t="str">
        <f>HYPERLINK("https%3A%2F%2Fwww.webofscience.com%2Fwos%2Fwoscc%2Ffull-record%2FWOS:000607910300080","View Full Record in Web of Science")</f>
        <v>View Full Record in Web of Science</v>
      </c>
    </row>
    <row r="103" spans="1:72" x14ac:dyDescent="0.15">
      <c r="A103" t="s">
        <v>72</v>
      </c>
      <c r="B103" t="s">
        <v>2325</v>
      </c>
      <c r="C103" t="s">
        <v>74</v>
      </c>
      <c r="D103" t="s">
        <v>74</v>
      </c>
      <c r="E103" t="s">
        <v>74</v>
      </c>
      <c r="F103" t="s">
        <v>2326</v>
      </c>
      <c r="G103" t="s">
        <v>74</v>
      </c>
      <c r="H103" t="s">
        <v>74</v>
      </c>
      <c r="I103" t="s">
        <v>2327</v>
      </c>
      <c r="J103" t="s">
        <v>2328</v>
      </c>
      <c r="K103" t="s">
        <v>74</v>
      </c>
      <c r="L103" t="s">
        <v>74</v>
      </c>
      <c r="M103" t="s">
        <v>78</v>
      </c>
      <c r="N103" t="s">
        <v>79</v>
      </c>
      <c r="O103" t="s">
        <v>74</v>
      </c>
      <c r="P103" t="s">
        <v>74</v>
      </c>
      <c r="Q103" t="s">
        <v>74</v>
      </c>
      <c r="R103" t="s">
        <v>74</v>
      </c>
      <c r="S103" t="s">
        <v>74</v>
      </c>
      <c r="T103" t="s">
        <v>2329</v>
      </c>
      <c r="U103" t="s">
        <v>74</v>
      </c>
      <c r="V103" t="s">
        <v>2330</v>
      </c>
      <c r="W103" t="s">
        <v>2331</v>
      </c>
      <c r="X103" t="s">
        <v>2332</v>
      </c>
      <c r="Y103" t="s">
        <v>2333</v>
      </c>
      <c r="Z103" t="s">
        <v>2334</v>
      </c>
      <c r="AA103" t="s">
        <v>74</v>
      </c>
      <c r="AB103" t="s">
        <v>74</v>
      </c>
      <c r="AC103" t="s">
        <v>2335</v>
      </c>
      <c r="AD103" t="s">
        <v>2335</v>
      </c>
      <c r="AE103" t="s">
        <v>2336</v>
      </c>
      <c r="AF103" t="s">
        <v>74</v>
      </c>
      <c r="AG103">
        <v>31</v>
      </c>
      <c r="AH103">
        <v>3</v>
      </c>
      <c r="AI103">
        <v>3</v>
      </c>
      <c r="AJ103">
        <v>0</v>
      </c>
      <c r="AK103">
        <v>5</v>
      </c>
      <c r="AL103" t="s">
        <v>602</v>
      </c>
      <c r="AM103" t="s">
        <v>603</v>
      </c>
      <c r="AN103" t="s">
        <v>604</v>
      </c>
      <c r="AO103" t="s">
        <v>2337</v>
      </c>
      <c r="AP103" t="s">
        <v>2338</v>
      </c>
      <c r="AQ103" t="s">
        <v>74</v>
      </c>
      <c r="AR103" t="s">
        <v>2339</v>
      </c>
      <c r="AS103" t="s">
        <v>2340</v>
      </c>
      <c r="AT103" t="s">
        <v>2208</v>
      </c>
      <c r="AU103">
        <v>2021</v>
      </c>
      <c r="AV103">
        <v>51</v>
      </c>
      <c r="AW103">
        <v>1</v>
      </c>
      <c r="AX103" t="s">
        <v>74</v>
      </c>
      <c r="AY103" t="s">
        <v>74</v>
      </c>
      <c r="AZ103" t="s">
        <v>74</v>
      </c>
      <c r="BA103" t="s">
        <v>74</v>
      </c>
      <c r="BB103" t="s">
        <v>74</v>
      </c>
      <c r="BC103" t="s">
        <v>74</v>
      </c>
      <c r="BD103">
        <v>8</v>
      </c>
      <c r="BE103" t="s">
        <v>2341</v>
      </c>
      <c r="BF103" t="str">
        <f>HYPERLINK("http://dx.doi.org/10.1007/s12526-020-01134-z","http://dx.doi.org/10.1007/s12526-020-01134-z")</f>
        <v>http://dx.doi.org/10.1007/s12526-020-01134-z</v>
      </c>
      <c r="BG103" t="s">
        <v>74</v>
      </c>
      <c r="BH103" t="s">
        <v>74</v>
      </c>
      <c r="BI103">
        <v>12</v>
      </c>
      <c r="BJ103" t="s">
        <v>2342</v>
      </c>
      <c r="BK103" t="s">
        <v>103</v>
      </c>
      <c r="BL103" t="s">
        <v>2343</v>
      </c>
      <c r="BM103" t="s">
        <v>2344</v>
      </c>
      <c r="BN103" t="s">
        <v>74</v>
      </c>
      <c r="BO103" t="s">
        <v>218</v>
      </c>
      <c r="BP103" t="s">
        <v>74</v>
      </c>
      <c r="BQ103" t="s">
        <v>74</v>
      </c>
      <c r="BR103" t="s">
        <v>106</v>
      </c>
      <c r="BS103" t="s">
        <v>2345</v>
      </c>
      <c r="BT103" t="str">
        <f>HYPERLINK("https%3A%2F%2Fwww.webofscience.com%2Fwos%2Fwoscc%2Ffull-record%2FWOS:000610080400001","View Full Record in Web of Science")</f>
        <v>View Full Record in Web of Science</v>
      </c>
    </row>
    <row r="104" spans="1:72" x14ac:dyDescent="0.15">
      <c r="A104" t="s">
        <v>72</v>
      </c>
      <c r="B104" t="s">
        <v>2346</v>
      </c>
      <c r="C104" t="s">
        <v>74</v>
      </c>
      <c r="D104" t="s">
        <v>74</v>
      </c>
      <c r="E104" t="s">
        <v>74</v>
      </c>
      <c r="F104" t="s">
        <v>2347</v>
      </c>
      <c r="G104" t="s">
        <v>74</v>
      </c>
      <c r="H104" t="s">
        <v>74</v>
      </c>
      <c r="I104" t="s">
        <v>2348</v>
      </c>
      <c r="J104" t="s">
        <v>715</v>
      </c>
      <c r="K104" t="s">
        <v>74</v>
      </c>
      <c r="L104" t="s">
        <v>74</v>
      </c>
      <c r="M104" t="s">
        <v>78</v>
      </c>
      <c r="N104" t="s">
        <v>79</v>
      </c>
      <c r="O104" t="s">
        <v>74</v>
      </c>
      <c r="P104" t="s">
        <v>74</v>
      </c>
      <c r="Q104" t="s">
        <v>74</v>
      </c>
      <c r="R104" t="s">
        <v>74</v>
      </c>
      <c r="S104" t="s">
        <v>74</v>
      </c>
      <c r="T104" t="s">
        <v>2349</v>
      </c>
      <c r="U104" t="s">
        <v>2350</v>
      </c>
      <c r="V104" t="s">
        <v>2351</v>
      </c>
      <c r="W104" t="s">
        <v>2352</v>
      </c>
      <c r="X104" t="s">
        <v>2353</v>
      </c>
      <c r="Y104" t="s">
        <v>2354</v>
      </c>
      <c r="Z104" t="s">
        <v>2355</v>
      </c>
      <c r="AA104" t="s">
        <v>2356</v>
      </c>
      <c r="AB104" t="s">
        <v>2357</v>
      </c>
      <c r="AC104" t="s">
        <v>2358</v>
      </c>
      <c r="AD104" t="s">
        <v>2359</v>
      </c>
      <c r="AE104" t="s">
        <v>2360</v>
      </c>
      <c r="AF104" t="s">
        <v>74</v>
      </c>
      <c r="AG104">
        <v>60</v>
      </c>
      <c r="AH104">
        <v>3</v>
      </c>
      <c r="AI104">
        <v>3</v>
      </c>
      <c r="AJ104">
        <v>1</v>
      </c>
      <c r="AK104">
        <v>26</v>
      </c>
      <c r="AL104" t="s">
        <v>92</v>
      </c>
      <c r="AM104" t="s">
        <v>93</v>
      </c>
      <c r="AN104" t="s">
        <v>94</v>
      </c>
      <c r="AO104" t="s">
        <v>728</v>
      </c>
      <c r="AP104" t="s">
        <v>729</v>
      </c>
      <c r="AQ104" t="s">
        <v>74</v>
      </c>
      <c r="AR104" t="s">
        <v>730</v>
      </c>
      <c r="AS104" t="s">
        <v>731</v>
      </c>
      <c r="AT104" t="s">
        <v>657</v>
      </c>
      <c r="AU104">
        <v>2021</v>
      </c>
      <c r="AV104">
        <v>228</v>
      </c>
      <c r="AW104" t="s">
        <v>74</v>
      </c>
      <c r="AX104" t="s">
        <v>74</v>
      </c>
      <c r="AY104" t="s">
        <v>74</v>
      </c>
      <c r="AZ104" t="s">
        <v>74</v>
      </c>
      <c r="BA104" t="s">
        <v>74</v>
      </c>
      <c r="BB104" t="s">
        <v>74</v>
      </c>
      <c r="BC104" t="s">
        <v>74</v>
      </c>
      <c r="BD104">
        <v>103897</v>
      </c>
      <c r="BE104" t="s">
        <v>2361</v>
      </c>
      <c r="BF104" t="str">
        <f>HYPERLINK("http://dx.doi.org/10.1016/j.marchem.2020.103897","http://dx.doi.org/10.1016/j.marchem.2020.103897")</f>
        <v>http://dx.doi.org/10.1016/j.marchem.2020.103897</v>
      </c>
      <c r="BG104" t="s">
        <v>74</v>
      </c>
      <c r="BH104" t="s">
        <v>101</v>
      </c>
      <c r="BI104">
        <v>10</v>
      </c>
      <c r="BJ104" t="s">
        <v>733</v>
      </c>
      <c r="BK104" t="s">
        <v>103</v>
      </c>
      <c r="BL104" t="s">
        <v>734</v>
      </c>
      <c r="BM104" t="s">
        <v>735</v>
      </c>
      <c r="BN104" t="s">
        <v>74</v>
      </c>
      <c r="BO104" t="s">
        <v>74</v>
      </c>
      <c r="BP104" t="s">
        <v>74</v>
      </c>
      <c r="BQ104" t="s">
        <v>74</v>
      </c>
      <c r="BR104" t="s">
        <v>106</v>
      </c>
      <c r="BS104" t="s">
        <v>2362</v>
      </c>
      <c r="BT104" t="str">
        <f>HYPERLINK("https%3A%2F%2Fwww.webofscience.com%2Fwos%2Fwoscc%2Ffull-record%2FWOS:000608138600001","View Full Record in Web of Science")</f>
        <v>View Full Record in Web of Science</v>
      </c>
    </row>
    <row r="105" spans="1:72" x14ac:dyDescent="0.15">
      <c r="A105" t="s">
        <v>72</v>
      </c>
      <c r="B105" t="s">
        <v>2363</v>
      </c>
      <c r="C105" t="s">
        <v>74</v>
      </c>
      <c r="D105" t="s">
        <v>74</v>
      </c>
      <c r="E105" t="s">
        <v>74</v>
      </c>
      <c r="F105" t="s">
        <v>2364</v>
      </c>
      <c r="G105" t="s">
        <v>74</v>
      </c>
      <c r="H105" t="s">
        <v>74</v>
      </c>
      <c r="I105" t="s">
        <v>2365</v>
      </c>
      <c r="J105" t="s">
        <v>2366</v>
      </c>
      <c r="K105" t="s">
        <v>74</v>
      </c>
      <c r="L105" t="s">
        <v>74</v>
      </c>
      <c r="M105" t="s">
        <v>78</v>
      </c>
      <c r="N105" t="s">
        <v>141</v>
      </c>
      <c r="O105" t="s">
        <v>74</v>
      </c>
      <c r="P105" t="s">
        <v>74</v>
      </c>
      <c r="Q105" t="s">
        <v>74</v>
      </c>
      <c r="R105" t="s">
        <v>74</v>
      </c>
      <c r="S105" t="s">
        <v>74</v>
      </c>
      <c r="T105" t="s">
        <v>2367</v>
      </c>
      <c r="U105" t="s">
        <v>2368</v>
      </c>
      <c r="V105" t="s">
        <v>2369</v>
      </c>
      <c r="W105" t="s">
        <v>2370</v>
      </c>
      <c r="X105" t="s">
        <v>2371</v>
      </c>
      <c r="Y105" t="s">
        <v>2372</v>
      </c>
      <c r="Z105" t="s">
        <v>2373</v>
      </c>
      <c r="AA105" t="s">
        <v>2374</v>
      </c>
      <c r="AB105" t="s">
        <v>2375</v>
      </c>
      <c r="AC105" t="s">
        <v>2376</v>
      </c>
      <c r="AD105" t="s">
        <v>2377</v>
      </c>
      <c r="AE105" t="s">
        <v>2378</v>
      </c>
      <c r="AF105" t="s">
        <v>74</v>
      </c>
      <c r="AG105">
        <v>107</v>
      </c>
      <c r="AH105">
        <v>4</v>
      </c>
      <c r="AI105">
        <v>4</v>
      </c>
      <c r="AJ105">
        <v>3</v>
      </c>
      <c r="AK105">
        <v>11</v>
      </c>
      <c r="AL105" t="s">
        <v>418</v>
      </c>
      <c r="AM105" t="s">
        <v>178</v>
      </c>
      <c r="AN105" t="s">
        <v>419</v>
      </c>
      <c r="AO105" t="s">
        <v>2379</v>
      </c>
      <c r="AP105" t="s">
        <v>2380</v>
      </c>
      <c r="AQ105" t="s">
        <v>74</v>
      </c>
      <c r="AR105" t="s">
        <v>2381</v>
      </c>
      <c r="AS105" t="s">
        <v>2382</v>
      </c>
      <c r="AT105" t="s">
        <v>184</v>
      </c>
      <c r="AU105">
        <v>2021</v>
      </c>
      <c r="AV105">
        <v>191</v>
      </c>
      <c r="AW105" t="s">
        <v>74</v>
      </c>
      <c r="AX105" t="s">
        <v>74</v>
      </c>
      <c r="AY105" t="s">
        <v>74</v>
      </c>
      <c r="AZ105" t="s">
        <v>74</v>
      </c>
      <c r="BA105" t="s">
        <v>74</v>
      </c>
      <c r="BB105" t="s">
        <v>74</v>
      </c>
      <c r="BC105" t="s">
        <v>74</v>
      </c>
      <c r="BD105">
        <v>102498</v>
      </c>
      <c r="BE105" t="s">
        <v>2383</v>
      </c>
      <c r="BF105" t="str">
        <f>HYPERLINK("http://dx.doi.org/10.1016/j.pocean.2020.102498","http://dx.doi.org/10.1016/j.pocean.2020.102498")</f>
        <v>http://dx.doi.org/10.1016/j.pocean.2020.102498</v>
      </c>
      <c r="BG105" t="s">
        <v>74</v>
      </c>
      <c r="BH105" t="s">
        <v>101</v>
      </c>
      <c r="BI105">
        <v>18</v>
      </c>
      <c r="BJ105" t="s">
        <v>2250</v>
      </c>
      <c r="BK105" t="s">
        <v>103</v>
      </c>
      <c r="BL105" t="s">
        <v>2250</v>
      </c>
      <c r="BM105" t="s">
        <v>2384</v>
      </c>
      <c r="BN105" t="s">
        <v>74</v>
      </c>
      <c r="BO105" t="s">
        <v>759</v>
      </c>
      <c r="BP105" t="s">
        <v>74</v>
      </c>
      <c r="BQ105" t="s">
        <v>74</v>
      </c>
      <c r="BR105" t="s">
        <v>106</v>
      </c>
      <c r="BS105" t="s">
        <v>2385</v>
      </c>
      <c r="BT105" t="str">
        <f>HYPERLINK("https%3A%2F%2Fwww.webofscience.com%2Fwos%2Fwoscc%2Ffull-record%2FWOS:000623967800001","View Full Record in Web of Science")</f>
        <v>View Full Record in Web of Science</v>
      </c>
    </row>
    <row r="106" spans="1:72" x14ac:dyDescent="0.15">
      <c r="A106" t="s">
        <v>72</v>
      </c>
      <c r="B106" t="s">
        <v>2386</v>
      </c>
      <c r="C106" t="s">
        <v>74</v>
      </c>
      <c r="D106" t="s">
        <v>74</v>
      </c>
      <c r="E106" t="s">
        <v>74</v>
      </c>
      <c r="F106" t="s">
        <v>2387</v>
      </c>
      <c r="G106" t="s">
        <v>74</v>
      </c>
      <c r="H106" t="s">
        <v>2388</v>
      </c>
      <c r="I106" t="s">
        <v>2389</v>
      </c>
      <c r="J106" t="s">
        <v>2075</v>
      </c>
      <c r="K106" t="s">
        <v>74</v>
      </c>
      <c r="L106" t="s">
        <v>74</v>
      </c>
      <c r="M106" t="s">
        <v>78</v>
      </c>
      <c r="N106" t="s">
        <v>79</v>
      </c>
      <c r="O106" t="s">
        <v>74</v>
      </c>
      <c r="P106" t="s">
        <v>74</v>
      </c>
      <c r="Q106" t="s">
        <v>74</v>
      </c>
      <c r="R106" t="s">
        <v>74</v>
      </c>
      <c r="S106" t="s">
        <v>74</v>
      </c>
      <c r="T106" t="s">
        <v>74</v>
      </c>
      <c r="U106" t="s">
        <v>74</v>
      </c>
      <c r="V106" t="s">
        <v>2390</v>
      </c>
      <c r="W106" t="s">
        <v>2391</v>
      </c>
      <c r="X106" t="s">
        <v>2392</v>
      </c>
      <c r="Y106" t="s">
        <v>2393</v>
      </c>
      <c r="Z106" t="s">
        <v>2394</v>
      </c>
      <c r="AA106" t="s">
        <v>2395</v>
      </c>
      <c r="AB106" t="s">
        <v>2396</v>
      </c>
      <c r="AC106" t="s">
        <v>2397</v>
      </c>
      <c r="AD106" t="s">
        <v>2398</v>
      </c>
      <c r="AE106" t="s">
        <v>2399</v>
      </c>
      <c r="AF106" t="s">
        <v>74</v>
      </c>
      <c r="AG106">
        <v>0</v>
      </c>
      <c r="AH106">
        <v>13</v>
      </c>
      <c r="AI106">
        <v>13</v>
      </c>
      <c r="AJ106">
        <v>3</v>
      </c>
      <c r="AK106">
        <v>10</v>
      </c>
      <c r="AL106" t="s">
        <v>527</v>
      </c>
      <c r="AM106" t="s">
        <v>528</v>
      </c>
      <c r="AN106" t="s">
        <v>529</v>
      </c>
      <c r="AO106" t="s">
        <v>2085</v>
      </c>
      <c r="AP106" t="s">
        <v>74</v>
      </c>
      <c r="AQ106" t="s">
        <v>74</v>
      </c>
      <c r="AR106" t="s">
        <v>2086</v>
      </c>
      <c r="AS106" t="s">
        <v>2087</v>
      </c>
      <c r="AT106" t="s">
        <v>2400</v>
      </c>
      <c r="AU106">
        <v>2021</v>
      </c>
      <c r="AV106">
        <v>11</v>
      </c>
      <c r="AW106">
        <v>1</v>
      </c>
      <c r="AX106" t="s">
        <v>74</v>
      </c>
      <c r="AY106" t="s">
        <v>74</v>
      </c>
      <c r="AZ106" t="s">
        <v>74</v>
      </c>
      <c r="BA106" t="s">
        <v>74</v>
      </c>
      <c r="BB106" t="s">
        <v>74</v>
      </c>
      <c r="BC106" t="s">
        <v>74</v>
      </c>
      <c r="BD106">
        <v>806</v>
      </c>
      <c r="BE106" t="s">
        <v>2401</v>
      </c>
      <c r="BF106" t="str">
        <f>HYPERLINK("http://dx.doi.org/10.1038/s41598-020-78995-8","http://dx.doi.org/10.1038/s41598-020-78995-8")</f>
        <v>http://dx.doi.org/10.1038/s41598-020-78995-8</v>
      </c>
      <c r="BG106" t="s">
        <v>74</v>
      </c>
      <c r="BH106" t="s">
        <v>74</v>
      </c>
      <c r="BI106">
        <v>18</v>
      </c>
      <c r="BJ106" t="s">
        <v>534</v>
      </c>
      <c r="BK106" t="s">
        <v>103</v>
      </c>
      <c r="BL106" t="s">
        <v>535</v>
      </c>
      <c r="BM106" t="s">
        <v>2402</v>
      </c>
      <c r="BN106">
        <v>33436710</v>
      </c>
      <c r="BO106" t="s">
        <v>246</v>
      </c>
      <c r="BP106" t="s">
        <v>74</v>
      </c>
      <c r="BQ106" t="s">
        <v>74</v>
      </c>
      <c r="BR106" t="s">
        <v>106</v>
      </c>
      <c r="BS106" t="s">
        <v>2403</v>
      </c>
      <c r="BT106" t="str">
        <f>HYPERLINK("https%3A%2F%2Fwww.webofscience.com%2Fwos%2Fwoscc%2Ffull-record%2FWOS:000621920400154","View Full Record in Web of Science")</f>
        <v>View Full Record in Web of Science</v>
      </c>
    </row>
    <row r="107" spans="1:72" x14ac:dyDescent="0.15">
      <c r="A107" t="s">
        <v>72</v>
      </c>
      <c r="B107" t="s">
        <v>2404</v>
      </c>
      <c r="C107" t="s">
        <v>74</v>
      </c>
      <c r="D107" t="s">
        <v>74</v>
      </c>
      <c r="E107" t="s">
        <v>74</v>
      </c>
      <c r="F107" t="s">
        <v>2405</v>
      </c>
      <c r="G107" t="s">
        <v>74</v>
      </c>
      <c r="H107" t="s">
        <v>74</v>
      </c>
      <c r="I107" t="s">
        <v>2406</v>
      </c>
      <c r="J107" t="s">
        <v>2075</v>
      </c>
      <c r="K107" t="s">
        <v>74</v>
      </c>
      <c r="L107" t="s">
        <v>74</v>
      </c>
      <c r="M107" t="s">
        <v>78</v>
      </c>
      <c r="N107" t="s">
        <v>79</v>
      </c>
      <c r="O107" t="s">
        <v>74</v>
      </c>
      <c r="P107" t="s">
        <v>74</v>
      </c>
      <c r="Q107" t="s">
        <v>74</v>
      </c>
      <c r="R107" t="s">
        <v>74</v>
      </c>
      <c r="S107" t="s">
        <v>74</v>
      </c>
      <c r="T107" t="s">
        <v>74</v>
      </c>
      <c r="U107" t="s">
        <v>74</v>
      </c>
      <c r="V107" t="s">
        <v>2407</v>
      </c>
      <c r="W107" t="s">
        <v>2408</v>
      </c>
      <c r="X107" t="s">
        <v>2409</v>
      </c>
      <c r="Y107" t="s">
        <v>2410</v>
      </c>
      <c r="Z107" t="s">
        <v>2411</v>
      </c>
      <c r="AA107" t="s">
        <v>74</v>
      </c>
      <c r="AB107" t="s">
        <v>2412</v>
      </c>
      <c r="AC107" t="s">
        <v>2413</v>
      </c>
      <c r="AD107" t="s">
        <v>2414</v>
      </c>
      <c r="AE107" t="s">
        <v>2415</v>
      </c>
      <c r="AF107" t="s">
        <v>74</v>
      </c>
      <c r="AG107">
        <v>35</v>
      </c>
      <c r="AH107">
        <v>2</v>
      </c>
      <c r="AI107">
        <v>4</v>
      </c>
      <c r="AJ107">
        <v>0</v>
      </c>
      <c r="AK107">
        <v>4</v>
      </c>
      <c r="AL107" t="s">
        <v>527</v>
      </c>
      <c r="AM107" t="s">
        <v>528</v>
      </c>
      <c r="AN107" t="s">
        <v>529</v>
      </c>
      <c r="AO107" t="s">
        <v>2085</v>
      </c>
      <c r="AP107" t="s">
        <v>74</v>
      </c>
      <c r="AQ107" t="s">
        <v>74</v>
      </c>
      <c r="AR107" t="s">
        <v>2086</v>
      </c>
      <c r="AS107" t="s">
        <v>2087</v>
      </c>
      <c r="AT107" t="s">
        <v>2400</v>
      </c>
      <c r="AU107">
        <v>2021</v>
      </c>
      <c r="AV107">
        <v>11</v>
      </c>
      <c r="AW107">
        <v>1</v>
      </c>
      <c r="AX107" t="s">
        <v>74</v>
      </c>
      <c r="AY107" t="s">
        <v>74</v>
      </c>
      <c r="AZ107" t="s">
        <v>74</v>
      </c>
      <c r="BA107" t="s">
        <v>74</v>
      </c>
      <c r="BB107" t="s">
        <v>74</v>
      </c>
      <c r="BC107" t="s">
        <v>74</v>
      </c>
      <c r="BD107">
        <v>694</v>
      </c>
      <c r="BE107" t="s">
        <v>2416</v>
      </c>
      <c r="BF107" t="str">
        <f>HYPERLINK("http://dx.doi.org/10.1038/s41598-020-80737-9","http://dx.doi.org/10.1038/s41598-020-80737-9")</f>
        <v>http://dx.doi.org/10.1038/s41598-020-80737-9</v>
      </c>
      <c r="BG107" t="s">
        <v>74</v>
      </c>
      <c r="BH107" t="s">
        <v>74</v>
      </c>
      <c r="BI107">
        <v>9</v>
      </c>
      <c r="BJ107" t="s">
        <v>534</v>
      </c>
      <c r="BK107" t="s">
        <v>103</v>
      </c>
      <c r="BL107" t="s">
        <v>535</v>
      </c>
      <c r="BM107" t="s">
        <v>2402</v>
      </c>
      <c r="BN107">
        <v>33436933</v>
      </c>
      <c r="BO107" t="s">
        <v>246</v>
      </c>
      <c r="BP107" t="s">
        <v>74</v>
      </c>
      <c r="BQ107" t="s">
        <v>74</v>
      </c>
      <c r="BR107" t="s">
        <v>106</v>
      </c>
      <c r="BS107" t="s">
        <v>2417</v>
      </c>
      <c r="BT107" t="str">
        <f>HYPERLINK("https%3A%2F%2Fwww.webofscience.com%2Fwos%2Fwoscc%2Ffull-record%2FWOS:000621920400042","View Full Record in Web of Science")</f>
        <v>View Full Record in Web of Science</v>
      </c>
    </row>
    <row r="108" spans="1:72" x14ac:dyDescent="0.15">
      <c r="A108" t="s">
        <v>72</v>
      </c>
      <c r="B108" t="s">
        <v>2418</v>
      </c>
      <c r="C108" t="s">
        <v>74</v>
      </c>
      <c r="D108" t="s">
        <v>74</v>
      </c>
      <c r="E108" t="s">
        <v>74</v>
      </c>
      <c r="F108" t="s">
        <v>2419</v>
      </c>
      <c r="G108" t="s">
        <v>74</v>
      </c>
      <c r="H108" t="s">
        <v>74</v>
      </c>
      <c r="I108" t="s">
        <v>2420</v>
      </c>
      <c r="J108" t="s">
        <v>1556</v>
      </c>
      <c r="K108" t="s">
        <v>74</v>
      </c>
      <c r="L108" t="s">
        <v>74</v>
      </c>
      <c r="M108" t="s">
        <v>78</v>
      </c>
      <c r="N108" t="s">
        <v>79</v>
      </c>
      <c r="O108" t="s">
        <v>74</v>
      </c>
      <c r="P108" t="s">
        <v>74</v>
      </c>
      <c r="Q108" t="s">
        <v>74</v>
      </c>
      <c r="R108" t="s">
        <v>74</v>
      </c>
      <c r="S108" t="s">
        <v>74</v>
      </c>
      <c r="T108" t="s">
        <v>74</v>
      </c>
      <c r="U108" t="s">
        <v>2421</v>
      </c>
      <c r="V108" t="s">
        <v>2422</v>
      </c>
      <c r="W108" t="s">
        <v>2423</v>
      </c>
      <c r="X108" t="s">
        <v>2424</v>
      </c>
      <c r="Y108" t="s">
        <v>2425</v>
      </c>
      <c r="Z108" t="s">
        <v>2426</v>
      </c>
      <c r="AA108" t="s">
        <v>2427</v>
      </c>
      <c r="AB108" t="s">
        <v>2428</v>
      </c>
      <c r="AC108" t="s">
        <v>2429</v>
      </c>
      <c r="AD108" t="s">
        <v>2429</v>
      </c>
      <c r="AE108" t="s">
        <v>2430</v>
      </c>
      <c r="AF108" t="s">
        <v>74</v>
      </c>
      <c r="AG108">
        <v>105</v>
      </c>
      <c r="AH108">
        <v>3</v>
      </c>
      <c r="AI108">
        <v>3</v>
      </c>
      <c r="AJ108">
        <v>0</v>
      </c>
      <c r="AK108">
        <v>6</v>
      </c>
      <c r="AL108" t="s">
        <v>123</v>
      </c>
      <c r="AM108" t="s">
        <v>124</v>
      </c>
      <c r="AN108" t="s">
        <v>125</v>
      </c>
      <c r="AO108" t="s">
        <v>1565</v>
      </c>
      <c r="AP108" t="s">
        <v>1566</v>
      </c>
      <c r="AQ108" t="s">
        <v>74</v>
      </c>
      <c r="AR108" t="s">
        <v>1567</v>
      </c>
      <c r="AS108" t="s">
        <v>1568</v>
      </c>
      <c r="AT108" t="s">
        <v>2400</v>
      </c>
      <c r="AU108">
        <v>2021</v>
      </c>
      <c r="AV108">
        <v>17</v>
      </c>
      <c r="AW108">
        <v>1</v>
      </c>
      <c r="AX108" t="s">
        <v>74</v>
      </c>
      <c r="AY108" t="s">
        <v>74</v>
      </c>
      <c r="AZ108" t="s">
        <v>74</v>
      </c>
      <c r="BA108" t="s">
        <v>74</v>
      </c>
      <c r="BB108">
        <v>111</v>
      </c>
      <c r="BC108">
        <v>131</v>
      </c>
      <c r="BD108" t="s">
        <v>74</v>
      </c>
      <c r="BE108" t="s">
        <v>2431</v>
      </c>
      <c r="BF108" t="str">
        <f>HYPERLINK("http://dx.doi.org/10.5194/cp-17-111-2021","http://dx.doi.org/10.5194/cp-17-111-2021")</f>
        <v>http://dx.doi.org/10.5194/cp-17-111-2021</v>
      </c>
      <c r="BG108" t="s">
        <v>74</v>
      </c>
      <c r="BH108" t="s">
        <v>74</v>
      </c>
      <c r="BI108">
        <v>21</v>
      </c>
      <c r="BJ108" t="s">
        <v>1570</v>
      </c>
      <c r="BK108" t="s">
        <v>103</v>
      </c>
      <c r="BL108" t="s">
        <v>1571</v>
      </c>
      <c r="BM108" t="s">
        <v>2432</v>
      </c>
      <c r="BN108" t="s">
        <v>74</v>
      </c>
      <c r="BO108" t="s">
        <v>917</v>
      </c>
      <c r="BP108" t="s">
        <v>74</v>
      </c>
      <c r="BQ108" t="s">
        <v>74</v>
      </c>
      <c r="BR108" t="s">
        <v>106</v>
      </c>
      <c r="BS108" t="s">
        <v>2433</v>
      </c>
      <c r="BT108" t="str">
        <f>HYPERLINK("https%3A%2F%2Fwww.webofscience.com%2Fwos%2Fwoscc%2Ffull-record%2FWOS:000610842600001","View Full Record in Web of Science")</f>
        <v>View Full Record in Web of Science</v>
      </c>
    </row>
    <row r="109" spans="1:72" x14ac:dyDescent="0.15">
      <c r="A109" t="s">
        <v>72</v>
      </c>
      <c r="B109" t="s">
        <v>2434</v>
      </c>
      <c r="C109" t="s">
        <v>74</v>
      </c>
      <c r="D109" t="s">
        <v>74</v>
      </c>
      <c r="E109" t="s">
        <v>74</v>
      </c>
      <c r="F109" t="s">
        <v>2435</v>
      </c>
      <c r="G109" t="s">
        <v>74</v>
      </c>
      <c r="H109" t="s">
        <v>74</v>
      </c>
      <c r="I109" t="s">
        <v>2436</v>
      </c>
      <c r="J109" t="s">
        <v>2437</v>
      </c>
      <c r="K109" t="s">
        <v>74</v>
      </c>
      <c r="L109" t="s">
        <v>74</v>
      </c>
      <c r="M109" t="s">
        <v>78</v>
      </c>
      <c r="N109" t="s">
        <v>79</v>
      </c>
      <c r="O109" t="s">
        <v>74</v>
      </c>
      <c r="P109" t="s">
        <v>74</v>
      </c>
      <c r="Q109" t="s">
        <v>74</v>
      </c>
      <c r="R109" t="s">
        <v>74</v>
      </c>
      <c r="S109" t="s">
        <v>74</v>
      </c>
      <c r="T109" t="s">
        <v>2438</v>
      </c>
      <c r="U109" t="s">
        <v>2439</v>
      </c>
      <c r="V109" t="s">
        <v>2440</v>
      </c>
      <c r="W109" t="s">
        <v>2441</v>
      </c>
      <c r="X109" t="s">
        <v>2442</v>
      </c>
      <c r="Y109" t="s">
        <v>2443</v>
      </c>
      <c r="Z109" t="s">
        <v>2444</v>
      </c>
      <c r="AA109" t="s">
        <v>74</v>
      </c>
      <c r="AB109" t="s">
        <v>74</v>
      </c>
      <c r="AC109" t="s">
        <v>2445</v>
      </c>
      <c r="AD109" t="s">
        <v>2446</v>
      </c>
      <c r="AE109" t="s">
        <v>2447</v>
      </c>
      <c r="AF109" t="s">
        <v>74</v>
      </c>
      <c r="AG109">
        <v>38</v>
      </c>
      <c r="AH109">
        <v>29</v>
      </c>
      <c r="AI109">
        <v>32</v>
      </c>
      <c r="AJ109">
        <v>10</v>
      </c>
      <c r="AK109">
        <v>70</v>
      </c>
      <c r="AL109" t="s">
        <v>177</v>
      </c>
      <c r="AM109" t="s">
        <v>178</v>
      </c>
      <c r="AN109" t="s">
        <v>179</v>
      </c>
      <c r="AO109" t="s">
        <v>2448</v>
      </c>
      <c r="AP109" t="s">
        <v>2449</v>
      </c>
      <c r="AQ109" t="s">
        <v>74</v>
      </c>
      <c r="AR109" t="s">
        <v>2450</v>
      </c>
      <c r="AS109" t="s">
        <v>2451</v>
      </c>
      <c r="AT109" t="s">
        <v>2452</v>
      </c>
      <c r="AU109">
        <v>2021</v>
      </c>
      <c r="AV109">
        <v>270</v>
      </c>
      <c r="AW109" t="s">
        <v>74</v>
      </c>
      <c r="AX109" t="s">
        <v>74</v>
      </c>
      <c r="AY109" t="s">
        <v>74</v>
      </c>
      <c r="AZ109" t="s">
        <v>74</v>
      </c>
      <c r="BA109" t="s">
        <v>74</v>
      </c>
      <c r="BB109" t="s">
        <v>74</v>
      </c>
      <c r="BC109" t="s">
        <v>74</v>
      </c>
      <c r="BD109">
        <v>116119</v>
      </c>
      <c r="BE109" t="s">
        <v>2453</v>
      </c>
      <c r="BF109" t="str">
        <f>HYPERLINK("http://dx.doi.org/10.1016/j.envpol.2020.116119","http://dx.doi.org/10.1016/j.envpol.2020.116119")</f>
        <v>http://dx.doi.org/10.1016/j.envpol.2020.116119</v>
      </c>
      <c r="BG109" t="s">
        <v>74</v>
      </c>
      <c r="BH109" t="s">
        <v>101</v>
      </c>
      <c r="BI109">
        <v>8</v>
      </c>
      <c r="BJ109" t="s">
        <v>102</v>
      </c>
      <c r="BK109" t="s">
        <v>103</v>
      </c>
      <c r="BL109" t="s">
        <v>104</v>
      </c>
      <c r="BM109" t="s">
        <v>2454</v>
      </c>
      <c r="BN109">
        <v>33261970</v>
      </c>
      <c r="BO109" t="s">
        <v>74</v>
      </c>
      <c r="BP109" t="s">
        <v>74</v>
      </c>
      <c r="BQ109" t="s">
        <v>74</v>
      </c>
      <c r="BR109" t="s">
        <v>106</v>
      </c>
      <c r="BS109" t="s">
        <v>2455</v>
      </c>
      <c r="BT109" t="str">
        <f>HYPERLINK("https%3A%2F%2Fwww.webofscience.com%2Fwos%2Fwoscc%2Ffull-record%2FWOS:000608065400048","View Full Record in Web of Science")</f>
        <v>View Full Record in Web of Science</v>
      </c>
    </row>
    <row r="110" spans="1:72" x14ac:dyDescent="0.15">
      <c r="A110" t="s">
        <v>72</v>
      </c>
      <c r="B110" t="s">
        <v>2456</v>
      </c>
      <c r="C110" t="s">
        <v>74</v>
      </c>
      <c r="D110" t="s">
        <v>74</v>
      </c>
      <c r="E110" t="s">
        <v>74</v>
      </c>
      <c r="F110" t="s">
        <v>2457</v>
      </c>
      <c r="G110" t="s">
        <v>74</v>
      </c>
      <c r="H110" t="s">
        <v>74</v>
      </c>
      <c r="I110" t="s">
        <v>2458</v>
      </c>
      <c r="J110" t="s">
        <v>1904</v>
      </c>
      <c r="K110" t="s">
        <v>74</v>
      </c>
      <c r="L110" t="s">
        <v>74</v>
      </c>
      <c r="M110" t="s">
        <v>78</v>
      </c>
      <c r="N110" t="s">
        <v>79</v>
      </c>
      <c r="O110" t="s">
        <v>74</v>
      </c>
      <c r="P110" t="s">
        <v>74</v>
      </c>
      <c r="Q110" t="s">
        <v>74</v>
      </c>
      <c r="R110" t="s">
        <v>74</v>
      </c>
      <c r="S110" t="s">
        <v>74</v>
      </c>
      <c r="T110" t="s">
        <v>74</v>
      </c>
      <c r="U110" t="s">
        <v>2459</v>
      </c>
      <c r="V110" t="s">
        <v>2460</v>
      </c>
      <c r="W110" t="s">
        <v>2461</v>
      </c>
      <c r="X110" t="s">
        <v>2462</v>
      </c>
      <c r="Y110" t="s">
        <v>2463</v>
      </c>
      <c r="Z110" t="s">
        <v>2464</v>
      </c>
      <c r="AA110" t="s">
        <v>74</v>
      </c>
      <c r="AB110" t="s">
        <v>2465</v>
      </c>
      <c r="AC110" t="s">
        <v>2466</v>
      </c>
      <c r="AD110" t="s">
        <v>2467</v>
      </c>
      <c r="AE110" t="s">
        <v>2468</v>
      </c>
      <c r="AF110" t="s">
        <v>74</v>
      </c>
      <c r="AG110">
        <v>45</v>
      </c>
      <c r="AH110">
        <v>4</v>
      </c>
      <c r="AI110">
        <v>4</v>
      </c>
      <c r="AJ110">
        <v>0</v>
      </c>
      <c r="AK110">
        <v>2</v>
      </c>
      <c r="AL110" t="s">
        <v>1913</v>
      </c>
      <c r="AM110" t="s">
        <v>1914</v>
      </c>
      <c r="AN110" t="s">
        <v>1915</v>
      </c>
      <c r="AO110" t="s">
        <v>1916</v>
      </c>
      <c r="AP110" t="s">
        <v>1917</v>
      </c>
      <c r="AQ110" t="s">
        <v>74</v>
      </c>
      <c r="AR110" t="s">
        <v>1918</v>
      </c>
      <c r="AS110" t="s">
        <v>1919</v>
      </c>
      <c r="AT110" t="s">
        <v>347</v>
      </c>
      <c r="AU110">
        <v>2021</v>
      </c>
      <c r="AV110">
        <v>178</v>
      </c>
      <c r="AW110">
        <v>2</v>
      </c>
      <c r="AX110" t="s">
        <v>74</v>
      </c>
      <c r="AY110" t="s">
        <v>74</v>
      </c>
      <c r="AZ110" t="s">
        <v>74</v>
      </c>
      <c r="BA110" t="s">
        <v>74</v>
      </c>
      <c r="BB110" t="s">
        <v>74</v>
      </c>
      <c r="BC110" t="s">
        <v>74</v>
      </c>
      <c r="BD110" t="s">
        <v>2469</v>
      </c>
      <c r="BE110" t="s">
        <v>2470</v>
      </c>
      <c r="BF110" t="str">
        <f>HYPERLINK("http://dx.doi.org/10.1144/jgs2020-113","http://dx.doi.org/10.1144/jgs2020-113")</f>
        <v>http://dx.doi.org/10.1144/jgs2020-113</v>
      </c>
      <c r="BG110" t="s">
        <v>74</v>
      </c>
      <c r="BH110" t="s">
        <v>101</v>
      </c>
      <c r="BI110">
        <v>10</v>
      </c>
      <c r="BJ110" t="s">
        <v>401</v>
      </c>
      <c r="BK110" t="s">
        <v>103</v>
      </c>
      <c r="BL110" t="s">
        <v>402</v>
      </c>
      <c r="BM110" t="s">
        <v>1922</v>
      </c>
      <c r="BN110" t="s">
        <v>74</v>
      </c>
      <c r="BO110" t="s">
        <v>74</v>
      </c>
      <c r="BP110" t="s">
        <v>74</v>
      </c>
      <c r="BQ110" t="s">
        <v>74</v>
      </c>
      <c r="BR110" t="s">
        <v>106</v>
      </c>
      <c r="BS110" t="s">
        <v>2471</v>
      </c>
      <c r="BT110" t="str">
        <f>HYPERLINK("https%3A%2F%2Fwww.webofscience.com%2Fwos%2Fwoscc%2Ffull-record%2FWOS:000607279000001","View Full Record in Web of Science")</f>
        <v>View Full Record in Web of Science</v>
      </c>
    </row>
    <row r="111" spans="1:72" x14ac:dyDescent="0.15">
      <c r="A111" t="s">
        <v>72</v>
      </c>
      <c r="B111" t="s">
        <v>2472</v>
      </c>
      <c r="C111" t="s">
        <v>74</v>
      </c>
      <c r="D111" t="s">
        <v>74</v>
      </c>
      <c r="E111" t="s">
        <v>74</v>
      </c>
      <c r="F111" t="s">
        <v>2473</v>
      </c>
      <c r="G111" t="s">
        <v>74</v>
      </c>
      <c r="H111" t="s">
        <v>74</v>
      </c>
      <c r="I111" t="s">
        <v>2474</v>
      </c>
      <c r="J111" t="s">
        <v>1690</v>
      </c>
      <c r="K111" t="s">
        <v>74</v>
      </c>
      <c r="L111" t="s">
        <v>74</v>
      </c>
      <c r="M111" t="s">
        <v>78</v>
      </c>
      <c r="N111" t="s">
        <v>79</v>
      </c>
      <c r="O111" t="s">
        <v>74</v>
      </c>
      <c r="P111" t="s">
        <v>74</v>
      </c>
      <c r="Q111" t="s">
        <v>74</v>
      </c>
      <c r="R111" t="s">
        <v>74</v>
      </c>
      <c r="S111" t="s">
        <v>74</v>
      </c>
      <c r="T111" t="s">
        <v>2475</v>
      </c>
      <c r="U111" t="s">
        <v>2476</v>
      </c>
      <c r="V111" t="s">
        <v>2477</v>
      </c>
      <c r="W111" t="s">
        <v>2478</v>
      </c>
      <c r="X111" t="s">
        <v>2479</v>
      </c>
      <c r="Y111" t="s">
        <v>2480</v>
      </c>
      <c r="Z111" t="s">
        <v>2481</v>
      </c>
      <c r="AA111" t="s">
        <v>2482</v>
      </c>
      <c r="AB111" t="s">
        <v>2483</v>
      </c>
      <c r="AC111" t="s">
        <v>2484</v>
      </c>
      <c r="AD111" t="s">
        <v>2485</v>
      </c>
      <c r="AE111" t="s">
        <v>2486</v>
      </c>
      <c r="AF111" t="s">
        <v>74</v>
      </c>
      <c r="AG111">
        <v>100</v>
      </c>
      <c r="AH111">
        <v>3</v>
      </c>
      <c r="AI111">
        <v>3</v>
      </c>
      <c r="AJ111">
        <v>0</v>
      </c>
      <c r="AK111">
        <v>4</v>
      </c>
      <c r="AL111" t="s">
        <v>207</v>
      </c>
      <c r="AM111" t="s">
        <v>473</v>
      </c>
      <c r="AN111" t="s">
        <v>474</v>
      </c>
      <c r="AO111" t="s">
        <v>1702</v>
      </c>
      <c r="AP111" t="s">
        <v>1703</v>
      </c>
      <c r="AQ111" t="s">
        <v>74</v>
      </c>
      <c r="AR111" t="s">
        <v>1704</v>
      </c>
      <c r="AS111" t="s">
        <v>1705</v>
      </c>
      <c r="AT111" t="s">
        <v>184</v>
      </c>
      <c r="AU111">
        <v>2021</v>
      </c>
      <c r="AV111">
        <v>44</v>
      </c>
      <c r="AW111">
        <v>2</v>
      </c>
      <c r="AX111" t="s">
        <v>74</v>
      </c>
      <c r="AY111" t="s">
        <v>74</v>
      </c>
      <c r="AZ111" t="s">
        <v>74</v>
      </c>
      <c r="BA111" t="s">
        <v>74</v>
      </c>
      <c r="BB111">
        <v>315</v>
      </c>
      <c r="BC111">
        <v>334</v>
      </c>
      <c r="BD111" t="s">
        <v>74</v>
      </c>
      <c r="BE111" t="s">
        <v>2487</v>
      </c>
      <c r="BF111" t="str">
        <f>HYPERLINK("http://dx.doi.org/10.1007/s00300-020-02794-0","http://dx.doi.org/10.1007/s00300-020-02794-0")</f>
        <v>http://dx.doi.org/10.1007/s00300-020-02794-0</v>
      </c>
      <c r="BG111" t="s">
        <v>74</v>
      </c>
      <c r="BH111" t="s">
        <v>101</v>
      </c>
      <c r="BI111">
        <v>20</v>
      </c>
      <c r="BJ111" t="s">
        <v>1052</v>
      </c>
      <c r="BK111" t="s">
        <v>103</v>
      </c>
      <c r="BL111" t="s">
        <v>1053</v>
      </c>
      <c r="BM111" t="s">
        <v>1707</v>
      </c>
      <c r="BN111" t="s">
        <v>74</v>
      </c>
      <c r="BO111" t="s">
        <v>74</v>
      </c>
      <c r="BP111" t="s">
        <v>74</v>
      </c>
      <c r="BQ111" t="s">
        <v>74</v>
      </c>
      <c r="BR111" t="s">
        <v>106</v>
      </c>
      <c r="BS111" t="s">
        <v>2488</v>
      </c>
      <c r="BT111" t="str">
        <f>HYPERLINK("https%3A%2F%2Fwww.webofscience.com%2Fwos%2Fwoscc%2Ffull-record%2FWOS:000607352300001","View Full Record in Web of Science")</f>
        <v>View Full Record in Web of Science</v>
      </c>
    </row>
    <row r="112" spans="1:72" x14ac:dyDescent="0.15">
      <c r="A112" t="s">
        <v>72</v>
      </c>
      <c r="B112" t="s">
        <v>2489</v>
      </c>
      <c r="C112" t="s">
        <v>74</v>
      </c>
      <c r="D112" t="s">
        <v>74</v>
      </c>
      <c r="E112" t="s">
        <v>74</v>
      </c>
      <c r="F112" t="s">
        <v>2490</v>
      </c>
      <c r="G112" t="s">
        <v>74</v>
      </c>
      <c r="H112" t="s">
        <v>74</v>
      </c>
      <c r="I112" t="s">
        <v>2491</v>
      </c>
      <c r="J112" t="s">
        <v>2492</v>
      </c>
      <c r="K112" t="s">
        <v>74</v>
      </c>
      <c r="L112" t="s">
        <v>74</v>
      </c>
      <c r="M112" t="s">
        <v>78</v>
      </c>
      <c r="N112" t="s">
        <v>79</v>
      </c>
      <c r="O112" t="s">
        <v>74</v>
      </c>
      <c r="P112" t="s">
        <v>74</v>
      </c>
      <c r="Q112" t="s">
        <v>74</v>
      </c>
      <c r="R112" t="s">
        <v>74</v>
      </c>
      <c r="S112" t="s">
        <v>74</v>
      </c>
      <c r="T112" t="s">
        <v>2493</v>
      </c>
      <c r="U112" t="s">
        <v>2494</v>
      </c>
      <c r="V112" t="s">
        <v>2495</v>
      </c>
      <c r="W112" t="s">
        <v>2496</v>
      </c>
      <c r="X112" t="s">
        <v>2497</v>
      </c>
      <c r="Y112" t="s">
        <v>2498</v>
      </c>
      <c r="Z112" t="s">
        <v>2499</v>
      </c>
      <c r="AA112" t="s">
        <v>2500</v>
      </c>
      <c r="AB112" t="s">
        <v>2501</v>
      </c>
      <c r="AC112" t="s">
        <v>2502</v>
      </c>
      <c r="AD112" t="s">
        <v>2503</v>
      </c>
      <c r="AE112" t="s">
        <v>2504</v>
      </c>
      <c r="AF112" t="s">
        <v>74</v>
      </c>
      <c r="AG112">
        <v>48</v>
      </c>
      <c r="AH112">
        <v>6</v>
      </c>
      <c r="AI112">
        <v>6</v>
      </c>
      <c r="AJ112">
        <v>3</v>
      </c>
      <c r="AK112">
        <v>17</v>
      </c>
      <c r="AL112" t="s">
        <v>552</v>
      </c>
      <c r="AM112" t="s">
        <v>553</v>
      </c>
      <c r="AN112" t="s">
        <v>554</v>
      </c>
      <c r="AO112" t="s">
        <v>2505</v>
      </c>
      <c r="AP112" t="s">
        <v>2506</v>
      </c>
      <c r="AQ112" t="s">
        <v>74</v>
      </c>
      <c r="AR112" t="s">
        <v>2507</v>
      </c>
      <c r="AS112" t="s">
        <v>2508</v>
      </c>
      <c r="AT112" t="s">
        <v>347</v>
      </c>
      <c r="AU112">
        <v>2021</v>
      </c>
      <c r="AV112">
        <v>27</v>
      </c>
      <c r="AW112">
        <v>3</v>
      </c>
      <c r="AX112" t="s">
        <v>74</v>
      </c>
      <c r="AY112" t="s">
        <v>74</v>
      </c>
      <c r="AZ112" t="s">
        <v>74</v>
      </c>
      <c r="BA112" t="s">
        <v>74</v>
      </c>
      <c r="BB112">
        <v>552</v>
      </c>
      <c r="BC112">
        <v>563</v>
      </c>
      <c r="BD112" t="s">
        <v>74</v>
      </c>
      <c r="BE112" t="s">
        <v>2509</v>
      </c>
      <c r="BF112" t="str">
        <f>HYPERLINK("http://dx.doi.org/10.1111/ddi.13216","http://dx.doi.org/10.1111/ddi.13216")</f>
        <v>http://dx.doi.org/10.1111/ddi.13216</v>
      </c>
      <c r="BG112" t="s">
        <v>74</v>
      </c>
      <c r="BH112" t="s">
        <v>101</v>
      </c>
      <c r="BI112">
        <v>12</v>
      </c>
      <c r="BJ112" t="s">
        <v>1052</v>
      </c>
      <c r="BK112" t="s">
        <v>103</v>
      </c>
      <c r="BL112" t="s">
        <v>1053</v>
      </c>
      <c r="BM112" t="s">
        <v>2510</v>
      </c>
      <c r="BN112" t="s">
        <v>74</v>
      </c>
      <c r="BO112" t="s">
        <v>2511</v>
      </c>
      <c r="BP112" t="s">
        <v>74</v>
      </c>
      <c r="BQ112" t="s">
        <v>74</v>
      </c>
      <c r="BR112" t="s">
        <v>106</v>
      </c>
      <c r="BS112" t="s">
        <v>2512</v>
      </c>
      <c r="BT112" t="str">
        <f>HYPERLINK("https%3A%2F%2Fwww.webofscience.com%2Fwos%2Fwoscc%2Ffull-record%2FWOS:000606961700001","View Full Record in Web of Science")</f>
        <v>View Full Record in Web of Science</v>
      </c>
    </row>
    <row r="113" spans="1:72" x14ac:dyDescent="0.15">
      <c r="A113" t="s">
        <v>72</v>
      </c>
      <c r="B113" t="s">
        <v>2513</v>
      </c>
      <c r="C113" t="s">
        <v>74</v>
      </c>
      <c r="D113" t="s">
        <v>74</v>
      </c>
      <c r="E113" t="s">
        <v>74</v>
      </c>
      <c r="F113" t="s">
        <v>2514</v>
      </c>
      <c r="G113" t="s">
        <v>74</v>
      </c>
      <c r="H113" t="s">
        <v>74</v>
      </c>
      <c r="I113" t="s">
        <v>2515</v>
      </c>
      <c r="J113" t="s">
        <v>2516</v>
      </c>
      <c r="K113" t="s">
        <v>74</v>
      </c>
      <c r="L113" t="s">
        <v>74</v>
      </c>
      <c r="M113" t="s">
        <v>78</v>
      </c>
      <c r="N113" t="s">
        <v>79</v>
      </c>
      <c r="O113" t="s">
        <v>74</v>
      </c>
      <c r="P113" t="s">
        <v>74</v>
      </c>
      <c r="Q113" t="s">
        <v>74</v>
      </c>
      <c r="R113" t="s">
        <v>74</v>
      </c>
      <c r="S113" t="s">
        <v>74</v>
      </c>
      <c r="T113" t="s">
        <v>2517</v>
      </c>
      <c r="U113" t="s">
        <v>2518</v>
      </c>
      <c r="V113" t="s">
        <v>2519</v>
      </c>
      <c r="W113" t="s">
        <v>2520</v>
      </c>
      <c r="X113" t="s">
        <v>2521</v>
      </c>
      <c r="Y113" t="s">
        <v>2522</v>
      </c>
      <c r="Z113" t="s">
        <v>2523</v>
      </c>
      <c r="AA113" t="s">
        <v>2524</v>
      </c>
      <c r="AB113" t="s">
        <v>2525</v>
      </c>
      <c r="AC113" t="s">
        <v>2526</v>
      </c>
      <c r="AD113" t="s">
        <v>2527</v>
      </c>
      <c r="AE113" t="s">
        <v>2528</v>
      </c>
      <c r="AF113" t="s">
        <v>74</v>
      </c>
      <c r="AG113">
        <v>57</v>
      </c>
      <c r="AH113">
        <v>7</v>
      </c>
      <c r="AI113">
        <v>7</v>
      </c>
      <c r="AJ113">
        <v>2</v>
      </c>
      <c r="AK113">
        <v>15</v>
      </c>
      <c r="AL113" t="s">
        <v>418</v>
      </c>
      <c r="AM113" t="s">
        <v>178</v>
      </c>
      <c r="AN113" t="s">
        <v>419</v>
      </c>
      <c r="AO113" t="s">
        <v>2529</v>
      </c>
      <c r="AP113" t="s">
        <v>2530</v>
      </c>
      <c r="AQ113" t="s">
        <v>74</v>
      </c>
      <c r="AR113" t="s">
        <v>2531</v>
      </c>
      <c r="AS113" t="s">
        <v>2532</v>
      </c>
      <c r="AT113" t="s">
        <v>184</v>
      </c>
      <c r="AU113">
        <v>2021</v>
      </c>
      <c r="AV113">
        <v>96</v>
      </c>
      <c r="AW113" t="s">
        <v>74</v>
      </c>
      <c r="AX113" t="s">
        <v>74</v>
      </c>
      <c r="AY113" t="s">
        <v>74</v>
      </c>
      <c r="AZ113" t="s">
        <v>74</v>
      </c>
      <c r="BA113" t="s">
        <v>74</v>
      </c>
      <c r="BB113" t="s">
        <v>74</v>
      </c>
      <c r="BC113" t="s">
        <v>74</v>
      </c>
      <c r="BD113">
        <v>102835</v>
      </c>
      <c r="BE113" t="s">
        <v>2533</v>
      </c>
      <c r="BF113" t="str">
        <f>HYPERLINK("http://dx.doi.org/10.1016/j.jtherbio.2021.102835","http://dx.doi.org/10.1016/j.jtherbio.2021.102835")</f>
        <v>http://dx.doi.org/10.1016/j.jtherbio.2021.102835</v>
      </c>
      <c r="BG113" t="s">
        <v>74</v>
      </c>
      <c r="BH113" t="s">
        <v>101</v>
      </c>
      <c r="BI113">
        <v>9</v>
      </c>
      <c r="BJ113" t="s">
        <v>2534</v>
      </c>
      <c r="BK113" t="s">
        <v>103</v>
      </c>
      <c r="BL113" t="s">
        <v>2535</v>
      </c>
      <c r="BM113" t="s">
        <v>2536</v>
      </c>
      <c r="BN113">
        <v>33627273</v>
      </c>
      <c r="BO113" t="s">
        <v>74</v>
      </c>
      <c r="BP113" t="s">
        <v>74</v>
      </c>
      <c r="BQ113" t="s">
        <v>74</v>
      </c>
      <c r="BR113" t="s">
        <v>106</v>
      </c>
      <c r="BS113" t="s">
        <v>2537</v>
      </c>
      <c r="BT113" t="str">
        <f>HYPERLINK("https%3A%2F%2Fwww.webofscience.com%2Fwos%2Fwoscc%2Ffull-record%2FWOS:000640910400005","View Full Record in Web of Science")</f>
        <v>View Full Record in Web of Science</v>
      </c>
    </row>
    <row r="114" spans="1:72" x14ac:dyDescent="0.15">
      <c r="A114" t="s">
        <v>72</v>
      </c>
      <c r="B114" t="s">
        <v>2538</v>
      </c>
      <c r="C114" t="s">
        <v>74</v>
      </c>
      <c r="D114" t="s">
        <v>74</v>
      </c>
      <c r="E114" t="s">
        <v>74</v>
      </c>
      <c r="F114" t="s">
        <v>2539</v>
      </c>
      <c r="G114" t="s">
        <v>74</v>
      </c>
      <c r="H114" t="s">
        <v>74</v>
      </c>
      <c r="I114" t="s">
        <v>2540</v>
      </c>
      <c r="J114" t="s">
        <v>1490</v>
      </c>
      <c r="K114" t="s">
        <v>74</v>
      </c>
      <c r="L114" t="s">
        <v>74</v>
      </c>
      <c r="M114" t="s">
        <v>78</v>
      </c>
      <c r="N114" t="s">
        <v>79</v>
      </c>
      <c r="O114" t="s">
        <v>74</v>
      </c>
      <c r="P114" t="s">
        <v>74</v>
      </c>
      <c r="Q114" t="s">
        <v>74</v>
      </c>
      <c r="R114" t="s">
        <v>74</v>
      </c>
      <c r="S114" t="s">
        <v>74</v>
      </c>
      <c r="T114" t="s">
        <v>2541</v>
      </c>
      <c r="U114" t="s">
        <v>2542</v>
      </c>
      <c r="V114" t="s">
        <v>2543</v>
      </c>
      <c r="W114" t="s">
        <v>2544</v>
      </c>
      <c r="X114" t="s">
        <v>2545</v>
      </c>
      <c r="Y114" t="s">
        <v>2546</v>
      </c>
      <c r="Z114" t="s">
        <v>2547</v>
      </c>
      <c r="AA114" t="s">
        <v>74</v>
      </c>
      <c r="AB114" t="s">
        <v>2548</v>
      </c>
      <c r="AC114" t="s">
        <v>2549</v>
      </c>
      <c r="AD114" t="s">
        <v>2550</v>
      </c>
      <c r="AE114" t="s">
        <v>2551</v>
      </c>
      <c r="AF114" t="s">
        <v>74</v>
      </c>
      <c r="AG114">
        <v>56</v>
      </c>
      <c r="AH114">
        <v>7</v>
      </c>
      <c r="AI114">
        <v>8</v>
      </c>
      <c r="AJ114">
        <v>3</v>
      </c>
      <c r="AK114">
        <v>16</v>
      </c>
      <c r="AL114" t="s">
        <v>92</v>
      </c>
      <c r="AM114" t="s">
        <v>93</v>
      </c>
      <c r="AN114" t="s">
        <v>94</v>
      </c>
      <c r="AO114" t="s">
        <v>1503</v>
      </c>
      <c r="AP114" t="s">
        <v>1504</v>
      </c>
      <c r="AQ114" t="s">
        <v>74</v>
      </c>
      <c r="AR114" t="s">
        <v>1505</v>
      </c>
      <c r="AS114" t="s">
        <v>1506</v>
      </c>
      <c r="AT114" t="s">
        <v>2552</v>
      </c>
      <c r="AU114">
        <v>2021</v>
      </c>
      <c r="AV114">
        <v>442</v>
      </c>
      <c r="AW114" t="s">
        <v>74</v>
      </c>
      <c r="AX114" t="s">
        <v>74</v>
      </c>
      <c r="AY114" t="s">
        <v>74</v>
      </c>
      <c r="AZ114" t="s">
        <v>74</v>
      </c>
      <c r="BA114" t="s">
        <v>74</v>
      </c>
      <c r="BB114" t="s">
        <v>74</v>
      </c>
      <c r="BC114" t="s">
        <v>74</v>
      </c>
      <c r="BD114">
        <v>109427</v>
      </c>
      <c r="BE114" t="s">
        <v>2553</v>
      </c>
      <c r="BF114" t="str">
        <f>HYPERLINK("http://dx.doi.org/10.1016/j.ecolmodel.2021.109427","http://dx.doi.org/10.1016/j.ecolmodel.2021.109427")</f>
        <v>http://dx.doi.org/10.1016/j.ecolmodel.2021.109427</v>
      </c>
      <c r="BG114" t="s">
        <v>74</v>
      </c>
      <c r="BH114" t="s">
        <v>101</v>
      </c>
      <c r="BI114">
        <v>10</v>
      </c>
      <c r="BJ114" t="s">
        <v>1509</v>
      </c>
      <c r="BK114" t="s">
        <v>103</v>
      </c>
      <c r="BL114" t="s">
        <v>104</v>
      </c>
      <c r="BM114" t="s">
        <v>2554</v>
      </c>
      <c r="BN114" t="s">
        <v>74</v>
      </c>
      <c r="BO114" t="s">
        <v>561</v>
      </c>
      <c r="BP114" t="s">
        <v>74</v>
      </c>
      <c r="BQ114" t="s">
        <v>74</v>
      </c>
      <c r="BR114" t="s">
        <v>106</v>
      </c>
      <c r="BS114" t="s">
        <v>2555</v>
      </c>
      <c r="BT114" t="str">
        <f>HYPERLINK("https%3A%2F%2Fwww.webofscience.com%2Fwos%2Fwoscc%2Ffull-record%2FWOS:000637743200001","View Full Record in Web of Science")</f>
        <v>View Full Record in Web of Science</v>
      </c>
    </row>
    <row r="115" spans="1:72" x14ac:dyDescent="0.15">
      <c r="A115" t="s">
        <v>72</v>
      </c>
      <c r="B115" t="s">
        <v>2556</v>
      </c>
      <c r="C115" t="s">
        <v>74</v>
      </c>
      <c r="D115" t="s">
        <v>74</v>
      </c>
      <c r="E115" t="s">
        <v>74</v>
      </c>
      <c r="F115" t="s">
        <v>2557</v>
      </c>
      <c r="G115" t="s">
        <v>74</v>
      </c>
      <c r="H115" t="s">
        <v>74</v>
      </c>
      <c r="I115" t="s">
        <v>2558</v>
      </c>
      <c r="J115" t="s">
        <v>2559</v>
      </c>
      <c r="K115" t="s">
        <v>74</v>
      </c>
      <c r="L115" t="s">
        <v>74</v>
      </c>
      <c r="M115" t="s">
        <v>78</v>
      </c>
      <c r="N115" t="s">
        <v>79</v>
      </c>
      <c r="O115" t="s">
        <v>74</v>
      </c>
      <c r="P115" t="s">
        <v>74</v>
      </c>
      <c r="Q115" t="s">
        <v>74</v>
      </c>
      <c r="R115" t="s">
        <v>74</v>
      </c>
      <c r="S115" t="s">
        <v>74</v>
      </c>
      <c r="T115" t="s">
        <v>74</v>
      </c>
      <c r="U115" t="s">
        <v>2560</v>
      </c>
      <c r="V115" t="s">
        <v>2561</v>
      </c>
      <c r="W115" t="s">
        <v>2562</v>
      </c>
      <c r="X115" t="s">
        <v>2563</v>
      </c>
      <c r="Y115" t="s">
        <v>2564</v>
      </c>
      <c r="Z115" t="s">
        <v>2565</v>
      </c>
      <c r="AA115" t="s">
        <v>2566</v>
      </c>
      <c r="AB115" t="s">
        <v>2567</v>
      </c>
      <c r="AC115" t="s">
        <v>2568</v>
      </c>
      <c r="AD115" t="s">
        <v>2569</v>
      </c>
      <c r="AE115" t="s">
        <v>2570</v>
      </c>
      <c r="AF115" t="s">
        <v>74</v>
      </c>
      <c r="AG115">
        <v>55</v>
      </c>
      <c r="AH115">
        <v>21</v>
      </c>
      <c r="AI115">
        <v>21</v>
      </c>
      <c r="AJ115">
        <v>3</v>
      </c>
      <c r="AK115">
        <v>20</v>
      </c>
      <c r="AL115" t="s">
        <v>263</v>
      </c>
      <c r="AM115" t="s">
        <v>264</v>
      </c>
      <c r="AN115" t="s">
        <v>265</v>
      </c>
      <c r="AO115" t="s">
        <v>2571</v>
      </c>
      <c r="AP115" t="s">
        <v>2572</v>
      </c>
      <c r="AQ115" t="s">
        <v>74</v>
      </c>
      <c r="AR115" t="s">
        <v>2573</v>
      </c>
      <c r="AS115" t="s">
        <v>2574</v>
      </c>
      <c r="AT115" t="s">
        <v>2575</v>
      </c>
      <c r="AU115">
        <v>2021</v>
      </c>
      <c r="AV115">
        <v>31</v>
      </c>
      <c r="AW115">
        <v>1</v>
      </c>
      <c r="AX115" t="s">
        <v>74</v>
      </c>
      <c r="AY115" t="s">
        <v>74</v>
      </c>
      <c r="AZ115" t="s">
        <v>74</v>
      </c>
      <c r="BA115" t="s">
        <v>74</v>
      </c>
      <c r="BB115">
        <v>198</v>
      </c>
      <c r="BC115" t="s">
        <v>2146</v>
      </c>
      <c r="BD115" t="s">
        <v>74</v>
      </c>
      <c r="BE115" t="s">
        <v>2576</v>
      </c>
      <c r="BF115" t="str">
        <f>HYPERLINK("http://dx.doi.org/10.1016/j.cub.2020.10.002","http://dx.doi.org/10.1016/j.cub.2020.10.002")</f>
        <v>http://dx.doi.org/10.1016/j.cub.2020.10.002</v>
      </c>
      <c r="BG115" t="s">
        <v>74</v>
      </c>
      <c r="BH115" t="s">
        <v>101</v>
      </c>
      <c r="BI115">
        <v>17</v>
      </c>
      <c r="BJ115" t="s">
        <v>2577</v>
      </c>
      <c r="BK115" t="s">
        <v>103</v>
      </c>
      <c r="BL115" t="s">
        <v>2578</v>
      </c>
      <c r="BM115" t="s">
        <v>2579</v>
      </c>
      <c r="BN115">
        <v>33125870</v>
      </c>
      <c r="BO115" t="s">
        <v>759</v>
      </c>
      <c r="BP115" t="s">
        <v>74</v>
      </c>
      <c r="BQ115" t="s">
        <v>74</v>
      </c>
      <c r="BR115" t="s">
        <v>106</v>
      </c>
      <c r="BS115" t="s">
        <v>2580</v>
      </c>
      <c r="BT115" t="str">
        <f>HYPERLINK("https%3A%2F%2Fwww.webofscience.com%2Fwos%2Fwoscc%2Ffull-record%2FWOS:000614361000035","View Full Record in Web of Science")</f>
        <v>View Full Record in Web of Science</v>
      </c>
    </row>
    <row r="116" spans="1:72" x14ac:dyDescent="0.15">
      <c r="A116" t="s">
        <v>72</v>
      </c>
      <c r="B116" t="s">
        <v>2581</v>
      </c>
      <c r="C116" t="s">
        <v>74</v>
      </c>
      <c r="D116" t="s">
        <v>74</v>
      </c>
      <c r="E116" t="s">
        <v>74</v>
      </c>
      <c r="F116" t="s">
        <v>2582</v>
      </c>
      <c r="G116" t="s">
        <v>74</v>
      </c>
      <c r="H116" t="s">
        <v>74</v>
      </c>
      <c r="I116" t="s">
        <v>2583</v>
      </c>
      <c r="J116" t="s">
        <v>1556</v>
      </c>
      <c r="K116" t="s">
        <v>74</v>
      </c>
      <c r="L116" t="s">
        <v>74</v>
      </c>
      <c r="M116" t="s">
        <v>78</v>
      </c>
      <c r="N116" t="s">
        <v>79</v>
      </c>
      <c r="O116" t="s">
        <v>74</v>
      </c>
      <c r="P116" t="s">
        <v>74</v>
      </c>
      <c r="Q116" t="s">
        <v>74</v>
      </c>
      <c r="R116" t="s">
        <v>74</v>
      </c>
      <c r="S116" t="s">
        <v>74</v>
      </c>
      <c r="T116" t="s">
        <v>74</v>
      </c>
      <c r="U116" t="s">
        <v>2584</v>
      </c>
      <c r="V116" t="s">
        <v>2585</v>
      </c>
      <c r="W116" t="s">
        <v>2586</v>
      </c>
      <c r="X116" t="s">
        <v>2587</v>
      </c>
      <c r="Y116" t="s">
        <v>2588</v>
      </c>
      <c r="Z116" t="s">
        <v>2589</v>
      </c>
      <c r="AA116" t="s">
        <v>2590</v>
      </c>
      <c r="AB116" t="s">
        <v>2591</v>
      </c>
      <c r="AC116" t="s">
        <v>2592</v>
      </c>
      <c r="AD116" t="s">
        <v>2593</v>
      </c>
      <c r="AE116" t="s">
        <v>2594</v>
      </c>
      <c r="AF116" t="s">
        <v>74</v>
      </c>
      <c r="AG116">
        <v>78</v>
      </c>
      <c r="AH116">
        <v>30</v>
      </c>
      <c r="AI116">
        <v>32</v>
      </c>
      <c r="AJ116">
        <v>0</v>
      </c>
      <c r="AK116">
        <v>17</v>
      </c>
      <c r="AL116" t="s">
        <v>123</v>
      </c>
      <c r="AM116" t="s">
        <v>124</v>
      </c>
      <c r="AN116" t="s">
        <v>125</v>
      </c>
      <c r="AO116" t="s">
        <v>1565</v>
      </c>
      <c r="AP116" t="s">
        <v>1566</v>
      </c>
      <c r="AQ116" t="s">
        <v>74</v>
      </c>
      <c r="AR116" t="s">
        <v>1567</v>
      </c>
      <c r="AS116" t="s">
        <v>1568</v>
      </c>
      <c r="AT116" t="s">
        <v>2575</v>
      </c>
      <c r="AU116">
        <v>2021</v>
      </c>
      <c r="AV116">
        <v>17</v>
      </c>
      <c r="AW116">
        <v>1</v>
      </c>
      <c r="AX116" t="s">
        <v>74</v>
      </c>
      <c r="AY116" t="s">
        <v>74</v>
      </c>
      <c r="AZ116" t="s">
        <v>74</v>
      </c>
      <c r="BA116" t="s">
        <v>74</v>
      </c>
      <c r="BB116">
        <v>37</v>
      </c>
      <c r="BC116">
        <v>62</v>
      </c>
      <c r="BD116" t="s">
        <v>74</v>
      </c>
      <c r="BE116" t="s">
        <v>2595</v>
      </c>
      <c r="BF116" t="str">
        <f>HYPERLINK("http://dx.doi.org/10.5194/cp-17-37-2021","http://dx.doi.org/10.5194/cp-17-37-2021")</f>
        <v>http://dx.doi.org/10.5194/cp-17-37-2021</v>
      </c>
      <c r="BG116" t="s">
        <v>74</v>
      </c>
      <c r="BH116" t="s">
        <v>74</v>
      </c>
      <c r="BI116">
        <v>26</v>
      </c>
      <c r="BJ116" t="s">
        <v>1570</v>
      </c>
      <c r="BK116" t="s">
        <v>103</v>
      </c>
      <c r="BL116" t="s">
        <v>1571</v>
      </c>
      <c r="BM116" t="s">
        <v>2596</v>
      </c>
      <c r="BN116" t="s">
        <v>74</v>
      </c>
      <c r="BO116" t="s">
        <v>2597</v>
      </c>
      <c r="BP116" t="s">
        <v>74</v>
      </c>
      <c r="BQ116" t="s">
        <v>74</v>
      </c>
      <c r="BR116" t="s">
        <v>106</v>
      </c>
      <c r="BS116" t="s">
        <v>2598</v>
      </c>
      <c r="BT116" t="str">
        <f>HYPERLINK("https%3A%2F%2Fwww.webofscience.com%2Fwos%2Fwoscc%2Ffull-record%2FWOS:000610556900001","View Full Record in Web of Science")</f>
        <v>View Full Record in Web of Science</v>
      </c>
    </row>
    <row r="117" spans="1:72" x14ac:dyDescent="0.15">
      <c r="A117" t="s">
        <v>72</v>
      </c>
      <c r="B117" t="s">
        <v>2599</v>
      </c>
      <c r="C117" t="s">
        <v>74</v>
      </c>
      <c r="D117" t="s">
        <v>74</v>
      </c>
      <c r="E117" t="s">
        <v>74</v>
      </c>
      <c r="F117" t="s">
        <v>2600</v>
      </c>
      <c r="G117" t="s">
        <v>74</v>
      </c>
      <c r="H117" t="s">
        <v>74</v>
      </c>
      <c r="I117" t="s">
        <v>2601</v>
      </c>
      <c r="J117" t="s">
        <v>1556</v>
      </c>
      <c r="K117" t="s">
        <v>74</v>
      </c>
      <c r="L117" t="s">
        <v>74</v>
      </c>
      <c r="M117" t="s">
        <v>78</v>
      </c>
      <c r="N117" t="s">
        <v>79</v>
      </c>
      <c r="O117" t="s">
        <v>74</v>
      </c>
      <c r="P117" t="s">
        <v>74</v>
      </c>
      <c r="Q117" t="s">
        <v>74</v>
      </c>
      <c r="R117" t="s">
        <v>74</v>
      </c>
      <c r="S117" t="s">
        <v>74</v>
      </c>
      <c r="T117" t="s">
        <v>74</v>
      </c>
      <c r="U117" t="s">
        <v>2602</v>
      </c>
      <c r="V117" t="s">
        <v>2603</v>
      </c>
      <c r="W117" t="s">
        <v>2604</v>
      </c>
      <c r="X117" t="s">
        <v>2605</v>
      </c>
      <c r="Y117" t="s">
        <v>2606</v>
      </c>
      <c r="Z117" t="s">
        <v>2607</v>
      </c>
      <c r="AA117" t="s">
        <v>2608</v>
      </c>
      <c r="AB117" t="s">
        <v>2609</v>
      </c>
      <c r="AC117" t="s">
        <v>2610</v>
      </c>
      <c r="AD117" t="s">
        <v>2611</v>
      </c>
      <c r="AE117" t="s">
        <v>2612</v>
      </c>
      <c r="AF117" t="s">
        <v>74</v>
      </c>
      <c r="AG117">
        <v>101</v>
      </c>
      <c r="AH117">
        <v>73</v>
      </c>
      <c r="AI117">
        <v>80</v>
      </c>
      <c r="AJ117">
        <v>9</v>
      </c>
      <c r="AK117">
        <v>48</v>
      </c>
      <c r="AL117" t="s">
        <v>123</v>
      </c>
      <c r="AM117" t="s">
        <v>124</v>
      </c>
      <c r="AN117" t="s">
        <v>125</v>
      </c>
      <c r="AO117" t="s">
        <v>1565</v>
      </c>
      <c r="AP117" t="s">
        <v>1566</v>
      </c>
      <c r="AQ117" t="s">
        <v>74</v>
      </c>
      <c r="AR117" t="s">
        <v>1567</v>
      </c>
      <c r="AS117" t="s">
        <v>1568</v>
      </c>
      <c r="AT117" t="s">
        <v>2575</v>
      </c>
      <c r="AU117">
        <v>2021</v>
      </c>
      <c r="AV117">
        <v>17</v>
      </c>
      <c r="AW117">
        <v>1</v>
      </c>
      <c r="AX117" t="s">
        <v>74</v>
      </c>
      <c r="AY117" t="s">
        <v>74</v>
      </c>
      <c r="AZ117" t="s">
        <v>74</v>
      </c>
      <c r="BA117" t="s">
        <v>74</v>
      </c>
      <c r="BB117">
        <v>63</v>
      </c>
      <c r="BC117">
        <v>94</v>
      </c>
      <c r="BD117" t="s">
        <v>74</v>
      </c>
      <c r="BE117" t="s">
        <v>2613</v>
      </c>
      <c r="BF117" t="str">
        <f>HYPERLINK("http://dx.doi.org/10.5194/cp-17-63-2021","http://dx.doi.org/10.5194/cp-17-63-2021")</f>
        <v>http://dx.doi.org/10.5194/cp-17-63-2021</v>
      </c>
      <c r="BG117" t="s">
        <v>74</v>
      </c>
      <c r="BH117" t="s">
        <v>74</v>
      </c>
      <c r="BI117">
        <v>32</v>
      </c>
      <c r="BJ117" t="s">
        <v>1570</v>
      </c>
      <c r="BK117" t="s">
        <v>103</v>
      </c>
      <c r="BL117" t="s">
        <v>1571</v>
      </c>
      <c r="BM117" t="s">
        <v>2596</v>
      </c>
      <c r="BN117" t="s">
        <v>74</v>
      </c>
      <c r="BO117" t="s">
        <v>2614</v>
      </c>
      <c r="BP117" t="s">
        <v>1589</v>
      </c>
      <c r="BQ117" t="s">
        <v>1590</v>
      </c>
      <c r="BR117" t="s">
        <v>106</v>
      </c>
      <c r="BS117" t="s">
        <v>2615</v>
      </c>
      <c r="BT117" t="str">
        <f>HYPERLINK("https%3A%2F%2Fwww.webofscience.com%2Fwos%2Fwoscc%2Ffull-record%2FWOS:000610556900002","View Full Record in Web of Science")</f>
        <v>View Full Record in Web of Science</v>
      </c>
    </row>
    <row r="118" spans="1:72" x14ac:dyDescent="0.15">
      <c r="A118" t="s">
        <v>72</v>
      </c>
      <c r="B118" t="s">
        <v>2616</v>
      </c>
      <c r="C118" t="s">
        <v>74</v>
      </c>
      <c r="D118" t="s">
        <v>74</v>
      </c>
      <c r="E118" t="s">
        <v>74</v>
      </c>
      <c r="F118" t="s">
        <v>2617</v>
      </c>
      <c r="G118" t="s">
        <v>74</v>
      </c>
      <c r="H118" t="s">
        <v>74</v>
      </c>
      <c r="I118" t="s">
        <v>2618</v>
      </c>
      <c r="J118" t="s">
        <v>2619</v>
      </c>
      <c r="K118" t="s">
        <v>74</v>
      </c>
      <c r="L118" t="s">
        <v>74</v>
      </c>
      <c r="M118" t="s">
        <v>78</v>
      </c>
      <c r="N118" t="s">
        <v>79</v>
      </c>
      <c r="O118" t="s">
        <v>74</v>
      </c>
      <c r="P118" t="s">
        <v>74</v>
      </c>
      <c r="Q118" t="s">
        <v>74</v>
      </c>
      <c r="R118" t="s">
        <v>74</v>
      </c>
      <c r="S118" t="s">
        <v>74</v>
      </c>
      <c r="T118" t="s">
        <v>2620</v>
      </c>
      <c r="U118" t="s">
        <v>74</v>
      </c>
      <c r="V118" t="s">
        <v>2621</v>
      </c>
      <c r="W118" t="s">
        <v>2622</v>
      </c>
      <c r="X118" t="s">
        <v>2623</v>
      </c>
      <c r="Y118" t="s">
        <v>2624</v>
      </c>
      <c r="Z118" t="s">
        <v>2625</v>
      </c>
      <c r="AA118" t="s">
        <v>2626</v>
      </c>
      <c r="AB118" t="s">
        <v>2627</v>
      </c>
      <c r="AC118" t="s">
        <v>2628</v>
      </c>
      <c r="AD118" t="s">
        <v>74</v>
      </c>
      <c r="AE118" t="s">
        <v>2629</v>
      </c>
      <c r="AF118" t="s">
        <v>74</v>
      </c>
      <c r="AG118">
        <v>5</v>
      </c>
      <c r="AH118">
        <v>1</v>
      </c>
      <c r="AI118">
        <v>1</v>
      </c>
      <c r="AJ118">
        <v>0</v>
      </c>
      <c r="AK118">
        <v>3</v>
      </c>
      <c r="AL118" t="s">
        <v>2630</v>
      </c>
      <c r="AM118" t="s">
        <v>2631</v>
      </c>
      <c r="AN118" t="s">
        <v>2632</v>
      </c>
      <c r="AO118" t="s">
        <v>74</v>
      </c>
      <c r="AP118" t="s">
        <v>2633</v>
      </c>
      <c r="AQ118" t="s">
        <v>74</v>
      </c>
      <c r="AR118" t="s">
        <v>2634</v>
      </c>
      <c r="AS118" t="s">
        <v>2635</v>
      </c>
      <c r="AT118" t="s">
        <v>2575</v>
      </c>
      <c r="AU118">
        <v>2021</v>
      </c>
      <c r="AV118">
        <v>6</v>
      </c>
      <c r="AW118">
        <v>1</v>
      </c>
      <c r="AX118" t="s">
        <v>74</v>
      </c>
      <c r="AY118" t="s">
        <v>74</v>
      </c>
      <c r="AZ118" t="s">
        <v>74</v>
      </c>
      <c r="BA118" t="s">
        <v>74</v>
      </c>
      <c r="BB118">
        <v>91</v>
      </c>
      <c r="BC118">
        <v>92</v>
      </c>
      <c r="BD118" t="s">
        <v>74</v>
      </c>
      <c r="BE118" t="s">
        <v>2636</v>
      </c>
      <c r="BF118" t="str">
        <f>HYPERLINK("http://dx.doi.org/10.1080/23802359.2020.1847608","http://dx.doi.org/10.1080/23802359.2020.1847608")</f>
        <v>http://dx.doi.org/10.1080/23802359.2020.1847608</v>
      </c>
      <c r="BG118" t="s">
        <v>74</v>
      </c>
      <c r="BH118" t="s">
        <v>74</v>
      </c>
      <c r="BI118">
        <v>2</v>
      </c>
      <c r="BJ118" t="s">
        <v>2637</v>
      </c>
      <c r="BK118" t="s">
        <v>103</v>
      </c>
      <c r="BL118" t="s">
        <v>2637</v>
      </c>
      <c r="BM118" t="s">
        <v>2638</v>
      </c>
      <c r="BN118">
        <v>33521279</v>
      </c>
      <c r="BO118" t="s">
        <v>246</v>
      </c>
      <c r="BP118" t="s">
        <v>74</v>
      </c>
      <c r="BQ118" t="s">
        <v>74</v>
      </c>
      <c r="BR118" t="s">
        <v>106</v>
      </c>
      <c r="BS118" t="s">
        <v>2639</v>
      </c>
      <c r="BT118" t="str">
        <f>HYPERLINK("https%3A%2F%2Fwww.webofscience.com%2Fwos%2Fwoscc%2Ffull-record%2FWOS:000609453000001","View Full Record in Web of Science")</f>
        <v>View Full Record in Web of Science</v>
      </c>
    </row>
    <row r="119" spans="1:72" x14ac:dyDescent="0.15">
      <c r="A119" t="s">
        <v>72</v>
      </c>
      <c r="B119" t="s">
        <v>2640</v>
      </c>
      <c r="C119" t="s">
        <v>74</v>
      </c>
      <c r="D119" t="s">
        <v>74</v>
      </c>
      <c r="E119" t="s">
        <v>74</v>
      </c>
      <c r="F119" t="s">
        <v>2641</v>
      </c>
      <c r="G119" t="s">
        <v>74</v>
      </c>
      <c r="H119" t="s">
        <v>74</v>
      </c>
      <c r="I119" t="s">
        <v>2642</v>
      </c>
      <c r="J119" t="s">
        <v>1690</v>
      </c>
      <c r="K119" t="s">
        <v>74</v>
      </c>
      <c r="L119" t="s">
        <v>74</v>
      </c>
      <c r="M119" t="s">
        <v>78</v>
      </c>
      <c r="N119" t="s">
        <v>79</v>
      </c>
      <c r="O119" t="s">
        <v>74</v>
      </c>
      <c r="P119" t="s">
        <v>74</v>
      </c>
      <c r="Q119" t="s">
        <v>74</v>
      </c>
      <c r="R119" t="s">
        <v>74</v>
      </c>
      <c r="S119" t="s">
        <v>74</v>
      </c>
      <c r="T119" t="s">
        <v>2643</v>
      </c>
      <c r="U119" t="s">
        <v>2644</v>
      </c>
      <c r="V119" t="s">
        <v>2645</v>
      </c>
      <c r="W119" t="s">
        <v>2646</v>
      </c>
      <c r="X119" t="s">
        <v>2647</v>
      </c>
      <c r="Y119" t="s">
        <v>2648</v>
      </c>
      <c r="Z119" t="s">
        <v>2649</v>
      </c>
      <c r="AA119" t="s">
        <v>2650</v>
      </c>
      <c r="AB119" t="s">
        <v>74</v>
      </c>
      <c r="AC119" t="s">
        <v>2651</v>
      </c>
      <c r="AD119" t="s">
        <v>2652</v>
      </c>
      <c r="AE119" t="s">
        <v>2653</v>
      </c>
      <c r="AF119" t="s">
        <v>74</v>
      </c>
      <c r="AG119">
        <v>37</v>
      </c>
      <c r="AH119">
        <v>5</v>
      </c>
      <c r="AI119">
        <v>5</v>
      </c>
      <c r="AJ119">
        <v>6</v>
      </c>
      <c r="AK119">
        <v>43</v>
      </c>
      <c r="AL119" t="s">
        <v>207</v>
      </c>
      <c r="AM119" t="s">
        <v>473</v>
      </c>
      <c r="AN119" t="s">
        <v>474</v>
      </c>
      <c r="AO119" t="s">
        <v>1702</v>
      </c>
      <c r="AP119" t="s">
        <v>1703</v>
      </c>
      <c r="AQ119" t="s">
        <v>74</v>
      </c>
      <c r="AR119" t="s">
        <v>1704</v>
      </c>
      <c r="AS119" t="s">
        <v>1705</v>
      </c>
      <c r="AT119" t="s">
        <v>374</v>
      </c>
      <c r="AU119">
        <v>2021</v>
      </c>
      <c r="AV119">
        <v>44</v>
      </c>
      <c r="AW119">
        <v>1</v>
      </c>
      <c r="AX119" t="s">
        <v>74</v>
      </c>
      <c r="AY119" t="s">
        <v>74</v>
      </c>
      <c r="AZ119" t="s">
        <v>74</v>
      </c>
      <c r="BA119" t="s">
        <v>74</v>
      </c>
      <c r="BB119">
        <v>163</v>
      </c>
      <c r="BC119">
        <v>171</v>
      </c>
      <c r="BD119" t="s">
        <v>74</v>
      </c>
      <c r="BE119" t="s">
        <v>2654</v>
      </c>
      <c r="BF119" t="str">
        <f>HYPERLINK("http://dx.doi.org/10.1007/s00300-020-02789-x","http://dx.doi.org/10.1007/s00300-020-02789-x")</f>
        <v>http://dx.doi.org/10.1007/s00300-020-02789-x</v>
      </c>
      <c r="BG119" t="s">
        <v>74</v>
      </c>
      <c r="BH119" t="s">
        <v>101</v>
      </c>
      <c r="BI119">
        <v>9</v>
      </c>
      <c r="BJ119" t="s">
        <v>1052</v>
      </c>
      <c r="BK119" t="s">
        <v>103</v>
      </c>
      <c r="BL119" t="s">
        <v>1053</v>
      </c>
      <c r="BM119" t="s">
        <v>2655</v>
      </c>
      <c r="BN119" t="s">
        <v>74</v>
      </c>
      <c r="BO119" t="s">
        <v>74</v>
      </c>
      <c r="BP119" t="s">
        <v>74</v>
      </c>
      <c r="BQ119" t="s">
        <v>74</v>
      </c>
      <c r="BR119" t="s">
        <v>106</v>
      </c>
      <c r="BS119" t="s">
        <v>2656</v>
      </c>
      <c r="BT119" t="str">
        <f>HYPERLINK("https%3A%2F%2Fwww.webofscience.com%2Fwos%2Fwoscc%2Ffull-record%2FWOS:000607021300001","View Full Record in Web of Science")</f>
        <v>View Full Record in Web of Science</v>
      </c>
    </row>
    <row r="120" spans="1:72" x14ac:dyDescent="0.15">
      <c r="A120" t="s">
        <v>72</v>
      </c>
      <c r="B120" t="s">
        <v>2657</v>
      </c>
      <c r="C120" t="s">
        <v>74</v>
      </c>
      <c r="D120" t="s">
        <v>74</v>
      </c>
      <c r="E120" t="s">
        <v>74</v>
      </c>
      <c r="F120" t="s">
        <v>2658</v>
      </c>
      <c r="G120" t="s">
        <v>74</v>
      </c>
      <c r="H120" t="s">
        <v>74</v>
      </c>
      <c r="I120" t="s">
        <v>2659</v>
      </c>
      <c r="J120" t="s">
        <v>1690</v>
      </c>
      <c r="K120" t="s">
        <v>74</v>
      </c>
      <c r="L120" t="s">
        <v>74</v>
      </c>
      <c r="M120" t="s">
        <v>78</v>
      </c>
      <c r="N120" t="s">
        <v>79</v>
      </c>
      <c r="O120" t="s">
        <v>74</v>
      </c>
      <c r="P120" t="s">
        <v>74</v>
      </c>
      <c r="Q120" t="s">
        <v>74</v>
      </c>
      <c r="R120" t="s">
        <v>74</v>
      </c>
      <c r="S120" t="s">
        <v>74</v>
      </c>
      <c r="T120" t="s">
        <v>2660</v>
      </c>
      <c r="U120" t="s">
        <v>2661</v>
      </c>
      <c r="V120" t="s">
        <v>2662</v>
      </c>
      <c r="W120" t="s">
        <v>2663</v>
      </c>
      <c r="X120" t="s">
        <v>2664</v>
      </c>
      <c r="Y120" t="s">
        <v>2665</v>
      </c>
      <c r="Z120" t="s">
        <v>2666</v>
      </c>
      <c r="AA120" t="s">
        <v>74</v>
      </c>
      <c r="AB120" t="s">
        <v>74</v>
      </c>
      <c r="AC120" t="s">
        <v>2667</v>
      </c>
      <c r="AD120" t="s">
        <v>2668</v>
      </c>
      <c r="AE120" t="s">
        <v>2669</v>
      </c>
      <c r="AF120" t="s">
        <v>74</v>
      </c>
      <c r="AG120">
        <v>68</v>
      </c>
      <c r="AH120">
        <v>2</v>
      </c>
      <c r="AI120">
        <v>2</v>
      </c>
      <c r="AJ120">
        <v>2</v>
      </c>
      <c r="AK120">
        <v>6</v>
      </c>
      <c r="AL120" t="s">
        <v>207</v>
      </c>
      <c r="AM120" t="s">
        <v>473</v>
      </c>
      <c r="AN120" t="s">
        <v>474</v>
      </c>
      <c r="AO120" t="s">
        <v>1702</v>
      </c>
      <c r="AP120" t="s">
        <v>1703</v>
      </c>
      <c r="AQ120" t="s">
        <v>74</v>
      </c>
      <c r="AR120" t="s">
        <v>1704</v>
      </c>
      <c r="AS120" t="s">
        <v>1705</v>
      </c>
      <c r="AT120" t="s">
        <v>184</v>
      </c>
      <c r="AU120">
        <v>2021</v>
      </c>
      <c r="AV120">
        <v>44</v>
      </c>
      <c r="AW120">
        <v>2</v>
      </c>
      <c r="AX120" t="s">
        <v>74</v>
      </c>
      <c r="AY120" t="s">
        <v>74</v>
      </c>
      <c r="AZ120" t="s">
        <v>74</v>
      </c>
      <c r="BA120" t="s">
        <v>74</v>
      </c>
      <c r="BB120">
        <v>305</v>
      </c>
      <c r="BC120">
        <v>314</v>
      </c>
      <c r="BD120" t="s">
        <v>74</v>
      </c>
      <c r="BE120" t="s">
        <v>2670</v>
      </c>
      <c r="BF120" t="str">
        <f>HYPERLINK("http://dx.doi.org/10.1007/s00300-020-02793-1","http://dx.doi.org/10.1007/s00300-020-02793-1")</f>
        <v>http://dx.doi.org/10.1007/s00300-020-02793-1</v>
      </c>
      <c r="BG120" t="s">
        <v>74</v>
      </c>
      <c r="BH120" t="s">
        <v>101</v>
      </c>
      <c r="BI120">
        <v>10</v>
      </c>
      <c r="BJ120" t="s">
        <v>1052</v>
      </c>
      <c r="BK120" t="s">
        <v>103</v>
      </c>
      <c r="BL120" t="s">
        <v>1053</v>
      </c>
      <c r="BM120" t="s">
        <v>1707</v>
      </c>
      <c r="BN120" t="s">
        <v>74</v>
      </c>
      <c r="BO120" t="s">
        <v>561</v>
      </c>
      <c r="BP120" t="s">
        <v>74</v>
      </c>
      <c r="BQ120" t="s">
        <v>74</v>
      </c>
      <c r="BR120" t="s">
        <v>106</v>
      </c>
      <c r="BS120" t="s">
        <v>2671</v>
      </c>
      <c r="BT120" t="str">
        <f>HYPERLINK("https%3A%2F%2Fwww.webofscience.com%2Fwos%2Fwoscc%2Ffull-record%2FWOS:000607021300004","View Full Record in Web of Science")</f>
        <v>View Full Record in Web of Science</v>
      </c>
    </row>
    <row r="121" spans="1:72" x14ac:dyDescent="0.15">
      <c r="A121" t="s">
        <v>72</v>
      </c>
      <c r="B121" t="s">
        <v>2672</v>
      </c>
      <c r="C121" t="s">
        <v>74</v>
      </c>
      <c r="D121" t="s">
        <v>74</v>
      </c>
      <c r="E121" t="s">
        <v>74</v>
      </c>
      <c r="F121" t="s">
        <v>2673</v>
      </c>
      <c r="G121" t="s">
        <v>74</v>
      </c>
      <c r="H121" t="s">
        <v>74</v>
      </c>
      <c r="I121" t="s">
        <v>2674</v>
      </c>
      <c r="J121" t="s">
        <v>2675</v>
      </c>
      <c r="K121" t="s">
        <v>74</v>
      </c>
      <c r="L121" t="s">
        <v>74</v>
      </c>
      <c r="M121" t="s">
        <v>78</v>
      </c>
      <c r="N121" t="s">
        <v>79</v>
      </c>
      <c r="O121" t="s">
        <v>74</v>
      </c>
      <c r="P121" t="s">
        <v>74</v>
      </c>
      <c r="Q121" t="s">
        <v>74</v>
      </c>
      <c r="R121" t="s">
        <v>74</v>
      </c>
      <c r="S121" t="s">
        <v>74</v>
      </c>
      <c r="T121" t="s">
        <v>2676</v>
      </c>
      <c r="U121" t="s">
        <v>2677</v>
      </c>
      <c r="V121" t="s">
        <v>2678</v>
      </c>
      <c r="W121" t="s">
        <v>2679</v>
      </c>
      <c r="X121" t="s">
        <v>2680</v>
      </c>
      <c r="Y121" t="s">
        <v>2681</v>
      </c>
      <c r="Z121" t="s">
        <v>2682</v>
      </c>
      <c r="AA121" t="s">
        <v>2683</v>
      </c>
      <c r="AB121" t="s">
        <v>2684</v>
      </c>
      <c r="AC121" t="s">
        <v>2685</v>
      </c>
      <c r="AD121" t="s">
        <v>2685</v>
      </c>
      <c r="AE121" t="s">
        <v>2686</v>
      </c>
      <c r="AF121" t="s">
        <v>74</v>
      </c>
      <c r="AG121">
        <v>117</v>
      </c>
      <c r="AH121">
        <v>2</v>
      </c>
      <c r="AI121">
        <v>2</v>
      </c>
      <c r="AJ121">
        <v>4</v>
      </c>
      <c r="AK121">
        <v>26</v>
      </c>
      <c r="AL121" t="s">
        <v>552</v>
      </c>
      <c r="AM121" t="s">
        <v>553</v>
      </c>
      <c r="AN121" t="s">
        <v>554</v>
      </c>
      <c r="AO121" t="s">
        <v>2687</v>
      </c>
      <c r="AP121" t="s">
        <v>2688</v>
      </c>
      <c r="AQ121" t="s">
        <v>74</v>
      </c>
      <c r="AR121" t="s">
        <v>2689</v>
      </c>
      <c r="AS121" t="s">
        <v>2690</v>
      </c>
      <c r="AT121" t="s">
        <v>707</v>
      </c>
      <c r="AU121">
        <v>2021</v>
      </c>
      <c r="AV121">
        <v>31</v>
      </c>
      <c r="AW121">
        <v>6</v>
      </c>
      <c r="AX121" t="s">
        <v>74</v>
      </c>
      <c r="AY121" t="s">
        <v>74</v>
      </c>
      <c r="AZ121" t="s">
        <v>74</v>
      </c>
      <c r="BA121" t="s">
        <v>74</v>
      </c>
      <c r="BB121">
        <v>1452</v>
      </c>
      <c r="BC121">
        <v>1465</v>
      </c>
      <c r="BD121" t="s">
        <v>74</v>
      </c>
      <c r="BE121" t="s">
        <v>2691</v>
      </c>
      <c r="BF121" t="str">
        <f>HYPERLINK("http://dx.doi.org/10.1002/aqc.3494","http://dx.doi.org/10.1002/aqc.3494")</f>
        <v>http://dx.doi.org/10.1002/aqc.3494</v>
      </c>
      <c r="BG121" t="s">
        <v>74</v>
      </c>
      <c r="BH121" t="s">
        <v>101</v>
      </c>
      <c r="BI121">
        <v>14</v>
      </c>
      <c r="BJ121" t="s">
        <v>2692</v>
      </c>
      <c r="BK121" t="s">
        <v>103</v>
      </c>
      <c r="BL121" t="s">
        <v>2693</v>
      </c>
      <c r="BM121" t="s">
        <v>2694</v>
      </c>
      <c r="BN121" t="s">
        <v>74</v>
      </c>
      <c r="BO121" t="s">
        <v>74</v>
      </c>
      <c r="BP121" t="s">
        <v>74</v>
      </c>
      <c r="BQ121" t="s">
        <v>74</v>
      </c>
      <c r="BR121" t="s">
        <v>106</v>
      </c>
      <c r="BS121" t="s">
        <v>2695</v>
      </c>
      <c r="BT121" t="str">
        <f>HYPERLINK("https%3A%2F%2Fwww.webofscience.com%2Fwos%2Fwoscc%2Ffull-record%2FWOS:000606789200001","View Full Record in Web of Science")</f>
        <v>View Full Record in Web of Science</v>
      </c>
    </row>
    <row r="122" spans="1:72" x14ac:dyDescent="0.15">
      <c r="A122" t="s">
        <v>72</v>
      </c>
      <c r="B122" t="s">
        <v>2696</v>
      </c>
      <c r="C122" t="s">
        <v>74</v>
      </c>
      <c r="D122" t="s">
        <v>74</v>
      </c>
      <c r="E122" t="s">
        <v>74</v>
      </c>
      <c r="F122" t="s">
        <v>2697</v>
      </c>
      <c r="G122" t="s">
        <v>74</v>
      </c>
      <c r="H122" t="s">
        <v>74</v>
      </c>
      <c r="I122" t="s">
        <v>2698</v>
      </c>
      <c r="J122" t="s">
        <v>1713</v>
      </c>
      <c r="K122" t="s">
        <v>74</v>
      </c>
      <c r="L122" t="s">
        <v>74</v>
      </c>
      <c r="M122" t="s">
        <v>78</v>
      </c>
      <c r="N122" t="s">
        <v>79</v>
      </c>
      <c r="O122" t="s">
        <v>74</v>
      </c>
      <c r="P122" t="s">
        <v>74</v>
      </c>
      <c r="Q122" t="s">
        <v>74</v>
      </c>
      <c r="R122" t="s">
        <v>74</v>
      </c>
      <c r="S122" t="s">
        <v>74</v>
      </c>
      <c r="T122" t="s">
        <v>2699</v>
      </c>
      <c r="U122" t="s">
        <v>2700</v>
      </c>
      <c r="V122" t="s">
        <v>2701</v>
      </c>
      <c r="W122" t="s">
        <v>2702</v>
      </c>
      <c r="X122" t="s">
        <v>2703</v>
      </c>
      <c r="Y122" t="s">
        <v>2704</v>
      </c>
      <c r="Z122" t="s">
        <v>2705</v>
      </c>
      <c r="AA122" t="s">
        <v>2706</v>
      </c>
      <c r="AB122" t="s">
        <v>2707</v>
      </c>
      <c r="AC122" t="s">
        <v>2708</v>
      </c>
      <c r="AD122" t="s">
        <v>2709</v>
      </c>
      <c r="AE122" t="s">
        <v>2710</v>
      </c>
      <c r="AF122" t="s">
        <v>74</v>
      </c>
      <c r="AG122">
        <v>72</v>
      </c>
      <c r="AH122">
        <v>1</v>
      </c>
      <c r="AI122">
        <v>1</v>
      </c>
      <c r="AJ122">
        <v>3</v>
      </c>
      <c r="AK122">
        <v>6</v>
      </c>
      <c r="AL122" t="s">
        <v>418</v>
      </c>
      <c r="AM122" t="s">
        <v>178</v>
      </c>
      <c r="AN122" t="s">
        <v>419</v>
      </c>
      <c r="AO122" t="s">
        <v>1726</v>
      </c>
      <c r="AP122" t="s">
        <v>1727</v>
      </c>
      <c r="AQ122" t="s">
        <v>74</v>
      </c>
      <c r="AR122" t="s">
        <v>1728</v>
      </c>
      <c r="AS122" t="s">
        <v>1729</v>
      </c>
      <c r="AT122" t="s">
        <v>2452</v>
      </c>
      <c r="AU122">
        <v>2021</v>
      </c>
      <c r="AV122">
        <v>253</v>
      </c>
      <c r="AW122" t="s">
        <v>74</v>
      </c>
      <c r="AX122" t="s">
        <v>74</v>
      </c>
      <c r="AY122" t="s">
        <v>74</v>
      </c>
      <c r="AZ122" t="s">
        <v>74</v>
      </c>
      <c r="BA122" t="s">
        <v>74</v>
      </c>
      <c r="BB122" t="s">
        <v>74</v>
      </c>
      <c r="BC122" t="s">
        <v>74</v>
      </c>
      <c r="BD122">
        <v>106698</v>
      </c>
      <c r="BE122" t="s">
        <v>2711</v>
      </c>
      <c r="BF122" t="str">
        <f>HYPERLINK("http://dx.doi.org/10.1016/j.quascirev.2020.106698","http://dx.doi.org/10.1016/j.quascirev.2020.106698")</f>
        <v>http://dx.doi.org/10.1016/j.quascirev.2020.106698</v>
      </c>
      <c r="BG122" t="s">
        <v>74</v>
      </c>
      <c r="BH122" t="s">
        <v>101</v>
      </c>
      <c r="BI122">
        <v>15</v>
      </c>
      <c r="BJ122" t="s">
        <v>156</v>
      </c>
      <c r="BK122" t="s">
        <v>103</v>
      </c>
      <c r="BL122" t="s">
        <v>157</v>
      </c>
      <c r="BM122" t="s">
        <v>2712</v>
      </c>
      <c r="BN122" t="s">
        <v>74</v>
      </c>
      <c r="BO122" t="s">
        <v>74</v>
      </c>
      <c r="BP122" t="s">
        <v>74</v>
      </c>
      <c r="BQ122" t="s">
        <v>74</v>
      </c>
      <c r="BR122" t="s">
        <v>106</v>
      </c>
      <c r="BS122" t="s">
        <v>2713</v>
      </c>
      <c r="BT122" t="str">
        <f>HYPERLINK("https%3A%2F%2Fwww.webofscience.com%2Fwos%2Fwoscc%2Ffull-record%2FWOS:000610835200001","View Full Record in Web of Science")</f>
        <v>View Full Record in Web of Science</v>
      </c>
    </row>
    <row r="123" spans="1:72" x14ac:dyDescent="0.15">
      <c r="A123" t="s">
        <v>72</v>
      </c>
      <c r="B123" t="s">
        <v>2714</v>
      </c>
      <c r="C123" t="s">
        <v>74</v>
      </c>
      <c r="D123" t="s">
        <v>74</v>
      </c>
      <c r="E123" t="s">
        <v>74</v>
      </c>
      <c r="F123" t="s">
        <v>2715</v>
      </c>
      <c r="G123" t="s">
        <v>74</v>
      </c>
      <c r="H123" t="s">
        <v>74</v>
      </c>
      <c r="I123" t="s">
        <v>2716</v>
      </c>
      <c r="J123" t="s">
        <v>2717</v>
      </c>
      <c r="K123" t="s">
        <v>74</v>
      </c>
      <c r="L123" t="s">
        <v>74</v>
      </c>
      <c r="M123" t="s">
        <v>78</v>
      </c>
      <c r="N123" t="s">
        <v>79</v>
      </c>
      <c r="O123" t="s">
        <v>74</v>
      </c>
      <c r="P123" t="s">
        <v>74</v>
      </c>
      <c r="Q123" t="s">
        <v>74</v>
      </c>
      <c r="R123" t="s">
        <v>74</v>
      </c>
      <c r="S123" t="s">
        <v>74</v>
      </c>
      <c r="T123" t="s">
        <v>2718</v>
      </c>
      <c r="U123" t="s">
        <v>74</v>
      </c>
      <c r="V123" t="s">
        <v>2719</v>
      </c>
      <c r="W123" t="s">
        <v>2720</v>
      </c>
      <c r="X123" t="s">
        <v>2721</v>
      </c>
      <c r="Y123" t="s">
        <v>2722</v>
      </c>
      <c r="Z123" t="s">
        <v>2723</v>
      </c>
      <c r="AA123" t="s">
        <v>74</v>
      </c>
      <c r="AB123" t="s">
        <v>74</v>
      </c>
      <c r="AC123" t="s">
        <v>74</v>
      </c>
      <c r="AD123" t="s">
        <v>74</v>
      </c>
      <c r="AE123" t="s">
        <v>74</v>
      </c>
      <c r="AF123" t="s">
        <v>74</v>
      </c>
      <c r="AG123">
        <v>44</v>
      </c>
      <c r="AH123">
        <v>2</v>
      </c>
      <c r="AI123">
        <v>2</v>
      </c>
      <c r="AJ123">
        <v>2</v>
      </c>
      <c r="AK123">
        <v>7</v>
      </c>
      <c r="AL123" t="s">
        <v>2724</v>
      </c>
      <c r="AM123" t="s">
        <v>2631</v>
      </c>
      <c r="AN123" t="s">
        <v>2725</v>
      </c>
      <c r="AO123" t="s">
        <v>2726</v>
      </c>
      <c r="AP123" t="s">
        <v>2727</v>
      </c>
      <c r="AQ123" t="s">
        <v>74</v>
      </c>
      <c r="AR123" t="s">
        <v>2728</v>
      </c>
      <c r="AS123" t="s">
        <v>2729</v>
      </c>
      <c r="AT123" t="s">
        <v>2730</v>
      </c>
      <c r="AU123">
        <v>2022</v>
      </c>
      <c r="AV123">
        <v>29</v>
      </c>
      <c r="AW123">
        <v>6</v>
      </c>
      <c r="AX123" t="s">
        <v>74</v>
      </c>
      <c r="AY123" t="s">
        <v>74</v>
      </c>
      <c r="AZ123" t="s">
        <v>74</v>
      </c>
      <c r="BA123" t="s">
        <v>74</v>
      </c>
      <c r="BB123">
        <v>751</v>
      </c>
      <c r="BC123">
        <v>771</v>
      </c>
      <c r="BD123" t="s">
        <v>74</v>
      </c>
      <c r="BE123" t="s">
        <v>2731</v>
      </c>
      <c r="BF123" t="str">
        <f>HYPERLINK("http://dx.doi.org/10.1080/0966369X.2021.1873746","http://dx.doi.org/10.1080/0966369X.2021.1873746")</f>
        <v>http://dx.doi.org/10.1080/0966369X.2021.1873746</v>
      </c>
      <c r="BG123" t="s">
        <v>74</v>
      </c>
      <c r="BH123" t="s">
        <v>101</v>
      </c>
      <c r="BI123">
        <v>21</v>
      </c>
      <c r="BJ123" t="s">
        <v>2732</v>
      </c>
      <c r="BK123" t="s">
        <v>2733</v>
      </c>
      <c r="BL123" t="s">
        <v>2732</v>
      </c>
      <c r="BM123" t="s">
        <v>2734</v>
      </c>
      <c r="BN123" t="s">
        <v>74</v>
      </c>
      <c r="BO123" t="s">
        <v>74</v>
      </c>
      <c r="BP123" t="s">
        <v>74</v>
      </c>
      <c r="BQ123" t="s">
        <v>74</v>
      </c>
      <c r="BR123" t="s">
        <v>106</v>
      </c>
      <c r="BS123" t="s">
        <v>2735</v>
      </c>
      <c r="BT123" t="str">
        <f>HYPERLINK("https%3A%2F%2Fwww.webofscience.com%2Fwos%2Fwoscc%2Ffull-record%2FWOS:000609578900001","View Full Record in Web of Science")</f>
        <v>View Full Record in Web of Science</v>
      </c>
    </row>
    <row r="124" spans="1:72" x14ac:dyDescent="0.15">
      <c r="A124" t="s">
        <v>72</v>
      </c>
      <c r="B124" t="s">
        <v>2736</v>
      </c>
      <c r="C124" t="s">
        <v>74</v>
      </c>
      <c r="D124" t="s">
        <v>74</v>
      </c>
      <c r="E124" t="s">
        <v>74</v>
      </c>
      <c r="F124" t="s">
        <v>2737</v>
      </c>
      <c r="G124" t="s">
        <v>74</v>
      </c>
      <c r="H124" t="s">
        <v>74</v>
      </c>
      <c r="I124" t="s">
        <v>2738</v>
      </c>
      <c r="J124" t="s">
        <v>77</v>
      </c>
      <c r="K124" t="s">
        <v>74</v>
      </c>
      <c r="L124" t="s">
        <v>74</v>
      </c>
      <c r="M124" t="s">
        <v>78</v>
      </c>
      <c r="N124" t="s">
        <v>79</v>
      </c>
      <c r="O124" t="s">
        <v>74</v>
      </c>
      <c r="P124" t="s">
        <v>74</v>
      </c>
      <c r="Q124" t="s">
        <v>74</v>
      </c>
      <c r="R124" t="s">
        <v>74</v>
      </c>
      <c r="S124" t="s">
        <v>74</v>
      </c>
      <c r="T124" t="s">
        <v>2739</v>
      </c>
      <c r="U124" t="s">
        <v>2740</v>
      </c>
      <c r="V124" t="s">
        <v>2741</v>
      </c>
      <c r="W124" t="s">
        <v>2742</v>
      </c>
      <c r="X124" t="s">
        <v>2743</v>
      </c>
      <c r="Y124" t="s">
        <v>2744</v>
      </c>
      <c r="Z124" t="s">
        <v>2745</v>
      </c>
      <c r="AA124" t="s">
        <v>74</v>
      </c>
      <c r="AB124" t="s">
        <v>2746</v>
      </c>
      <c r="AC124" t="s">
        <v>2747</v>
      </c>
      <c r="AD124" t="s">
        <v>2748</v>
      </c>
      <c r="AE124" t="s">
        <v>2749</v>
      </c>
      <c r="AF124" t="s">
        <v>74</v>
      </c>
      <c r="AG124">
        <v>99</v>
      </c>
      <c r="AH124">
        <v>12</v>
      </c>
      <c r="AI124">
        <v>12</v>
      </c>
      <c r="AJ124">
        <v>1</v>
      </c>
      <c r="AK124">
        <v>24</v>
      </c>
      <c r="AL124" t="s">
        <v>92</v>
      </c>
      <c r="AM124" t="s">
        <v>93</v>
      </c>
      <c r="AN124" t="s">
        <v>94</v>
      </c>
      <c r="AO124" t="s">
        <v>95</v>
      </c>
      <c r="AP124" t="s">
        <v>96</v>
      </c>
      <c r="AQ124" t="s">
        <v>74</v>
      </c>
      <c r="AR124" t="s">
        <v>97</v>
      </c>
      <c r="AS124" t="s">
        <v>98</v>
      </c>
      <c r="AT124" t="s">
        <v>1533</v>
      </c>
      <c r="AU124">
        <v>2021</v>
      </c>
      <c r="AV124">
        <v>751</v>
      </c>
      <c r="AW124" t="s">
        <v>74</v>
      </c>
      <c r="AX124" t="s">
        <v>74</v>
      </c>
      <c r="AY124" t="s">
        <v>74</v>
      </c>
      <c r="AZ124" t="s">
        <v>74</v>
      </c>
      <c r="BA124" t="s">
        <v>74</v>
      </c>
      <c r="BB124" t="s">
        <v>74</v>
      </c>
      <c r="BC124" t="s">
        <v>74</v>
      </c>
      <c r="BD124">
        <v>141810</v>
      </c>
      <c r="BE124" t="s">
        <v>2750</v>
      </c>
      <c r="BF124" t="str">
        <f>HYPERLINK("http://dx.doi.org/10.1016/j.scitotenv.2020.141810","http://dx.doi.org/10.1016/j.scitotenv.2020.141810")</f>
        <v>http://dx.doi.org/10.1016/j.scitotenv.2020.141810</v>
      </c>
      <c r="BG124" t="s">
        <v>74</v>
      </c>
      <c r="BH124" t="s">
        <v>74</v>
      </c>
      <c r="BI124">
        <v>13</v>
      </c>
      <c r="BJ124" t="s">
        <v>102</v>
      </c>
      <c r="BK124" t="s">
        <v>103</v>
      </c>
      <c r="BL124" t="s">
        <v>104</v>
      </c>
      <c r="BM124" t="s">
        <v>2751</v>
      </c>
      <c r="BN124">
        <v>32882566</v>
      </c>
      <c r="BO124" t="s">
        <v>74</v>
      </c>
      <c r="BP124" t="s">
        <v>74</v>
      </c>
      <c r="BQ124" t="s">
        <v>74</v>
      </c>
      <c r="BR124" t="s">
        <v>106</v>
      </c>
      <c r="BS124" t="s">
        <v>2752</v>
      </c>
      <c r="BT124" t="str">
        <f>HYPERLINK("https%3A%2F%2Fwww.webofscience.com%2Fwos%2Fwoscc%2Ffull-record%2FWOS:000587300800095","View Full Record in Web of Science")</f>
        <v>View Full Record in Web of Science</v>
      </c>
    </row>
    <row r="125" spans="1:72" x14ac:dyDescent="0.15">
      <c r="A125" t="s">
        <v>72</v>
      </c>
      <c r="B125" t="s">
        <v>2753</v>
      </c>
      <c r="C125" t="s">
        <v>74</v>
      </c>
      <c r="D125" t="s">
        <v>74</v>
      </c>
      <c r="E125" t="s">
        <v>74</v>
      </c>
      <c r="F125" t="s">
        <v>2754</v>
      </c>
      <c r="G125" t="s">
        <v>74</v>
      </c>
      <c r="H125" t="s">
        <v>74</v>
      </c>
      <c r="I125" t="s">
        <v>2755</v>
      </c>
      <c r="J125" t="s">
        <v>77</v>
      </c>
      <c r="K125" t="s">
        <v>74</v>
      </c>
      <c r="L125" t="s">
        <v>74</v>
      </c>
      <c r="M125" t="s">
        <v>78</v>
      </c>
      <c r="N125" t="s">
        <v>79</v>
      </c>
      <c r="O125" t="s">
        <v>74</v>
      </c>
      <c r="P125" t="s">
        <v>74</v>
      </c>
      <c r="Q125" t="s">
        <v>74</v>
      </c>
      <c r="R125" t="s">
        <v>74</v>
      </c>
      <c r="S125" t="s">
        <v>74</v>
      </c>
      <c r="T125" t="s">
        <v>2756</v>
      </c>
      <c r="U125" t="s">
        <v>2757</v>
      </c>
      <c r="V125" t="s">
        <v>2758</v>
      </c>
      <c r="W125" t="s">
        <v>2759</v>
      </c>
      <c r="X125" t="s">
        <v>2760</v>
      </c>
      <c r="Y125" t="s">
        <v>2761</v>
      </c>
      <c r="Z125" t="s">
        <v>2762</v>
      </c>
      <c r="AA125" t="s">
        <v>74</v>
      </c>
      <c r="AB125" t="s">
        <v>2763</v>
      </c>
      <c r="AC125" t="s">
        <v>2764</v>
      </c>
      <c r="AD125" t="s">
        <v>2765</v>
      </c>
      <c r="AE125" t="s">
        <v>2766</v>
      </c>
      <c r="AF125" t="s">
        <v>74</v>
      </c>
      <c r="AG125">
        <v>57</v>
      </c>
      <c r="AH125">
        <v>11</v>
      </c>
      <c r="AI125">
        <v>14</v>
      </c>
      <c r="AJ125">
        <v>5</v>
      </c>
      <c r="AK125">
        <v>50</v>
      </c>
      <c r="AL125" t="s">
        <v>92</v>
      </c>
      <c r="AM125" t="s">
        <v>93</v>
      </c>
      <c r="AN125" t="s">
        <v>94</v>
      </c>
      <c r="AO125" t="s">
        <v>95</v>
      </c>
      <c r="AP125" t="s">
        <v>96</v>
      </c>
      <c r="AQ125" t="s">
        <v>74</v>
      </c>
      <c r="AR125" t="s">
        <v>97</v>
      </c>
      <c r="AS125" t="s">
        <v>98</v>
      </c>
      <c r="AT125" t="s">
        <v>1533</v>
      </c>
      <c r="AU125">
        <v>2021</v>
      </c>
      <c r="AV125">
        <v>751</v>
      </c>
      <c r="AW125" t="s">
        <v>74</v>
      </c>
      <c r="AX125" t="s">
        <v>74</v>
      </c>
      <c r="AY125" t="s">
        <v>74</v>
      </c>
      <c r="AZ125" t="s">
        <v>74</v>
      </c>
      <c r="BA125" t="s">
        <v>74</v>
      </c>
      <c r="BB125" t="s">
        <v>74</v>
      </c>
      <c r="BC125" t="s">
        <v>74</v>
      </c>
      <c r="BD125">
        <v>141678</v>
      </c>
      <c r="BE125" t="s">
        <v>2767</v>
      </c>
      <c r="BF125" t="str">
        <f>HYPERLINK("http://dx.doi.org/10.1016/j.scitotenv.2020.141678","http://dx.doi.org/10.1016/j.scitotenv.2020.141678")</f>
        <v>http://dx.doi.org/10.1016/j.scitotenv.2020.141678</v>
      </c>
      <c r="BG125" t="s">
        <v>74</v>
      </c>
      <c r="BH125" t="s">
        <v>74</v>
      </c>
      <c r="BI125">
        <v>15</v>
      </c>
      <c r="BJ125" t="s">
        <v>102</v>
      </c>
      <c r="BK125" t="s">
        <v>103</v>
      </c>
      <c r="BL125" t="s">
        <v>104</v>
      </c>
      <c r="BM125" t="s">
        <v>2751</v>
      </c>
      <c r="BN125">
        <v>33182005</v>
      </c>
      <c r="BO125" t="s">
        <v>218</v>
      </c>
      <c r="BP125" t="s">
        <v>74</v>
      </c>
      <c r="BQ125" t="s">
        <v>74</v>
      </c>
      <c r="BR125" t="s">
        <v>106</v>
      </c>
      <c r="BS125" t="s">
        <v>2768</v>
      </c>
      <c r="BT125" t="str">
        <f>HYPERLINK("https%3A%2F%2Fwww.webofscience.com%2Fwos%2Fwoscc%2Ffull-record%2FWOS:000587300800047","View Full Record in Web of Science")</f>
        <v>View Full Record in Web of Science</v>
      </c>
    </row>
    <row r="126" spans="1:72" x14ac:dyDescent="0.15">
      <c r="A126" t="s">
        <v>72</v>
      </c>
      <c r="B126" t="s">
        <v>2769</v>
      </c>
      <c r="C126" t="s">
        <v>74</v>
      </c>
      <c r="D126" t="s">
        <v>74</v>
      </c>
      <c r="E126" t="s">
        <v>74</v>
      </c>
      <c r="F126" t="s">
        <v>2770</v>
      </c>
      <c r="G126" t="s">
        <v>74</v>
      </c>
      <c r="H126" t="s">
        <v>74</v>
      </c>
      <c r="I126" t="s">
        <v>2771</v>
      </c>
      <c r="J126" t="s">
        <v>77</v>
      </c>
      <c r="K126" t="s">
        <v>74</v>
      </c>
      <c r="L126" t="s">
        <v>74</v>
      </c>
      <c r="M126" t="s">
        <v>78</v>
      </c>
      <c r="N126" t="s">
        <v>79</v>
      </c>
      <c r="O126" t="s">
        <v>74</v>
      </c>
      <c r="P126" t="s">
        <v>74</v>
      </c>
      <c r="Q126" t="s">
        <v>74</v>
      </c>
      <c r="R126" t="s">
        <v>74</v>
      </c>
      <c r="S126" t="s">
        <v>74</v>
      </c>
      <c r="T126" t="s">
        <v>2772</v>
      </c>
      <c r="U126" t="s">
        <v>2773</v>
      </c>
      <c r="V126" t="s">
        <v>2774</v>
      </c>
      <c r="W126" t="s">
        <v>2775</v>
      </c>
      <c r="X126" t="s">
        <v>2776</v>
      </c>
      <c r="Y126" t="s">
        <v>2777</v>
      </c>
      <c r="Z126" t="s">
        <v>2778</v>
      </c>
      <c r="AA126" t="s">
        <v>2779</v>
      </c>
      <c r="AB126" t="s">
        <v>2780</v>
      </c>
      <c r="AC126" t="s">
        <v>2781</v>
      </c>
      <c r="AD126" t="s">
        <v>2782</v>
      </c>
      <c r="AE126" t="s">
        <v>2783</v>
      </c>
      <c r="AF126" t="s">
        <v>74</v>
      </c>
      <c r="AG126">
        <v>68</v>
      </c>
      <c r="AH126">
        <v>10</v>
      </c>
      <c r="AI126">
        <v>12</v>
      </c>
      <c r="AJ126">
        <v>10</v>
      </c>
      <c r="AK126">
        <v>65</v>
      </c>
      <c r="AL126" t="s">
        <v>92</v>
      </c>
      <c r="AM126" t="s">
        <v>93</v>
      </c>
      <c r="AN126" t="s">
        <v>94</v>
      </c>
      <c r="AO126" t="s">
        <v>95</v>
      </c>
      <c r="AP126" t="s">
        <v>96</v>
      </c>
      <c r="AQ126" t="s">
        <v>74</v>
      </c>
      <c r="AR126" t="s">
        <v>97</v>
      </c>
      <c r="AS126" t="s">
        <v>98</v>
      </c>
      <c r="AT126" t="s">
        <v>1533</v>
      </c>
      <c r="AU126">
        <v>2021</v>
      </c>
      <c r="AV126">
        <v>751</v>
      </c>
      <c r="AW126" t="s">
        <v>74</v>
      </c>
      <c r="AX126" t="s">
        <v>74</v>
      </c>
      <c r="AY126" t="s">
        <v>74</v>
      </c>
      <c r="AZ126" t="s">
        <v>74</v>
      </c>
      <c r="BA126" t="s">
        <v>74</v>
      </c>
      <c r="BB126" t="s">
        <v>74</v>
      </c>
      <c r="BC126" t="s">
        <v>74</v>
      </c>
      <c r="BD126">
        <v>141681</v>
      </c>
      <c r="BE126" t="s">
        <v>2784</v>
      </c>
      <c r="BF126" t="str">
        <f>HYPERLINK("http://dx.doi.org/10.1016/j.scitotenv.2020.141681","http://dx.doi.org/10.1016/j.scitotenv.2020.141681")</f>
        <v>http://dx.doi.org/10.1016/j.scitotenv.2020.141681</v>
      </c>
      <c r="BG126" t="s">
        <v>74</v>
      </c>
      <c r="BH126" t="s">
        <v>74</v>
      </c>
      <c r="BI126">
        <v>13</v>
      </c>
      <c r="BJ126" t="s">
        <v>102</v>
      </c>
      <c r="BK126" t="s">
        <v>103</v>
      </c>
      <c r="BL126" t="s">
        <v>104</v>
      </c>
      <c r="BM126" t="s">
        <v>2751</v>
      </c>
      <c r="BN126">
        <v>32861947</v>
      </c>
      <c r="BO126" t="s">
        <v>74</v>
      </c>
      <c r="BP126" t="s">
        <v>74</v>
      </c>
      <c r="BQ126" t="s">
        <v>74</v>
      </c>
      <c r="BR126" t="s">
        <v>106</v>
      </c>
      <c r="BS126" t="s">
        <v>2785</v>
      </c>
      <c r="BT126" t="str">
        <f>HYPERLINK("https%3A%2F%2Fwww.webofscience.com%2Fwos%2Fwoscc%2Ffull-record%2FWOS:000587300800049","View Full Record in Web of Science")</f>
        <v>View Full Record in Web of Science</v>
      </c>
    </row>
    <row r="127" spans="1:72" x14ac:dyDescent="0.15">
      <c r="A127" t="s">
        <v>72</v>
      </c>
      <c r="B127" t="s">
        <v>2786</v>
      </c>
      <c r="C127" t="s">
        <v>74</v>
      </c>
      <c r="D127" t="s">
        <v>74</v>
      </c>
      <c r="E127" t="s">
        <v>74</v>
      </c>
      <c r="F127" t="s">
        <v>2787</v>
      </c>
      <c r="G127" t="s">
        <v>74</v>
      </c>
      <c r="H127" t="s">
        <v>74</v>
      </c>
      <c r="I127" t="s">
        <v>2788</v>
      </c>
      <c r="J127" t="s">
        <v>77</v>
      </c>
      <c r="K127" t="s">
        <v>74</v>
      </c>
      <c r="L127" t="s">
        <v>74</v>
      </c>
      <c r="M127" t="s">
        <v>78</v>
      </c>
      <c r="N127" t="s">
        <v>79</v>
      </c>
      <c r="O127" t="s">
        <v>74</v>
      </c>
      <c r="P127" t="s">
        <v>74</v>
      </c>
      <c r="Q127" t="s">
        <v>74</v>
      </c>
      <c r="R127" t="s">
        <v>74</v>
      </c>
      <c r="S127" t="s">
        <v>74</v>
      </c>
      <c r="T127" t="s">
        <v>2789</v>
      </c>
      <c r="U127" t="s">
        <v>2790</v>
      </c>
      <c r="V127" t="s">
        <v>2791</v>
      </c>
      <c r="W127" t="s">
        <v>2792</v>
      </c>
      <c r="X127" t="s">
        <v>2793</v>
      </c>
      <c r="Y127" t="s">
        <v>2794</v>
      </c>
      <c r="Z127" t="s">
        <v>2795</v>
      </c>
      <c r="AA127" t="s">
        <v>2796</v>
      </c>
      <c r="AB127" t="s">
        <v>2797</v>
      </c>
      <c r="AC127" t="s">
        <v>2798</v>
      </c>
      <c r="AD127" t="s">
        <v>2799</v>
      </c>
      <c r="AE127" t="s">
        <v>2800</v>
      </c>
      <c r="AF127" t="s">
        <v>74</v>
      </c>
      <c r="AG127">
        <v>108</v>
      </c>
      <c r="AH127">
        <v>24</v>
      </c>
      <c r="AI127">
        <v>24</v>
      </c>
      <c r="AJ127">
        <v>4</v>
      </c>
      <c r="AK127">
        <v>25</v>
      </c>
      <c r="AL127" t="s">
        <v>92</v>
      </c>
      <c r="AM127" t="s">
        <v>93</v>
      </c>
      <c r="AN127" t="s">
        <v>94</v>
      </c>
      <c r="AO127" t="s">
        <v>95</v>
      </c>
      <c r="AP127" t="s">
        <v>96</v>
      </c>
      <c r="AQ127" t="s">
        <v>74</v>
      </c>
      <c r="AR127" t="s">
        <v>97</v>
      </c>
      <c r="AS127" t="s">
        <v>98</v>
      </c>
      <c r="AT127" t="s">
        <v>2801</v>
      </c>
      <c r="AU127">
        <v>2021</v>
      </c>
      <c r="AV127">
        <v>767</v>
      </c>
      <c r="AW127" t="s">
        <v>74</v>
      </c>
      <c r="AX127" t="s">
        <v>74</v>
      </c>
      <c r="AY127" t="s">
        <v>74</v>
      </c>
      <c r="AZ127" t="s">
        <v>74</v>
      </c>
      <c r="BA127" t="s">
        <v>74</v>
      </c>
      <c r="BB127" t="s">
        <v>74</v>
      </c>
      <c r="BC127" t="s">
        <v>74</v>
      </c>
      <c r="BD127">
        <v>144366</v>
      </c>
      <c r="BE127" t="s">
        <v>2802</v>
      </c>
      <c r="BF127" t="str">
        <f>HYPERLINK("http://dx.doi.org/10.1016/j.scitotenv.2020.144366","http://dx.doi.org/10.1016/j.scitotenv.2020.144366")</f>
        <v>http://dx.doi.org/10.1016/j.scitotenv.2020.144366</v>
      </c>
      <c r="BG127" t="s">
        <v>74</v>
      </c>
      <c r="BH127" t="s">
        <v>101</v>
      </c>
      <c r="BI127">
        <v>12</v>
      </c>
      <c r="BJ127" t="s">
        <v>102</v>
      </c>
      <c r="BK127" t="s">
        <v>103</v>
      </c>
      <c r="BL127" t="s">
        <v>104</v>
      </c>
      <c r="BM127" t="s">
        <v>2803</v>
      </c>
      <c r="BN127">
        <v>33434840</v>
      </c>
      <c r="BO127" t="s">
        <v>2804</v>
      </c>
      <c r="BP127" t="s">
        <v>74</v>
      </c>
      <c r="BQ127" t="s">
        <v>74</v>
      </c>
      <c r="BR127" t="s">
        <v>106</v>
      </c>
      <c r="BS127" t="s">
        <v>2805</v>
      </c>
      <c r="BT127" t="str">
        <f>HYPERLINK("https%3A%2F%2Fwww.webofscience.com%2Fwos%2Fwoscc%2Ffull-record%2FWOS:000617681100034","View Full Record in Web of Science")</f>
        <v>View Full Record in Web of Science</v>
      </c>
    </row>
    <row r="128" spans="1:72" x14ac:dyDescent="0.15">
      <c r="A128" t="s">
        <v>72</v>
      </c>
      <c r="B128" t="s">
        <v>2806</v>
      </c>
      <c r="C128" t="s">
        <v>74</v>
      </c>
      <c r="D128" t="s">
        <v>74</v>
      </c>
      <c r="E128" t="s">
        <v>74</v>
      </c>
      <c r="F128" t="s">
        <v>2807</v>
      </c>
      <c r="G128" t="s">
        <v>74</v>
      </c>
      <c r="H128" t="s">
        <v>74</v>
      </c>
      <c r="I128" t="s">
        <v>2808</v>
      </c>
      <c r="J128" t="s">
        <v>77</v>
      </c>
      <c r="K128" t="s">
        <v>74</v>
      </c>
      <c r="L128" t="s">
        <v>74</v>
      </c>
      <c r="M128" t="s">
        <v>78</v>
      </c>
      <c r="N128" t="s">
        <v>79</v>
      </c>
      <c r="O128" t="s">
        <v>74</v>
      </c>
      <c r="P128" t="s">
        <v>74</v>
      </c>
      <c r="Q128" t="s">
        <v>74</v>
      </c>
      <c r="R128" t="s">
        <v>74</v>
      </c>
      <c r="S128" t="s">
        <v>74</v>
      </c>
      <c r="T128" t="s">
        <v>2809</v>
      </c>
      <c r="U128" t="s">
        <v>74</v>
      </c>
      <c r="V128" t="s">
        <v>2810</v>
      </c>
      <c r="W128" t="s">
        <v>2811</v>
      </c>
      <c r="X128" t="s">
        <v>2812</v>
      </c>
      <c r="Y128" t="s">
        <v>2813</v>
      </c>
      <c r="Z128" t="s">
        <v>2814</v>
      </c>
      <c r="AA128" t="s">
        <v>2815</v>
      </c>
      <c r="AB128" t="s">
        <v>2816</v>
      </c>
      <c r="AC128" t="s">
        <v>2817</v>
      </c>
      <c r="AD128" t="s">
        <v>2818</v>
      </c>
      <c r="AE128" t="s">
        <v>2819</v>
      </c>
      <c r="AF128" t="s">
        <v>74</v>
      </c>
      <c r="AG128">
        <v>122</v>
      </c>
      <c r="AH128">
        <v>18</v>
      </c>
      <c r="AI128">
        <v>18</v>
      </c>
      <c r="AJ128">
        <v>17</v>
      </c>
      <c r="AK128">
        <v>109</v>
      </c>
      <c r="AL128" t="s">
        <v>92</v>
      </c>
      <c r="AM128" t="s">
        <v>93</v>
      </c>
      <c r="AN128" t="s">
        <v>94</v>
      </c>
      <c r="AO128" t="s">
        <v>95</v>
      </c>
      <c r="AP128" t="s">
        <v>96</v>
      </c>
      <c r="AQ128" t="s">
        <v>74</v>
      </c>
      <c r="AR128" t="s">
        <v>97</v>
      </c>
      <c r="AS128" t="s">
        <v>98</v>
      </c>
      <c r="AT128" t="s">
        <v>2801</v>
      </c>
      <c r="AU128">
        <v>2021</v>
      </c>
      <c r="AV128">
        <v>767</v>
      </c>
      <c r="AW128" t="s">
        <v>74</v>
      </c>
      <c r="AX128" t="s">
        <v>74</v>
      </c>
      <c r="AY128" t="s">
        <v>74</v>
      </c>
      <c r="AZ128" t="s">
        <v>74</v>
      </c>
      <c r="BA128" t="s">
        <v>74</v>
      </c>
      <c r="BB128" t="s">
        <v>74</v>
      </c>
      <c r="BC128" t="s">
        <v>74</v>
      </c>
      <c r="BD128">
        <v>144339</v>
      </c>
      <c r="BE128" t="s">
        <v>2820</v>
      </c>
      <c r="BF128" t="str">
        <f>HYPERLINK("http://dx.doi.org/10.1016/j.scitotenv.2020.144339","http://dx.doi.org/10.1016/j.scitotenv.2020.144339")</f>
        <v>http://dx.doi.org/10.1016/j.scitotenv.2020.144339</v>
      </c>
      <c r="BG128" t="s">
        <v>74</v>
      </c>
      <c r="BH128" t="s">
        <v>101</v>
      </c>
      <c r="BI128">
        <v>15</v>
      </c>
      <c r="BJ128" t="s">
        <v>102</v>
      </c>
      <c r="BK128" t="s">
        <v>103</v>
      </c>
      <c r="BL128" t="s">
        <v>104</v>
      </c>
      <c r="BM128" t="s">
        <v>2803</v>
      </c>
      <c r="BN128">
        <v>33434833</v>
      </c>
      <c r="BO128" t="s">
        <v>218</v>
      </c>
      <c r="BP128" t="s">
        <v>74</v>
      </c>
      <c r="BQ128" t="s">
        <v>74</v>
      </c>
      <c r="BR128" t="s">
        <v>106</v>
      </c>
      <c r="BS128" t="s">
        <v>2821</v>
      </c>
      <c r="BT128" t="str">
        <f>HYPERLINK("https%3A%2F%2Fwww.webofscience.com%2Fwos%2Fwoscc%2Ffull-record%2FWOS:000617681100022","View Full Record in Web of Science")</f>
        <v>View Full Record in Web of Science</v>
      </c>
    </row>
    <row r="129" spans="1:72" x14ac:dyDescent="0.15">
      <c r="A129" t="s">
        <v>72</v>
      </c>
      <c r="B129" t="s">
        <v>2822</v>
      </c>
      <c r="C129" t="s">
        <v>74</v>
      </c>
      <c r="D129" t="s">
        <v>74</v>
      </c>
      <c r="E129" t="s">
        <v>74</v>
      </c>
      <c r="F129" t="s">
        <v>2823</v>
      </c>
      <c r="G129" t="s">
        <v>74</v>
      </c>
      <c r="H129" t="s">
        <v>74</v>
      </c>
      <c r="I129" t="s">
        <v>2824</v>
      </c>
      <c r="J129" t="s">
        <v>2825</v>
      </c>
      <c r="K129" t="s">
        <v>74</v>
      </c>
      <c r="L129" t="s">
        <v>74</v>
      </c>
      <c r="M129" t="s">
        <v>78</v>
      </c>
      <c r="N129" t="s">
        <v>79</v>
      </c>
      <c r="O129" t="s">
        <v>74</v>
      </c>
      <c r="P129" t="s">
        <v>74</v>
      </c>
      <c r="Q129" t="s">
        <v>74</v>
      </c>
      <c r="R129" t="s">
        <v>74</v>
      </c>
      <c r="S129" t="s">
        <v>74</v>
      </c>
      <c r="T129" t="s">
        <v>2826</v>
      </c>
      <c r="U129" t="s">
        <v>2827</v>
      </c>
      <c r="V129" t="s">
        <v>2828</v>
      </c>
      <c r="W129" t="s">
        <v>2829</v>
      </c>
      <c r="X129" t="s">
        <v>2830</v>
      </c>
      <c r="Y129" t="s">
        <v>2831</v>
      </c>
      <c r="Z129" t="s">
        <v>2832</v>
      </c>
      <c r="AA129" t="s">
        <v>2833</v>
      </c>
      <c r="AB129" t="s">
        <v>2834</v>
      </c>
      <c r="AC129" t="s">
        <v>74</v>
      </c>
      <c r="AD129" t="s">
        <v>74</v>
      </c>
      <c r="AE129" t="s">
        <v>74</v>
      </c>
      <c r="AF129" t="s">
        <v>74</v>
      </c>
      <c r="AG129">
        <v>41</v>
      </c>
      <c r="AH129">
        <v>1</v>
      </c>
      <c r="AI129">
        <v>2</v>
      </c>
      <c r="AJ129">
        <v>0</v>
      </c>
      <c r="AK129">
        <v>8</v>
      </c>
      <c r="AL129" t="s">
        <v>418</v>
      </c>
      <c r="AM129" t="s">
        <v>178</v>
      </c>
      <c r="AN129" t="s">
        <v>419</v>
      </c>
      <c r="AO129" t="s">
        <v>2835</v>
      </c>
      <c r="AP129" t="s">
        <v>2836</v>
      </c>
      <c r="AQ129" t="s">
        <v>74</v>
      </c>
      <c r="AR129" t="s">
        <v>2837</v>
      </c>
      <c r="AS129" t="s">
        <v>2838</v>
      </c>
      <c r="AT129" t="s">
        <v>374</v>
      </c>
      <c r="AU129">
        <v>2021</v>
      </c>
      <c r="AV129">
        <v>212</v>
      </c>
      <c r="AW129" t="s">
        <v>74</v>
      </c>
      <c r="AX129" t="s">
        <v>74</v>
      </c>
      <c r="AY129" t="s">
        <v>74</v>
      </c>
      <c r="AZ129" t="s">
        <v>74</v>
      </c>
      <c r="BA129" t="s">
        <v>74</v>
      </c>
      <c r="BB129" t="s">
        <v>74</v>
      </c>
      <c r="BC129" t="s">
        <v>74</v>
      </c>
      <c r="BD129">
        <v>105425</v>
      </c>
      <c r="BE129" t="s">
        <v>2839</v>
      </c>
      <c r="BF129" t="str">
        <f>HYPERLINK("http://dx.doi.org/10.1016/j.jastp.2020.105425","http://dx.doi.org/10.1016/j.jastp.2020.105425")</f>
        <v>http://dx.doi.org/10.1016/j.jastp.2020.105425</v>
      </c>
      <c r="BG129" t="s">
        <v>74</v>
      </c>
      <c r="BH129" t="s">
        <v>101</v>
      </c>
      <c r="BI129">
        <v>10</v>
      </c>
      <c r="BJ129" t="s">
        <v>2840</v>
      </c>
      <c r="BK129" t="s">
        <v>103</v>
      </c>
      <c r="BL129" t="s">
        <v>2840</v>
      </c>
      <c r="BM129" t="s">
        <v>2841</v>
      </c>
      <c r="BN129" t="s">
        <v>74</v>
      </c>
      <c r="BO129" t="s">
        <v>74</v>
      </c>
      <c r="BP129" t="s">
        <v>74</v>
      </c>
      <c r="BQ129" t="s">
        <v>74</v>
      </c>
      <c r="BR129" t="s">
        <v>106</v>
      </c>
      <c r="BS129" t="s">
        <v>2842</v>
      </c>
      <c r="BT129" t="str">
        <f>HYPERLINK("https%3A%2F%2Fwww.webofscience.com%2Fwos%2Fwoscc%2Ffull-record%2FWOS:000609029900005","View Full Record in Web of Science")</f>
        <v>View Full Record in Web of Science</v>
      </c>
    </row>
    <row r="130" spans="1:72" x14ac:dyDescent="0.15">
      <c r="A130" t="s">
        <v>72</v>
      </c>
      <c r="B130" t="s">
        <v>2843</v>
      </c>
      <c r="C130" t="s">
        <v>74</v>
      </c>
      <c r="D130" t="s">
        <v>74</v>
      </c>
      <c r="E130" t="s">
        <v>74</v>
      </c>
      <c r="F130" t="s">
        <v>2844</v>
      </c>
      <c r="G130" t="s">
        <v>74</v>
      </c>
      <c r="H130" t="s">
        <v>74</v>
      </c>
      <c r="I130" t="s">
        <v>2845</v>
      </c>
      <c r="J130" t="s">
        <v>487</v>
      </c>
      <c r="K130" t="s">
        <v>74</v>
      </c>
      <c r="L130" t="s">
        <v>74</v>
      </c>
      <c r="M130" t="s">
        <v>78</v>
      </c>
      <c r="N130" t="s">
        <v>79</v>
      </c>
      <c r="O130" t="s">
        <v>74</v>
      </c>
      <c r="P130" t="s">
        <v>74</v>
      </c>
      <c r="Q130" t="s">
        <v>74</v>
      </c>
      <c r="R130" t="s">
        <v>74</v>
      </c>
      <c r="S130" t="s">
        <v>74</v>
      </c>
      <c r="T130" t="s">
        <v>2846</v>
      </c>
      <c r="U130" t="s">
        <v>2847</v>
      </c>
      <c r="V130" t="s">
        <v>2848</v>
      </c>
      <c r="W130" t="s">
        <v>2849</v>
      </c>
      <c r="X130" t="s">
        <v>2850</v>
      </c>
      <c r="Y130" t="s">
        <v>2851</v>
      </c>
      <c r="Z130" t="s">
        <v>2852</v>
      </c>
      <c r="AA130" t="s">
        <v>2853</v>
      </c>
      <c r="AB130" t="s">
        <v>2854</v>
      </c>
      <c r="AC130" t="s">
        <v>2855</v>
      </c>
      <c r="AD130" t="s">
        <v>2856</v>
      </c>
      <c r="AE130" t="s">
        <v>2857</v>
      </c>
      <c r="AF130" t="s">
        <v>74</v>
      </c>
      <c r="AG130">
        <v>147</v>
      </c>
      <c r="AH130">
        <v>59</v>
      </c>
      <c r="AI130">
        <v>61</v>
      </c>
      <c r="AJ130">
        <v>30</v>
      </c>
      <c r="AK130">
        <v>186</v>
      </c>
      <c r="AL130" t="s">
        <v>500</v>
      </c>
      <c r="AM130" t="s">
        <v>501</v>
      </c>
      <c r="AN130" t="s">
        <v>502</v>
      </c>
      <c r="AO130" t="s">
        <v>74</v>
      </c>
      <c r="AP130" t="s">
        <v>503</v>
      </c>
      <c r="AQ130" t="s">
        <v>74</v>
      </c>
      <c r="AR130" t="s">
        <v>504</v>
      </c>
      <c r="AS130" t="s">
        <v>505</v>
      </c>
      <c r="AT130" t="s">
        <v>2858</v>
      </c>
      <c r="AU130">
        <v>2021</v>
      </c>
      <c r="AV130">
        <v>7</v>
      </c>
      <c r="AW130" t="s">
        <v>74</v>
      </c>
      <c r="AX130" t="s">
        <v>74</v>
      </c>
      <c r="AY130" t="s">
        <v>74</v>
      </c>
      <c r="AZ130" t="s">
        <v>74</v>
      </c>
      <c r="BA130" t="s">
        <v>74</v>
      </c>
      <c r="BB130" t="s">
        <v>74</v>
      </c>
      <c r="BC130" t="s">
        <v>74</v>
      </c>
      <c r="BD130">
        <v>615214</v>
      </c>
      <c r="BE130" t="s">
        <v>2859</v>
      </c>
      <c r="BF130" t="str">
        <f>HYPERLINK("http://dx.doi.org/10.3389/fmars.2020.615214","http://dx.doi.org/10.3389/fmars.2020.615214")</f>
        <v>http://dx.doi.org/10.3389/fmars.2020.615214</v>
      </c>
      <c r="BG130" t="s">
        <v>74</v>
      </c>
      <c r="BH130" t="s">
        <v>74</v>
      </c>
      <c r="BI130">
        <v>21</v>
      </c>
      <c r="BJ130" t="s">
        <v>507</v>
      </c>
      <c r="BK130" t="s">
        <v>271</v>
      </c>
      <c r="BL130" t="s">
        <v>508</v>
      </c>
      <c r="BM130" t="s">
        <v>2860</v>
      </c>
      <c r="BN130" t="s">
        <v>74</v>
      </c>
      <c r="BO130" t="s">
        <v>660</v>
      </c>
      <c r="BP130" t="s">
        <v>1589</v>
      </c>
      <c r="BQ130" t="s">
        <v>1590</v>
      </c>
      <c r="BR130" t="s">
        <v>106</v>
      </c>
      <c r="BS130" t="s">
        <v>2861</v>
      </c>
      <c r="BT130" t="str">
        <f>HYPERLINK("https%3A%2F%2Fwww.webofscience.com%2Fwos%2Fwoscc%2Ffull-record%2FWOS:000611108800015","View Full Record in Web of Science")</f>
        <v>View Full Record in Web of Science</v>
      </c>
    </row>
    <row r="131" spans="1:72" x14ac:dyDescent="0.15">
      <c r="A131" t="s">
        <v>72</v>
      </c>
      <c r="B131" t="s">
        <v>2862</v>
      </c>
      <c r="C131" t="s">
        <v>74</v>
      </c>
      <c r="D131" t="s">
        <v>74</v>
      </c>
      <c r="E131" t="s">
        <v>74</v>
      </c>
      <c r="F131" t="s">
        <v>2863</v>
      </c>
      <c r="G131" t="s">
        <v>74</v>
      </c>
      <c r="H131" t="s">
        <v>74</v>
      </c>
      <c r="I131" t="s">
        <v>2864</v>
      </c>
      <c r="J131" t="s">
        <v>862</v>
      </c>
      <c r="K131" t="s">
        <v>74</v>
      </c>
      <c r="L131" t="s">
        <v>74</v>
      </c>
      <c r="M131" t="s">
        <v>78</v>
      </c>
      <c r="N131" t="s">
        <v>79</v>
      </c>
      <c r="O131" t="s">
        <v>74</v>
      </c>
      <c r="P131" t="s">
        <v>74</v>
      </c>
      <c r="Q131" t="s">
        <v>74</v>
      </c>
      <c r="R131" t="s">
        <v>74</v>
      </c>
      <c r="S131" t="s">
        <v>74</v>
      </c>
      <c r="T131" t="s">
        <v>2865</v>
      </c>
      <c r="U131" t="s">
        <v>74</v>
      </c>
      <c r="V131" t="s">
        <v>2866</v>
      </c>
      <c r="W131" t="s">
        <v>2867</v>
      </c>
      <c r="X131" t="s">
        <v>2868</v>
      </c>
      <c r="Y131" t="s">
        <v>2869</v>
      </c>
      <c r="Z131" t="s">
        <v>2870</v>
      </c>
      <c r="AA131" t="s">
        <v>2871</v>
      </c>
      <c r="AB131" t="s">
        <v>2872</v>
      </c>
      <c r="AC131" t="s">
        <v>2873</v>
      </c>
      <c r="AD131" t="s">
        <v>2874</v>
      </c>
      <c r="AE131" t="s">
        <v>2875</v>
      </c>
      <c r="AF131" t="s">
        <v>74</v>
      </c>
      <c r="AG131">
        <v>105</v>
      </c>
      <c r="AH131">
        <v>4</v>
      </c>
      <c r="AI131">
        <v>4</v>
      </c>
      <c r="AJ131">
        <v>1</v>
      </c>
      <c r="AK131">
        <v>11</v>
      </c>
      <c r="AL131" t="s">
        <v>92</v>
      </c>
      <c r="AM131" t="s">
        <v>93</v>
      </c>
      <c r="AN131" t="s">
        <v>94</v>
      </c>
      <c r="AO131" t="s">
        <v>874</v>
      </c>
      <c r="AP131" t="s">
        <v>875</v>
      </c>
      <c r="AQ131" t="s">
        <v>74</v>
      </c>
      <c r="AR131" t="s">
        <v>876</v>
      </c>
      <c r="AS131" t="s">
        <v>877</v>
      </c>
      <c r="AT131" t="s">
        <v>878</v>
      </c>
      <c r="AU131">
        <v>2021</v>
      </c>
      <c r="AV131">
        <v>562</v>
      </c>
      <c r="AW131" t="s">
        <v>74</v>
      </c>
      <c r="AX131" t="s">
        <v>74</v>
      </c>
      <c r="AY131" t="s">
        <v>74</v>
      </c>
      <c r="AZ131" t="s">
        <v>74</v>
      </c>
      <c r="BA131" t="s">
        <v>74</v>
      </c>
      <c r="BB131" t="s">
        <v>74</v>
      </c>
      <c r="BC131" t="s">
        <v>74</v>
      </c>
      <c r="BD131">
        <v>119996</v>
      </c>
      <c r="BE131" t="s">
        <v>2876</v>
      </c>
      <c r="BF131" t="str">
        <f>HYPERLINK("http://dx.doi.org/10.1016/j.chemgeo.2020.119996","http://dx.doi.org/10.1016/j.chemgeo.2020.119996")</f>
        <v>http://dx.doi.org/10.1016/j.chemgeo.2020.119996</v>
      </c>
      <c r="BG131" t="s">
        <v>74</v>
      </c>
      <c r="BH131" t="s">
        <v>101</v>
      </c>
      <c r="BI131">
        <v>19</v>
      </c>
      <c r="BJ131" t="s">
        <v>426</v>
      </c>
      <c r="BK131" t="s">
        <v>103</v>
      </c>
      <c r="BL131" t="s">
        <v>426</v>
      </c>
      <c r="BM131" t="s">
        <v>880</v>
      </c>
      <c r="BN131" t="s">
        <v>74</v>
      </c>
      <c r="BO131" t="s">
        <v>1708</v>
      </c>
      <c r="BP131" t="s">
        <v>74</v>
      </c>
      <c r="BQ131" t="s">
        <v>74</v>
      </c>
      <c r="BR131" t="s">
        <v>106</v>
      </c>
      <c r="BS131" t="s">
        <v>2877</v>
      </c>
      <c r="BT131" t="str">
        <f>HYPERLINK("https%3A%2F%2Fwww.webofscience.com%2Fwos%2Fwoscc%2Ffull-record%2FWOS:000615171000002","View Full Record in Web of Science")</f>
        <v>View Full Record in Web of Science</v>
      </c>
    </row>
    <row r="132" spans="1:72" x14ac:dyDescent="0.15">
      <c r="A132" t="s">
        <v>72</v>
      </c>
      <c r="B132" t="s">
        <v>2878</v>
      </c>
      <c r="C132" t="s">
        <v>74</v>
      </c>
      <c r="D132" t="s">
        <v>74</v>
      </c>
      <c r="E132" t="s">
        <v>74</v>
      </c>
      <c r="F132" t="s">
        <v>2879</v>
      </c>
      <c r="G132" t="s">
        <v>74</v>
      </c>
      <c r="H132" t="s">
        <v>74</v>
      </c>
      <c r="I132" t="s">
        <v>2880</v>
      </c>
      <c r="J132" t="s">
        <v>2881</v>
      </c>
      <c r="K132" t="s">
        <v>74</v>
      </c>
      <c r="L132" t="s">
        <v>74</v>
      </c>
      <c r="M132" t="s">
        <v>78</v>
      </c>
      <c r="N132" t="s">
        <v>79</v>
      </c>
      <c r="O132" t="s">
        <v>74</v>
      </c>
      <c r="P132" t="s">
        <v>74</v>
      </c>
      <c r="Q132" t="s">
        <v>74</v>
      </c>
      <c r="R132" t="s">
        <v>74</v>
      </c>
      <c r="S132" t="s">
        <v>74</v>
      </c>
      <c r="T132" t="s">
        <v>2882</v>
      </c>
      <c r="U132" t="s">
        <v>2883</v>
      </c>
      <c r="V132" t="s">
        <v>2884</v>
      </c>
      <c r="W132" t="s">
        <v>2885</v>
      </c>
      <c r="X132" t="s">
        <v>2886</v>
      </c>
      <c r="Y132" t="s">
        <v>2887</v>
      </c>
      <c r="Z132" t="s">
        <v>2888</v>
      </c>
      <c r="AA132" t="s">
        <v>2889</v>
      </c>
      <c r="AB132" t="s">
        <v>2890</v>
      </c>
      <c r="AC132" t="s">
        <v>2891</v>
      </c>
      <c r="AD132" t="s">
        <v>2892</v>
      </c>
      <c r="AE132" t="s">
        <v>2893</v>
      </c>
      <c r="AF132" t="s">
        <v>74</v>
      </c>
      <c r="AG132">
        <v>24</v>
      </c>
      <c r="AH132">
        <v>4</v>
      </c>
      <c r="AI132">
        <v>4</v>
      </c>
      <c r="AJ132">
        <v>2</v>
      </c>
      <c r="AK132">
        <v>70</v>
      </c>
      <c r="AL132" t="s">
        <v>177</v>
      </c>
      <c r="AM132" t="s">
        <v>178</v>
      </c>
      <c r="AN132" t="s">
        <v>179</v>
      </c>
      <c r="AO132" t="s">
        <v>2894</v>
      </c>
      <c r="AP132" t="s">
        <v>2895</v>
      </c>
      <c r="AQ132" t="s">
        <v>74</v>
      </c>
      <c r="AR132" t="s">
        <v>2896</v>
      </c>
      <c r="AS132" t="s">
        <v>2897</v>
      </c>
      <c r="AT132" t="s">
        <v>2898</v>
      </c>
      <c r="AU132">
        <v>2021</v>
      </c>
      <c r="AV132">
        <v>344</v>
      </c>
      <c r="AW132" t="s">
        <v>74</v>
      </c>
      <c r="AX132" t="s">
        <v>74</v>
      </c>
      <c r="AY132" t="s">
        <v>74</v>
      </c>
      <c r="AZ132" t="s">
        <v>74</v>
      </c>
      <c r="BA132" t="s">
        <v>74</v>
      </c>
      <c r="BB132" t="s">
        <v>74</v>
      </c>
      <c r="BC132" t="s">
        <v>74</v>
      </c>
      <c r="BD132">
        <v>128585</v>
      </c>
      <c r="BE132" t="s">
        <v>2899</v>
      </c>
      <c r="BF132" t="str">
        <f>HYPERLINK("http://dx.doi.org/10.1016/j.foodchem.2020.128585","http://dx.doi.org/10.1016/j.foodchem.2020.128585")</f>
        <v>http://dx.doi.org/10.1016/j.foodchem.2020.128585</v>
      </c>
      <c r="BG132" t="s">
        <v>74</v>
      </c>
      <c r="BH132" t="s">
        <v>101</v>
      </c>
      <c r="BI132">
        <v>8</v>
      </c>
      <c r="BJ132" t="s">
        <v>2900</v>
      </c>
      <c r="BK132" t="s">
        <v>103</v>
      </c>
      <c r="BL132" t="s">
        <v>2901</v>
      </c>
      <c r="BM132" t="s">
        <v>2902</v>
      </c>
      <c r="BN132">
        <v>33223290</v>
      </c>
      <c r="BO132" t="s">
        <v>74</v>
      </c>
      <c r="BP132" t="s">
        <v>74</v>
      </c>
      <c r="BQ132" t="s">
        <v>74</v>
      </c>
      <c r="BR132" t="s">
        <v>106</v>
      </c>
      <c r="BS132" t="s">
        <v>2903</v>
      </c>
      <c r="BT132" t="str">
        <f>HYPERLINK("https%3A%2F%2Fwww.webofscience.com%2Fwos%2Fwoscc%2Ffull-record%2FWOS:000608399800012","View Full Record in Web of Science")</f>
        <v>View Full Record in Web of Science</v>
      </c>
    </row>
    <row r="133" spans="1:72" x14ac:dyDescent="0.15">
      <c r="A133" t="s">
        <v>72</v>
      </c>
      <c r="B133" t="s">
        <v>2904</v>
      </c>
      <c r="C133" t="s">
        <v>74</v>
      </c>
      <c r="D133" t="s">
        <v>74</v>
      </c>
      <c r="E133" t="s">
        <v>74</v>
      </c>
      <c r="F133" t="s">
        <v>2905</v>
      </c>
      <c r="G133" t="s">
        <v>74</v>
      </c>
      <c r="H133" t="s">
        <v>74</v>
      </c>
      <c r="I133" t="s">
        <v>2906</v>
      </c>
      <c r="J133" t="s">
        <v>2907</v>
      </c>
      <c r="K133" t="s">
        <v>74</v>
      </c>
      <c r="L133" t="s">
        <v>74</v>
      </c>
      <c r="M133" t="s">
        <v>78</v>
      </c>
      <c r="N133" t="s">
        <v>79</v>
      </c>
      <c r="O133" t="s">
        <v>74</v>
      </c>
      <c r="P133" t="s">
        <v>74</v>
      </c>
      <c r="Q133" t="s">
        <v>74</v>
      </c>
      <c r="R133" t="s">
        <v>74</v>
      </c>
      <c r="S133" t="s">
        <v>74</v>
      </c>
      <c r="T133" t="s">
        <v>2908</v>
      </c>
      <c r="U133" t="s">
        <v>2909</v>
      </c>
      <c r="V133" t="s">
        <v>2910</v>
      </c>
      <c r="W133" t="s">
        <v>2911</v>
      </c>
      <c r="X133" t="s">
        <v>2912</v>
      </c>
      <c r="Y133" t="s">
        <v>2913</v>
      </c>
      <c r="Z133" t="s">
        <v>2914</v>
      </c>
      <c r="AA133" t="s">
        <v>2915</v>
      </c>
      <c r="AB133" t="s">
        <v>2916</v>
      </c>
      <c r="AC133" t="s">
        <v>2917</v>
      </c>
      <c r="AD133" t="s">
        <v>2918</v>
      </c>
      <c r="AE133" t="s">
        <v>2919</v>
      </c>
      <c r="AF133" t="s">
        <v>74</v>
      </c>
      <c r="AG133">
        <v>52</v>
      </c>
      <c r="AH133">
        <v>0</v>
      </c>
      <c r="AI133">
        <v>0</v>
      </c>
      <c r="AJ133">
        <v>5</v>
      </c>
      <c r="AK133">
        <v>31</v>
      </c>
      <c r="AL133" t="s">
        <v>2920</v>
      </c>
      <c r="AM133" t="s">
        <v>2921</v>
      </c>
      <c r="AN133" t="s">
        <v>2922</v>
      </c>
      <c r="AO133" t="s">
        <v>2923</v>
      </c>
      <c r="AP133" t="s">
        <v>2924</v>
      </c>
      <c r="AQ133" t="s">
        <v>74</v>
      </c>
      <c r="AR133" t="s">
        <v>2925</v>
      </c>
      <c r="AS133" t="s">
        <v>2926</v>
      </c>
      <c r="AT133" t="s">
        <v>374</v>
      </c>
      <c r="AU133">
        <v>2021</v>
      </c>
      <c r="AV133">
        <v>178</v>
      </c>
      <c r="AW133">
        <v>1</v>
      </c>
      <c r="AX133" t="s">
        <v>74</v>
      </c>
      <c r="AY133" t="s">
        <v>74</v>
      </c>
      <c r="AZ133" t="s">
        <v>74</v>
      </c>
      <c r="BA133" t="s">
        <v>74</v>
      </c>
      <c r="BB133">
        <v>269</v>
      </c>
      <c r="BC133">
        <v>286</v>
      </c>
      <c r="BD133" t="s">
        <v>74</v>
      </c>
      <c r="BE133" t="s">
        <v>2927</v>
      </c>
      <c r="BF133" t="str">
        <f>HYPERLINK("http://dx.doi.org/10.1007/s00024-020-02630-w","http://dx.doi.org/10.1007/s00024-020-02630-w")</f>
        <v>http://dx.doi.org/10.1007/s00024-020-02630-w</v>
      </c>
      <c r="BG133" t="s">
        <v>74</v>
      </c>
      <c r="BH133" t="s">
        <v>101</v>
      </c>
      <c r="BI133">
        <v>18</v>
      </c>
      <c r="BJ133" t="s">
        <v>426</v>
      </c>
      <c r="BK133" t="s">
        <v>103</v>
      </c>
      <c r="BL133" t="s">
        <v>426</v>
      </c>
      <c r="BM133" t="s">
        <v>2928</v>
      </c>
      <c r="BN133" t="s">
        <v>74</v>
      </c>
      <c r="BO133" t="s">
        <v>74</v>
      </c>
      <c r="BP133" t="s">
        <v>74</v>
      </c>
      <c r="BQ133" t="s">
        <v>74</v>
      </c>
      <c r="BR133" t="s">
        <v>106</v>
      </c>
      <c r="BS133" t="s">
        <v>2929</v>
      </c>
      <c r="BT133" t="str">
        <f>HYPERLINK("https%3A%2F%2Fwww.webofscience.com%2Fwos%2Fwoscc%2Ffull-record%2FWOS:000606828400007","View Full Record in Web of Science")</f>
        <v>View Full Record in Web of Science</v>
      </c>
    </row>
    <row r="134" spans="1:72" x14ac:dyDescent="0.15">
      <c r="A134" t="s">
        <v>72</v>
      </c>
      <c r="B134" t="s">
        <v>2930</v>
      </c>
      <c r="C134" t="s">
        <v>74</v>
      </c>
      <c r="D134" t="s">
        <v>74</v>
      </c>
      <c r="E134" t="s">
        <v>74</v>
      </c>
      <c r="F134" t="s">
        <v>2931</v>
      </c>
      <c r="G134" t="s">
        <v>74</v>
      </c>
      <c r="H134" t="s">
        <v>74</v>
      </c>
      <c r="I134" t="s">
        <v>2932</v>
      </c>
      <c r="J134" t="s">
        <v>2933</v>
      </c>
      <c r="K134" t="s">
        <v>74</v>
      </c>
      <c r="L134" t="s">
        <v>74</v>
      </c>
      <c r="M134" t="s">
        <v>78</v>
      </c>
      <c r="N134" t="s">
        <v>79</v>
      </c>
      <c r="O134" t="s">
        <v>74</v>
      </c>
      <c r="P134" t="s">
        <v>74</v>
      </c>
      <c r="Q134" t="s">
        <v>74</v>
      </c>
      <c r="R134" t="s">
        <v>74</v>
      </c>
      <c r="S134" t="s">
        <v>74</v>
      </c>
      <c r="T134" t="s">
        <v>2934</v>
      </c>
      <c r="U134" t="s">
        <v>2935</v>
      </c>
      <c r="V134" t="s">
        <v>2936</v>
      </c>
      <c r="W134" t="s">
        <v>2937</v>
      </c>
      <c r="X134" t="s">
        <v>2938</v>
      </c>
      <c r="Y134" t="s">
        <v>2939</v>
      </c>
      <c r="Z134" t="s">
        <v>2940</v>
      </c>
      <c r="AA134" t="s">
        <v>2941</v>
      </c>
      <c r="AB134" t="s">
        <v>2942</v>
      </c>
      <c r="AC134" t="s">
        <v>2943</v>
      </c>
      <c r="AD134" t="s">
        <v>2944</v>
      </c>
      <c r="AE134" t="s">
        <v>2945</v>
      </c>
      <c r="AF134" t="s">
        <v>74</v>
      </c>
      <c r="AG134">
        <v>55</v>
      </c>
      <c r="AH134">
        <v>1</v>
      </c>
      <c r="AI134">
        <v>2</v>
      </c>
      <c r="AJ134">
        <v>3</v>
      </c>
      <c r="AK134">
        <v>29</v>
      </c>
      <c r="AL134" t="s">
        <v>1096</v>
      </c>
      <c r="AM134" t="s">
        <v>1097</v>
      </c>
      <c r="AN134" t="s">
        <v>1098</v>
      </c>
      <c r="AO134" t="s">
        <v>2946</v>
      </c>
      <c r="AP134" t="s">
        <v>2947</v>
      </c>
      <c r="AQ134" t="s">
        <v>74</v>
      </c>
      <c r="AR134" t="s">
        <v>2948</v>
      </c>
      <c r="AS134" t="s">
        <v>2949</v>
      </c>
      <c r="AT134" t="s">
        <v>347</v>
      </c>
      <c r="AU134">
        <v>2021</v>
      </c>
      <c r="AV134">
        <v>38</v>
      </c>
      <c r="AW134">
        <v>3</v>
      </c>
      <c r="AX134" t="s">
        <v>74</v>
      </c>
      <c r="AY134" t="s">
        <v>74</v>
      </c>
      <c r="AZ134" t="s">
        <v>74</v>
      </c>
      <c r="BA134" t="s">
        <v>74</v>
      </c>
      <c r="BB134">
        <v>375</v>
      </c>
      <c r="BC134">
        <v>386</v>
      </c>
      <c r="BD134" t="s">
        <v>74</v>
      </c>
      <c r="BE134" t="s">
        <v>2950</v>
      </c>
      <c r="BF134" t="str">
        <f>HYPERLINK("http://dx.doi.org/10.1007/s00376-020-0241-1","http://dx.doi.org/10.1007/s00376-020-0241-1")</f>
        <v>http://dx.doi.org/10.1007/s00376-020-0241-1</v>
      </c>
      <c r="BG134" t="s">
        <v>74</v>
      </c>
      <c r="BH134" t="s">
        <v>101</v>
      </c>
      <c r="BI134">
        <v>12</v>
      </c>
      <c r="BJ134" t="s">
        <v>687</v>
      </c>
      <c r="BK134" t="s">
        <v>103</v>
      </c>
      <c r="BL134" t="s">
        <v>687</v>
      </c>
      <c r="BM134" t="s">
        <v>2951</v>
      </c>
      <c r="BN134" t="s">
        <v>74</v>
      </c>
      <c r="BO134" t="s">
        <v>74</v>
      </c>
      <c r="BP134" t="s">
        <v>74</v>
      </c>
      <c r="BQ134" t="s">
        <v>74</v>
      </c>
      <c r="BR134" t="s">
        <v>106</v>
      </c>
      <c r="BS134" t="s">
        <v>2952</v>
      </c>
      <c r="BT134" t="str">
        <f>HYPERLINK("https%3A%2F%2Fwww.webofscience.com%2Fwos%2Fwoscc%2Ffull-record%2FWOS:000606210400001","View Full Record in Web of Science")</f>
        <v>View Full Record in Web of Science</v>
      </c>
    </row>
    <row r="135" spans="1:72" x14ac:dyDescent="0.15">
      <c r="A135" t="s">
        <v>72</v>
      </c>
      <c r="B135" t="s">
        <v>459</v>
      </c>
      <c r="C135" t="s">
        <v>74</v>
      </c>
      <c r="D135" t="s">
        <v>74</v>
      </c>
      <c r="E135" t="s">
        <v>74</v>
      </c>
      <c r="F135" t="s">
        <v>460</v>
      </c>
      <c r="G135" t="s">
        <v>74</v>
      </c>
      <c r="H135" t="s">
        <v>74</v>
      </c>
      <c r="I135" t="s">
        <v>2953</v>
      </c>
      <c r="J135" t="s">
        <v>2954</v>
      </c>
      <c r="K135" t="s">
        <v>74</v>
      </c>
      <c r="L135" t="s">
        <v>74</v>
      </c>
      <c r="M135" t="s">
        <v>78</v>
      </c>
      <c r="N135" t="s">
        <v>79</v>
      </c>
      <c r="O135" t="s">
        <v>74</v>
      </c>
      <c r="P135" t="s">
        <v>74</v>
      </c>
      <c r="Q135" t="s">
        <v>74</v>
      </c>
      <c r="R135" t="s">
        <v>74</v>
      </c>
      <c r="S135" t="s">
        <v>74</v>
      </c>
      <c r="T135" t="s">
        <v>2955</v>
      </c>
      <c r="U135" t="s">
        <v>2956</v>
      </c>
      <c r="V135" t="s">
        <v>2957</v>
      </c>
      <c r="W135" t="s">
        <v>464</v>
      </c>
      <c r="X135" t="s">
        <v>465</v>
      </c>
      <c r="Y135" t="s">
        <v>466</v>
      </c>
      <c r="Z135" t="s">
        <v>467</v>
      </c>
      <c r="AA135" t="s">
        <v>2958</v>
      </c>
      <c r="AB135" t="s">
        <v>2959</v>
      </c>
      <c r="AC135" t="s">
        <v>2960</v>
      </c>
      <c r="AD135" t="s">
        <v>2961</v>
      </c>
      <c r="AE135" t="s">
        <v>2962</v>
      </c>
      <c r="AF135" t="s">
        <v>74</v>
      </c>
      <c r="AG135">
        <v>65</v>
      </c>
      <c r="AH135">
        <v>6</v>
      </c>
      <c r="AI135">
        <v>7</v>
      </c>
      <c r="AJ135">
        <v>1</v>
      </c>
      <c r="AK135">
        <v>23</v>
      </c>
      <c r="AL135" t="s">
        <v>207</v>
      </c>
      <c r="AM135" t="s">
        <v>473</v>
      </c>
      <c r="AN135" t="s">
        <v>474</v>
      </c>
      <c r="AO135" t="s">
        <v>2963</v>
      </c>
      <c r="AP135" t="s">
        <v>2964</v>
      </c>
      <c r="AQ135" t="s">
        <v>74</v>
      </c>
      <c r="AR135" t="s">
        <v>2965</v>
      </c>
      <c r="AS135" t="s">
        <v>2966</v>
      </c>
      <c r="AT135" t="s">
        <v>184</v>
      </c>
      <c r="AU135">
        <v>2021</v>
      </c>
      <c r="AV135">
        <v>106</v>
      </c>
      <c r="AW135">
        <v>2</v>
      </c>
      <c r="AX135" t="s">
        <v>74</v>
      </c>
      <c r="AY135" t="s">
        <v>74</v>
      </c>
      <c r="AZ135" t="s">
        <v>74</v>
      </c>
      <c r="BA135" t="s">
        <v>74</v>
      </c>
      <c r="BB135">
        <v>278</v>
      </c>
      <c r="BC135">
        <v>288</v>
      </c>
      <c r="BD135" t="s">
        <v>74</v>
      </c>
      <c r="BE135" t="s">
        <v>2967</v>
      </c>
      <c r="BF135" t="str">
        <f>HYPERLINK("http://dx.doi.org/10.1007/s00128-020-03063-w","http://dx.doi.org/10.1007/s00128-020-03063-w")</f>
        <v>http://dx.doi.org/10.1007/s00128-020-03063-w</v>
      </c>
      <c r="BG135" t="s">
        <v>74</v>
      </c>
      <c r="BH135" t="s">
        <v>101</v>
      </c>
      <c r="BI135">
        <v>11</v>
      </c>
      <c r="BJ135" t="s">
        <v>480</v>
      </c>
      <c r="BK135" t="s">
        <v>103</v>
      </c>
      <c r="BL135" t="s">
        <v>481</v>
      </c>
      <c r="BM135" t="s">
        <v>2968</v>
      </c>
      <c r="BN135">
        <v>33547905</v>
      </c>
      <c r="BO135" t="s">
        <v>74</v>
      </c>
      <c r="BP135" t="s">
        <v>74</v>
      </c>
      <c r="BQ135" t="s">
        <v>74</v>
      </c>
      <c r="BR135" t="s">
        <v>106</v>
      </c>
      <c r="BS135" t="s">
        <v>2969</v>
      </c>
      <c r="BT135" t="str">
        <f>HYPERLINK("https%3A%2F%2Fwww.webofscience.com%2Fwos%2Fwoscc%2Ffull-record%2FWOS:000606306300001","View Full Record in Web of Science")</f>
        <v>View Full Record in Web of Science</v>
      </c>
    </row>
    <row r="136" spans="1:72" x14ac:dyDescent="0.15">
      <c r="A136" t="s">
        <v>72</v>
      </c>
      <c r="B136" t="s">
        <v>2970</v>
      </c>
      <c r="C136" t="s">
        <v>74</v>
      </c>
      <c r="D136" t="s">
        <v>74</v>
      </c>
      <c r="E136" t="s">
        <v>74</v>
      </c>
      <c r="F136" t="s">
        <v>2971</v>
      </c>
      <c r="G136" t="s">
        <v>74</v>
      </c>
      <c r="H136" t="s">
        <v>74</v>
      </c>
      <c r="I136" t="s">
        <v>2972</v>
      </c>
      <c r="J136" t="s">
        <v>1690</v>
      </c>
      <c r="K136" t="s">
        <v>74</v>
      </c>
      <c r="L136" t="s">
        <v>74</v>
      </c>
      <c r="M136" t="s">
        <v>78</v>
      </c>
      <c r="N136" t="s">
        <v>79</v>
      </c>
      <c r="O136" t="s">
        <v>74</v>
      </c>
      <c r="P136" t="s">
        <v>74</v>
      </c>
      <c r="Q136" t="s">
        <v>74</v>
      </c>
      <c r="R136" t="s">
        <v>74</v>
      </c>
      <c r="S136" t="s">
        <v>74</v>
      </c>
      <c r="T136" t="s">
        <v>2973</v>
      </c>
      <c r="U136" t="s">
        <v>2974</v>
      </c>
      <c r="V136" t="s">
        <v>2975</v>
      </c>
      <c r="W136" t="s">
        <v>2976</v>
      </c>
      <c r="X136" t="s">
        <v>2977</v>
      </c>
      <c r="Y136" t="s">
        <v>2978</v>
      </c>
      <c r="Z136" t="s">
        <v>2979</v>
      </c>
      <c r="AA136" t="s">
        <v>2980</v>
      </c>
      <c r="AB136" t="s">
        <v>2981</v>
      </c>
      <c r="AC136" t="s">
        <v>2982</v>
      </c>
      <c r="AD136" t="s">
        <v>2983</v>
      </c>
      <c r="AE136" t="s">
        <v>2984</v>
      </c>
      <c r="AF136" t="s">
        <v>74</v>
      </c>
      <c r="AG136">
        <v>37</v>
      </c>
      <c r="AH136">
        <v>9</v>
      </c>
      <c r="AI136">
        <v>9</v>
      </c>
      <c r="AJ136">
        <v>0</v>
      </c>
      <c r="AK136">
        <v>8</v>
      </c>
      <c r="AL136" t="s">
        <v>207</v>
      </c>
      <c r="AM136" t="s">
        <v>473</v>
      </c>
      <c r="AN136" t="s">
        <v>474</v>
      </c>
      <c r="AO136" t="s">
        <v>1702</v>
      </c>
      <c r="AP136" t="s">
        <v>1703</v>
      </c>
      <c r="AQ136" t="s">
        <v>74</v>
      </c>
      <c r="AR136" t="s">
        <v>1704</v>
      </c>
      <c r="AS136" t="s">
        <v>1705</v>
      </c>
      <c r="AT136" t="s">
        <v>374</v>
      </c>
      <c r="AU136">
        <v>2021</v>
      </c>
      <c r="AV136">
        <v>44</v>
      </c>
      <c r="AW136">
        <v>1</v>
      </c>
      <c r="AX136" t="s">
        <v>74</v>
      </c>
      <c r="AY136" t="s">
        <v>74</v>
      </c>
      <c r="AZ136" t="s">
        <v>74</v>
      </c>
      <c r="BA136" t="s">
        <v>74</v>
      </c>
      <c r="BB136">
        <v>209</v>
      </c>
      <c r="BC136">
        <v>216</v>
      </c>
      <c r="BD136" t="s">
        <v>74</v>
      </c>
      <c r="BE136" t="s">
        <v>2985</v>
      </c>
      <c r="BF136" t="str">
        <f>HYPERLINK("http://dx.doi.org/10.1007/s00300-020-02792-2","http://dx.doi.org/10.1007/s00300-020-02792-2")</f>
        <v>http://dx.doi.org/10.1007/s00300-020-02792-2</v>
      </c>
      <c r="BG136" t="s">
        <v>74</v>
      </c>
      <c r="BH136" t="s">
        <v>101</v>
      </c>
      <c r="BI136">
        <v>8</v>
      </c>
      <c r="BJ136" t="s">
        <v>1052</v>
      </c>
      <c r="BK136" t="s">
        <v>103</v>
      </c>
      <c r="BL136" t="s">
        <v>1053</v>
      </c>
      <c r="BM136" t="s">
        <v>2655</v>
      </c>
      <c r="BN136" t="s">
        <v>74</v>
      </c>
      <c r="BO136" t="s">
        <v>784</v>
      </c>
      <c r="BP136" t="s">
        <v>74</v>
      </c>
      <c r="BQ136" t="s">
        <v>74</v>
      </c>
      <c r="BR136" t="s">
        <v>106</v>
      </c>
      <c r="BS136" t="s">
        <v>2986</v>
      </c>
      <c r="BT136" t="str">
        <f>HYPERLINK("https%3A%2F%2Fwww.webofscience.com%2Fwos%2Fwoscc%2Ffull-record%2FWOS:000606215800001","View Full Record in Web of Science")</f>
        <v>View Full Record in Web of Science</v>
      </c>
    </row>
    <row r="137" spans="1:72" x14ac:dyDescent="0.15">
      <c r="A137" t="s">
        <v>72</v>
      </c>
      <c r="B137" t="s">
        <v>2987</v>
      </c>
      <c r="C137" t="s">
        <v>74</v>
      </c>
      <c r="D137" t="s">
        <v>74</v>
      </c>
      <c r="E137" t="s">
        <v>74</v>
      </c>
      <c r="F137" t="s">
        <v>2988</v>
      </c>
      <c r="G137" t="s">
        <v>74</v>
      </c>
      <c r="H137" t="s">
        <v>74</v>
      </c>
      <c r="I137" t="s">
        <v>2989</v>
      </c>
      <c r="J137" t="s">
        <v>2990</v>
      </c>
      <c r="K137" t="s">
        <v>74</v>
      </c>
      <c r="L137" t="s">
        <v>74</v>
      </c>
      <c r="M137" t="s">
        <v>78</v>
      </c>
      <c r="N137" t="s">
        <v>79</v>
      </c>
      <c r="O137" t="s">
        <v>74</v>
      </c>
      <c r="P137" t="s">
        <v>74</v>
      </c>
      <c r="Q137" t="s">
        <v>74</v>
      </c>
      <c r="R137" t="s">
        <v>74</v>
      </c>
      <c r="S137" t="s">
        <v>74</v>
      </c>
      <c r="T137" t="s">
        <v>2991</v>
      </c>
      <c r="U137" t="s">
        <v>2992</v>
      </c>
      <c r="V137" t="s">
        <v>2993</v>
      </c>
      <c r="W137" t="s">
        <v>2994</v>
      </c>
      <c r="X137" t="s">
        <v>2995</v>
      </c>
      <c r="Y137" t="s">
        <v>2996</v>
      </c>
      <c r="Z137" t="s">
        <v>2997</v>
      </c>
      <c r="AA137" t="s">
        <v>2998</v>
      </c>
      <c r="AB137" t="s">
        <v>2999</v>
      </c>
      <c r="AC137" t="s">
        <v>3000</v>
      </c>
      <c r="AD137" t="s">
        <v>3001</v>
      </c>
      <c r="AE137" t="s">
        <v>3002</v>
      </c>
      <c r="AF137" t="s">
        <v>74</v>
      </c>
      <c r="AG137">
        <v>59</v>
      </c>
      <c r="AH137">
        <v>20</v>
      </c>
      <c r="AI137">
        <v>21</v>
      </c>
      <c r="AJ137">
        <v>0</v>
      </c>
      <c r="AK137">
        <v>17</v>
      </c>
      <c r="AL137" t="s">
        <v>3003</v>
      </c>
      <c r="AM137" t="s">
        <v>3004</v>
      </c>
      <c r="AN137" t="s">
        <v>3005</v>
      </c>
      <c r="AO137" t="s">
        <v>3006</v>
      </c>
      <c r="AP137" t="s">
        <v>3007</v>
      </c>
      <c r="AQ137" t="s">
        <v>74</v>
      </c>
      <c r="AR137" t="s">
        <v>2990</v>
      </c>
      <c r="AS137" t="s">
        <v>3008</v>
      </c>
      <c r="AT137" t="s">
        <v>374</v>
      </c>
      <c r="AU137">
        <v>2021</v>
      </c>
      <c r="AV137">
        <v>25</v>
      </c>
      <c r="AW137">
        <v>1</v>
      </c>
      <c r="AX137" t="s">
        <v>74</v>
      </c>
      <c r="AY137" t="s">
        <v>74</v>
      </c>
      <c r="AZ137" t="s">
        <v>74</v>
      </c>
      <c r="BA137" t="s">
        <v>74</v>
      </c>
      <c r="BB137">
        <v>77</v>
      </c>
      <c r="BC137">
        <v>84</v>
      </c>
      <c r="BD137" t="s">
        <v>74</v>
      </c>
      <c r="BE137" t="s">
        <v>3009</v>
      </c>
      <c r="BF137" t="str">
        <f>HYPERLINK("http://dx.doi.org/10.1007/s00792-020-01212-x","http://dx.doi.org/10.1007/s00792-020-01212-x")</f>
        <v>http://dx.doi.org/10.1007/s00792-020-01212-x</v>
      </c>
      <c r="BG137" t="s">
        <v>74</v>
      </c>
      <c r="BH137" t="s">
        <v>101</v>
      </c>
      <c r="BI137">
        <v>8</v>
      </c>
      <c r="BJ137" t="s">
        <v>3010</v>
      </c>
      <c r="BK137" t="s">
        <v>103</v>
      </c>
      <c r="BL137" t="s">
        <v>3010</v>
      </c>
      <c r="BM137" t="s">
        <v>3011</v>
      </c>
      <c r="BN137">
        <v>33416982</v>
      </c>
      <c r="BO137" t="s">
        <v>74</v>
      </c>
      <c r="BP137" t="s">
        <v>74</v>
      </c>
      <c r="BQ137" t="s">
        <v>74</v>
      </c>
      <c r="BR137" t="s">
        <v>106</v>
      </c>
      <c r="BS137" t="s">
        <v>3012</v>
      </c>
      <c r="BT137" t="str">
        <f>HYPERLINK("https%3A%2F%2Fwww.webofscience.com%2Fwos%2Fwoscc%2Ffull-record%2FWOS:000606169400001","View Full Record in Web of Science")</f>
        <v>View Full Record in Web of Science</v>
      </c>
    </row>
    <row r="138" spans="1:72" x14ac:dyDescent="0.15">
      <c r="A138" t="s">
        <v>72</v>
      </c>
      <c r="B138" t="s">
        <v>3013</v>
      </c>
      <c r="C138" t="s">
        <v>74</v>
      </c>
      <c r="D138" t="s">
        <v>74</v>
      </c>
      <c r="E138" t="s">
        <v>74</v>
      </c>
      <c r="F138" t="s">
        <v>3014</v>
      </c>
      <c r="G138" t="s">
        <v>74</v>
      </c>
      <c r="H138" t="s">
        <v>74</v>
      </c>
      <c r="I138" t="s">
        <v>3015</v>
      </c>
      <c r="J138" t="s">
        <v>487</v>
      </c>
      <c r="K138" t="s">
        <v>74</v>
      </c>
      <c r="L138" t="s">
        <v>74</v>
      </c>
      <c r="M138" t="s">
        <v>78</v>
      </c>
      <c r="N138" t="s">
        <v>79</v>
      </c>
      <c r="O138" t="s">
        <v>74</v>
      </c>
      <c r="P138" t="s">
        <v>74</v>
      </c>
      <c r="Q138" t="s">
        <v>74</v>
      </c>
      <c r="R138" t="s">
        <v>74</v>
      </c>
      <c r="S138" t="s">
        <v>74</v>
      </c>
      <c r="T138" t="s">
        <v>3016</v>
      </c>
      <c r="U138" t="s">
        <v>3017</v>
      </c>
      <c r="V138" t="s">
        <v>3018</v>
      </c>
      <c r="W138" t="s">
        <v>3019</v>
      </c>
      <c r="X138" t="s">
        <v>3020</v>
      </c>
      <c r="Y138" t="s">
        <v>3021</v>
      </c>
      <c r="Z138" t="s">
        <v>3022</v>
      </c>
      <c r="AA138" t="s">
        <v>3023</v>
      </c>
      <c r="AB138" t="s">
        <v>3024</v>
      </c>
      <c r="AC138" t="s">
        <v>3025</v>
      </c>
      <c r="AD138" t="s">
        <v>3026</v>
      </c>
      <c r="AE138" t="s">
        <v>3027</v>
      </c>
      <c r="AF138" t="s">
        <v>74</v>
      </c>
      <c r="AG138">
        <v>96</v>
      </c>
      <c r="AH138">
        <v>3</v>
      </c>
      <c r="AI138">
        <v>3</v>
      </c>
      <c r="AJ138">
        <v>1</v>
      </c>
      <c r="AK138">
        <v>7</v>
      </c>
      <c r="AL138" t="s">
        <v>500</v>
      </c>
      <c r="AM138" t="s">
        <v>501</v>
      </c>
      <c r="AN138" t="s">
        <v>502</v>
      </c>
      <c r="AO138" t="s">
        <v>74</v>
      </c>
      <c r="AP138" t="s">
        <v>503</v>
      </c>
      <c r="AQ138" t="s">
        <v>74</v>
      </c>
      <c r="AR138" t="s">
        <v>504</v>
      </c>
      <c r="AS138" t="s">
        <v>505</v>
      </c>
      <c r="AT138" t="s">
        <v>2858</v>
      </c>
      <c r="AU138">
        <v>2021</v>
      </c>
      <c r="AV138">
        <v>7</v>
      </c>
      <c r="AW138" t="s">
        <v>74</v>
      </c>
      <c r="AX138" t="s">
        <v>74</v>
      </c>
      <c r="AY138" t="s">
        <v>74</v>
      </c>
      <c r="AZ138" t="s">
        <v>74</v>
      </c>
      <c r="BA138" t="s">
        <v>74</v>
      </c>
      <c r="BB138" t="s">
        <v>74</v>
      </c>
      <c r="BC138" t="s">
        <v>74</v>
      </c>
      <c r="BD138">
        <v>595303</v>
      </c>
      <c r="BE138" t="s">
        <v>3028</v>
      </c>
      <c r="BF138" t="str">
        <f>HYPERLINK("http://dx.doi.org/10.3389/fmars.2020.595303","http://dx.doi.org/10.3389/fmars.2020.595303")</f>
        <v>http://dx.doi.org/10.3389/fmars.2020.595303</v>
      </c>
      <c r="BG138" t="s">
        <v>74</v>
      </c>
      <c r="BH138" t="s">
        <v>74</v>
      </c>
      <c r="BI138">
        <v>19</v>
      </c>
      <c r="BJ138" t="s">
        <v>507</v>
      </c>
      <c r="BK138" t="s">
        <v>103</v>
      </c>
      <c r="BL138" t="s">
        <v>508</v>
      </c>
      <c r="BM138" t="s">
        <v>3029</v>
      </c>
      <c r="BN138" t="s">
        <v>74</v>
      </c>
      <c r="BO138" t="s">
        <v>3030</v>
      </c>
      <c r="BP138" t="s">
        <v>74</v>
      </c>
      <c r="BQ138" t="s">
        <v>74</v>
      </c>
      <c r="BR138" t="s">
        <v>106</v>
      </c>
      <c r="BS138" t="s">
        <v>3031</v>
      </c>
      <c r="BT138" t="str">
        <f>HYPERLINK("https%3A%2F%2Fwww.webofscience.com%2Fwos%2Fwoscc%2Ffull-record%2FWOS:000609691400001","View Full Record in Web of Science")</f>
        <v>View Full Record in Web of Science</v>
      </c>
    </row>
    <row r="139" spans="1:72" x14ac:dyDescent="0.15">
      <c r="A139" t="s">
        <v>72</v>
      </c>
      <c r="B139" t="s">
        <v>3032</v>
      </c>
      <c r="C139" t="s">
        <v>74</v>
      </c>
      <c r="D139" t="s">
        <v>74</v>
      </c>
      <c r="E139" t="s">
        <v>74</v>
      </c>
      <c r="F139" t="s">
        <v>3033</v>
      </c>
      <c r="G139" t="s">
        <v>74</v>
      </c>
      <c r="H139" t="s">
        <v>74</v>
      </c>
      <c r="I139" t="s">
        <v>3034</v>
      </c>
      <c r="J139" t="s">
        <v>3035</v>
      </c>
      <c r="K139" t="s">
        <v>74</v>
      </c>
      <c r="L139" t="s">
        <v>74</v>
      </c>
      <c r="M139" t="s">
        <v>78</v>
      </c>
      <c r="N139" t="s">
        <v>79</v>
      </c>
      <c r="O139" t="s">
        <v>74</v>
      </c>
      <c r="P139" t="s">
        <v>74</v>
      </c>
      <c r="Q139" t="s">
        <v>74</v>
      </c>
      <c r="R139" t="s">
        <v>74</v>
      </c>
      <c r="S139" t="s">
        <v>74</v>
      </c>
      <c r="T139" t="s">
        <v>3036</v>
      </c>
      <c r="U139" t="s">
        <v>74</v>
      </c>
      <c r="V139" t="s">
        <v>3037</v>
      </c>
      <c r="W139" t="s">
        <v>3038</v>
      </c>
      <c r="X139" t="s">
        <v>3039</v>
      </c>
      <c r="Y139" t="s">
        <v>3040</v>
      </c>
      <c r="Z139" t="s">
        <v>3041</v>
      </c>
      <c r="AA139" t="s">
        <v>3042</v>
      </c>
      <c r="AB139" t="s">
        <v>3043</v>
      </c>
      <c r="AC139" t="s">
        <v>3044</v>
      </c>
      <c r="AD139" t="s">
        <v>3045</v>
      </c>
      <c r="AE139" t="s">
        <v>3046</v>
      </c>
      <c r="AF139" t="s">
        <v>74</v>
      </c>
      <c r="AG139">
        <v>6</v>
      </c>
      <c r="AH139">
        <v>9</v>
      </c>
      <c r="AI139">
        <v>9</v>
      </c>
      <c r="AJ139">
        <v>4</v>
      </c>
      <c r="AK139">
        <v>12</v>
      </c>
      <c r="AL139" t="s">
        <v>92</v>
      </c>
      <c r="AM139" t="s">
        <v>93</v>
      </c>
      <c r="AN139" t="s">
        <v>94</v>
      </c>
      <c r="AO139" t="s">
        <v>74</v>
      </c>
      <c r="AP139" t="s">
        <v>3047</v>
      </c>
      <c r="AQ139" t="s">
        <v>74</v>
      </c>
      <c r="AR139" t="s">
        <v>3035</v>
      </c>
      <c r="AS139" t="s">
        <v>3048</v>
      </c>
      <c r="AT139" t="s">
        <v>74</v>
      </c>
      <c r="AU139">
        <v>2021</v>
      </c>
      <c r="AV139">
        <v>8</v>
      </c>
      <c r="AW139" t="s">
        <v>74</v>
      </c>
      <c r="AX139" t="s">
        <v>74</v>
      </c>
      <c r="AY139" t="s">
        <v>74</v>
      </c>
      <c r="AZ139" t="s">
        <v>74</v>
      </c>
      <c r="BA139" t="s">
        <v>74</v>
      </c>
      <c r="BB139" t="s">
        <v>74</v>
      </c>
      <c r="BC139" t="s">
        <v>74</v>
      </c>
      <c r="BD139">
        <v>101193</v>
      </c>
      <c r="BE139" t="s">
        <v>3049</v>
      </c>
      <c r="BF139" t="str">
        <f>HYPERLINK("http://dx.doi.org/10.1016/j.mex.2020.101193","http://dx.doi.org/10.1016/j.mex.2020.101193")</f>
        <v>http://dx.doi.org/10.1016/j.mex.2020.101193</v>
      </c>
      <c r="BG139" t="s">
        <v>74</v>
      </c>
      <c r="BH139" t="s">
        <v>101</v>
      </c>
      <c r="BI139">
        <v>7</v>
      </c>
      <c r="BJ139" t="s">
        <v>534</v>
      </c>
      <c r="BK139" t="s">
        <v>3050</v>
      </c>
      <c r="BL139" t="s">
        <v>535</v>
      </c>
      <c r="BM139" t="s">
        <v>3051</v>
      </c>
      <c r="BN139">
        <v>34434720</v>
      </c>
      <c r="BO139" t="s">
        <v>246</v>
      </c>
      <c r="BP139" t="s">
        <v>74</v>
      </c>
      <c r="BQ139" t="s">
        <v>74</v>
      </c>
      <c r="BR139" t="s">
        <v>106</v>
      </c>
      <c r="BS139" t="s">
        <v>3052</v>
      </c>
      <c r="BT139" t="str">
        <f>HYPERLINK("https%3A%2F%2Fwww.webofscience.com%2Fwos%2Fwoscc%2Ffull-record%2FWOS:000707188500024","View Full Record in Web of Science")</f>
        <v>View Full Record in Web of Science</v>
      </c>
    </row>
    <row r="140" spans="1:72" x14ac:dyDescent="0.15">
      <c r="A140" t="s">
        <v>72</v>
      </c>
      <c r="B140" t="s">
        <v>3053</v>
      </c>
      <c r="C140" t="s">
        <v>74</v>
      </c>
      <c r="D140" t="s">
        <v>74</v>
      </c>
      <c r="E140" t="s">
        <v>74</v>
      </c>
      <c r="F140" t="s">
        <v>3054</v>
      </c>
      <c r="G140" t="s">
        <v>74</v>
      </c>
      <c r="H140" t="s">
        <v>74</v>
      </c>
      <c r="I140" t="s">
        <v>3055</v>
      </c>
      <c r="J140" t="s">
        <v>3056</v>
      </c>
      <c r="K140" t="s">
        <v>74</v>
      </c>
      <c r="L140" t="s">
        <v>74</v>
      </c>
      <c r="M140" t="s">
        <v>78</v>
      </c>
      <c r="N140" t="s">
        <v>79</v>
      </c>
      <c r="O140" t="s">
        <v>74</v>
      </c>
      <c r="P140" t="s">
        <v>74</v>
      </c>
      <c r="Q140" t="s">
        <v>74</v>
      </c>
      <c r="R140" t="s">
        <v>74</v>
      </c>
      <c r="S140" t="s">
        <v>74</v>
      </c>
      <c r="T140" t="s">
        <v>3057</v>
      </c>
      <c r="U140" t="s">
        <v>3058</v>
      </c>
      <c r="V140" t="s">
        <v>3059</v>
      </c>
      <c r="W140" t="s">
        <v>3060</v>
      </c>
      <c r="X140" t="s">
        <v>3061</v>
      </c>
      <c r="Y140" t="s">
        <v>3062</v>
      </c>
      <c r="Z140" t="s">
        <v>3063</v>
      </c>
      <c r="AA140" t="s">
        <v>3064</v>
      </c>
      <c r="AB140" t="s">
        <v>3065</v>
      </c>
      <c r="AC140" t="s">
        <v>3066</v>
      </c>
      <c r="AD140" t="s">
        <v>3067</v>
      </c>
      <c r="AE140" t="s">
        <v>3068</v>
      </c>
      <c r="AF140" t="s">
        <v>74</v>
      </c>
      <c r="AG140">
        <v>109</v>
      </c>
      <c r="AH140">
        <v>5</v>
      </c>
      <c r="AI140">
        <v>5</v>
      </c>
      <c r="AJ140">
        <v>0</v>
      </c>
      <c r="AK140">
        <v>8</v>
      </c>
      <c r="AL140" t="s">
        <v>3069</v>
      </c>
      <c r="AM140" t="s">
        <v>236</v>
      </c>
      <c r="AN140" t="s">
        <v>3070</v>
      </c>
      <c r="AO140" t="s">
        <v>3071</v>
      </c>
      <c r="AP140" t="s">
        <v>3072</v>
      </c>
      <c r="AQ140" t="s">
        <v>74</v>
      </c>
      <c r="AR140" t="s">
        <v>3073</v>
      </c>
      <c r="AS140" t="s">
        <v>3074</v>
      </c>
      <c r="AT140" t="s">
        <v>214</v>
      </c>
      <c r="AU140">
        <v>2021</v>
      </c>
      <c r="AV140">
        <v>120</v>
      </c>
      <c r="AW140" t="s">
        <v>74</v>
      </c>
      <c r="AX140" t="s">
        <v>74</v>
      </c>
      <c r="AY140" t="s">
        <v>74</v>
      </c>
      <c r="AZ140" t="s">
        <v>74</v>
      </c>
      <c r="BA140" t="s">
        <v>74</v>
      </c>
      <c r="BB140" t="s">
        <v>74</v>
      </c>
      <c r="BC140" t="s">
        <v>74</v>
      </c>
      <c r="BD140">
        <v>104725</v>
      </c>
      <c r="BE140" t="s">
        <v>3075</v>
      </c>
      <c r="BF140" t="str">
        <f>HYPERLINK("http://dx.doi.org/10.1016/j.cretres.2020.104725","http://dx.doi.org/10.1016/j.cretres.2020.104725")</f>
        <v>http://dx.doi.org/10.1016/j.cretres.2020.104725</v>
      </c>
      <c r="BG140" t="s">
        <v>74</v>
      </c>
      <c r="BH140" t="s">
        <v>101</v>
      </c>
      <c r="BI140">
        <v>19</v>
      </c>
      <c r="BJ140" t="s">
        <v>3076</v>
      </c>
      <c r="BK140" t="s">
        <v>103</v>
      </c>
      <c r="BL140" t="s">
        <v>3076</v>
      </c>
      <c r="BM140" t="s">
        <v>3077</v>
      </c>
      <c r="BN140" t="s">
        <v>74</v>
      </c>
      <c r="BO140" t="s">
        <v>74</v>
      </c>
      <c r="BP140" t="s">
        <v>74</v>
      </c>
      <c r="BQ140" t="s">
        <v>74</v>
      </c>
      <c r="BR140" t="s">
        <v>106</v>
      </c>
      <c r="BS140" t="s">
        <v>3078</v>
      </c>
      <c r="BT140" t="str">
        <f>HYPERLINK("https%3A%2F%2Fwww.webofscience.com%2Fwos%2Fwoscc%2Ffull-record%2FWOS:000611911600002","View Full Record in Web of Science")</f>
        <v>View Full Record in Web of Science</v>
      </c>
    </row>
    <row r="141" spans="1:72" x14ac:dyDescent="0.15">
      <c r="A141" t="s">
        <v>72</v>
      </c>
      <c r="B141" t="s">
        <v>3079</v>
      </c>
      <c r="C141" t="s">
        <v>74</v>
      </c>
      <c r="D141" t="s">
        <v>74</v>
      </c>
      <c r="E141" t="s">
        <v>74</v>
      </c>
      <c r="F141" t="s">
        <v>3080</v>
      </c>
      <c r="G141" t="s">
        <v>74</v>
      </c>
      <c r="H141" t="s">
        <v>74</v>
      </c>
      <c r="I141" t="s">
        <v>3081</v>
      </c>
      <c r="J141" t="s">
        <v>3082</v>
      </c>
      <c r="K141" t="s">
        <v>74</v>
      </c>
      <c r="L141" t="s">
        <v>74</v>
      </c>
      <c r="M141" t="s">
        <v>78</v>
      </c>
      <c r="N141" t="s">
        <v>141</v>
      </c>
      <c r="O141" t="s">
        <v>74</v>
      </c>
      <c r="P141" t="s">
        <v>74</v>
      </c>
      <c r="Q141" t="s">
        <v>74</v>
      </c>
      <c r="R141" t="s">
        <v>74</v>
      </c>
      <c r="S141" t="s">
        <v>74</v>
      </c>
      <c r="T141" t="s">
        <v>3083</v>
      </c>
      <c r="U141" t="s">
        <v>3084</v>
      </c>
      <c r="V141" t="s">
        <v>3085</v>
      </c>
      <c r="W141" t="s">
        <v>3086</v>
      </c>
      <c r="X141" t="s">
        <v>3087</v>
      </c>
      <c r="Y141" t="s">
        <v>3088</v>
      </c>
      <c r="Z141" t="s">
        <v>3089</v>
      </c>
      <c r="AA141" t="s">
        <v>3090</v>
      </c>
      <c r="AB141" t="s">
        <v>3091</v>
      </c>
      <c r="AC141" t="s">
        <v>3092</v>
      </c>
      <c r="AD141" t="s">
        <v>3092</v>
      </c>
      <c r="AE141" t="s">
        <v>3093</v>
      </c>
      <c r="AF141" t="s">
        <v>74</v>
      </c>
      <c r="AG141">
        <v>128</v>
      </c>
      <c r="AH141">
        <v>13</v>
      </c>
      <c r="AI141">
        <v>14</v>
      </c>
      <c r="AJ141">
        <v>5</v>
      </c>
      <c r="AK141">
        <v>46</v>
      </c>
      <c r="AL141" t="s">
        <v>3094</v>
      </c>
      <c r="AM141" t="s">
        <v>3095</v>
      </c>
      <c r="AN141" t="s">
        <v>3096</v>
      </c>
      <c r="AO141" t="s">
        <v>3097</v>
      </c>
      <c r="AP141" t="s">
        <v>74</v>
      </c>
      <c r="AQ141" t="s">
        <v>74</v>
      </c>
      <c r="AR141" t="s">
        <v>3082</v>
      </c>
      <c r="AS141" t="s">
        <v>3098</v>
      </c>
      <c r="AT141" t="s">
        <v>3099</v>
      </c>
      <c r="AU141">
        <v>2021</v>
      </c>
      <c r="AV141">
        <v>6</v>
      </c>
      <c r="AW141" t="s">
        <v>74</v>
      </c>
      <c r="AX141" t="s">
        <v>74</v>
      </c>
      <c r="AY141" t="s">
        <v>74</v>
      </c>
      <c r="AZ141" t="s">
        <v>74</v>
      </c>
      <c r="BA141" t="s">
        <v>74</v>
      </c>
      <c r="BB141" t="s">
        <v>74</v>
      </c>
      <c r="BC141" t="s">
        <v>74</v>
      </c>
      <c r="BD141" t="s">
        <v>74</v>
      </c>
      <c r="BE141" t="s">
        <v>3100</v>
      </c>
      <c r="BF141" t="str">
        <f>HYPERLINK("http://dx.doi.org/10.1139/facets-2020-0052","http://dx.doi.org/10.1139/facets-2020-0052")</f>
        <v>http://dx.doi.org/10.1139/facets-2020-0052</v>
      </c>
      <c r="BG141" t="s">
        <v>74</v>
      </c>
      <c r="BH141" t="s">
        <v>74</v>
      </c>
      <c r="BI141">
        <v>25</v>
      </c>
      <c r="BJ141" t="s">
        <v>534</v>
      </c>
      <c r="BK141" t="s">
        <v>103</v>
      </c>
      <c r="BL141" t="s">
        <v>535</v>
      </c>
      <c r="BM141" t="s">
        <v>3101</v>
      </c>
      <c r="BN141" t="s">
        <v>74</v>
      </c>
      <c r="BO141" t="s">
        <v>326</v>
      </c>
      <c r="BP141" t="s">
        <v>74</v>
      </c>
      <c r="BQ141" t="s">
        <v>74</v>
      </c>
      <c r="BR141" t="s">
        <v>106</v>
      </c>
      <c r="BS141" t="s">
        <v>3102</v>
      </c>
      <c r="BT141" t="str">
        <f>HYPERLINK("https%3A%2F%2Fwww.webofscience.com%2Fwos%2Fwoscc%2Ffull-record%2FWOS:000608731100001","View Full Record in Web of Science")</f>
        <v>View Full Record in Web of Science</v>
      </c>
    </row>
    <row r="142" spans="1:72" x14ac:dyDescent="0.15">
      <c r="A142" t="s">
        <v>72</v>
      </c>
      <c r="B142" t="s">
        <v>3103</v>
      </c>
      <c r="C142" t="s">
        <v>74</v>
      </c>
      <c r="D142" t="s">
        <v>74</v>
      </c>
      <c r="E142" t="s">
        <v>74</v>
      </c>
      <c r="F142" t="s">
        <v>3104</v>
      </c>
      <c r="G142" t="s">
        <v>74</v>
      </c>
      <c r="H142" t="s">
        <v>74</v>
      </c>
      <c r="I142" t="s">
        <v>3105</v>
      </c>
      <c r="J142" t="s">
        <v>140</v>
      </c>
      <c r="K142" t="s">
        <v>74</v>
      </c>
      <c r="L142" t="s">
        <v>74</v>
      </c>
      <c r="M142" t="s">
        <v>78</v>
      </c>
      <c r="N142" t="s">
        <v>79</v>
      </c>
      <c r="O142" t="s">
        <v>74</v>
      </c>
      <c r="P142" t="s">
        <v>74</v>
      </c>
      <c r="Q142" t="s">
        <v>74</v>
      </c>
      <c r="R142" t="s">
        <v>74</v>
      </c>
      <c r="S142" t="s">
        <v>74</v>
      </c>
      <c r="T142" t="s">
        <v>74</v>
      </c>
      <c r="U142" t="s">
        <v>3106</v>
      </c>
      <c r="V142" t="s">
        <v>3107</v>
      </c>
      <c r="W142" t="s">
        <v>3108</v>
      </c>
      <c r="X142" t="s">
        <v>3109</v>
      </c>
      <c r="Y142" t="s">
        <v>3110</v>
      </c>
      <c r="Z142" t="s">
        <v>3111</v>
      </c>
      <c r="AA142" t="s">
        <v>3112</v>
      </c>
      <c r="AB142" t="s">
        <v>3113</v>
      </c>
      <c r="AC142" t="s">
        <v>3114</v>
      </c>
      <c r="AD142" t="s">
        <v>3115</v>
      </c>
      <c r="AE142" t="s">
        <v>3116</v>
      </c>
      <c r="AF142" t="s">
        <v>74</v>
      </c>
      <c r="AG142">
        <v>66</v>
      </c>
      <c r="AH142">
        <v>27</v>
      </c>
      <c r="AI142">
        <v>29</v>
      </c>
      <c r="AJ142">
        <v>0</v>
      </c>
      <c r="AK142">
        <v>6</v>
      </c>
      <c r="AL142" t="s">
        <v>123</v>
      </c>
      <c r="AM142" t="s">
        <v>124</v>
      </c>
      <c r="AN142" t="s">
        <v>125</v>
      </c>
      <c r="AO142" t="s">
        <v>152</v>
      </c>
      <c r="AP142" t="s">
        <v>153</v>
      </c>
      <c r="AQ142" t="s">
        <v>74</v>
      </c>
      <c r="AR142" t="s">
        <v>140</v>
      </c>
      <c r="AS142" t="s">
        <v>154</v>
      </c>
      <c r="AT142" t="s">
        <v>3099</v>
      </c>
      <c r="AU142">
        <v>2021</v>
      </c>
      <c r="AV142">
        <v>15</v>
      </c>
      <c r="AW142">
        <v>1</v>
      </c>
      <c r="AX142" t="s">
        <v>74</v>
      </c>
      <c r="AY142" t="s">
        <v>74</v>
      </c>
      <c r="AZ142" t="s">
        <v>74</v>
      </c>
      <c r="BA142" t="s">
        <v>74</v>
      </c>
      <c r="BB142">
        <v>113</v>
      </c>
      <c r="BC142">
        <v>132</v>
      </c>
      <c r="BD142" t="s">
        <v>74</v>
      </c>
      <c r="BE142" t="s">
        <v>3117</v>
      </c>
      <c r="BF142" t="str">
        <f>HYPERLINK("http://dx.doi.org/10.5194/tc-15-113-2021","http://dx.doi.org/10.5194/tc-15-113-2021")</f>
        <v>http://dx.doi.org/10.5194/tc-15-113-2021</v>
      </c>
      <c r="BG142" t="s">
        <v>74</v>
      </c>
      <c r="BH142" t="s">
        <v>74</v>
      </c>
      <c r="BI142">
        <v>20</v>
      </c>
      <c r="BJ142" t="s">
        <v>156</v>
      </c>
      <c r="BK142" t="s">
        <v>103</v>
      </c>
      <c r="BL142" t="s">
        <v>157</v>
      </c>
      <c r="BM142" t="s">
        <v>3118</v>
      </c>
      <c r="BN142" t="s">
        <v>74</v>
      </c>
      <c r="BO142" t="s">
        <v>135</v>
      </c>
      <c r="BP142" t="s">
        <v>74</v>
      </c>
      <c r="BQ142" t="s">
        <v>74</v>
      </c>
      <c r="BR142" t="s">
        <v>106</v>
      </c>
      <c r="BS142" t="s">
        <v>3119</v>
      </c>
      <c r="BT142" t="str">
        <f>HYPERLINK("https%3A%2F%2Fwww.webofscience.com%2Fwos%2Fwoscc%2Ffull-record%2FWOS:000608704900001","View Full Record in Web of Science")</f>
        <v>View Full Record in Web of Science</v>
      </c>
    </row>
    <row r="143" spans="1:72" x14ac:dyDescent="0.15">
      <c r="A143" t="s">
        <v>72</v>
      </c>
      <c r="B143" t="s">
        <v>3120</v>
      </c>
      <c r="C143" t="s">
        <v>74</v>
      </c>
      <c r="D143" t="s">
        <v>74</v>
      </c>
      <c r="E143" t="s">
        <v>74</v>
      </c>
      <c r="F143" t="s">
        <v>3121</v>
      </c>
      <c r="G143" t="s">
        <v>74</v>
      </c>
      <c r="H143" t="s">
        <v>74</v>
      </c>
      <c r="I143" t="s">
        <v>3122</v>
      </c>
      <c r="J143" t="s">
        <v>487</v>
      </c>
      <c r="K143" t="s">
        <v>74</v>
      </c>
      <c r="L143" t="s">
        <v>74</v>
      </c>
      <c r="M143" t="s">
        <v>78</v>
      </c>
      <c r="N143" t="s">
        <v>79</v>
      </c>
      <c r="O143" t="s">
        <v>74</v>
      </c>
      <c r="P143" t="s">
        <v>74</v>
      </c>
      <c r="Q143" t="s">
        <v>74</v>
      </c>
      <c r="R143" t="s">
        <v>74</v>
      </c>
      <c r="S143" t="s">
        <v>74</v>
      </c>
      <c r="T143" t="s">
        <v>3123</v>
      </c>
      <c r="U143" t="s">
        <v>3124</v>
      </c>
      <c r="V143" t="s">
        <v>3125</v>
      </c>
      <c r="W143" t="s">
        <v>3126</v>
      </c>
      <c r="X143" t="s">
        <v>3127</v>
      </c>
      <c r="Y143" t="s">
        <v>3128</v>
      </c>
      <c r="Z143" t="s">
        <v>3129</v>
      </c>
      <c r="AA143" t="s">
        <v>3130</v>
      </c>
      <c r="AB143" t="s">
        <v>3131</v>
      </c>
      <c r="AC143" t="s">
        <v>3132</v>
      </c>
      <c r="AD143" t="s">
        <v>3133</v>
      </c>
      <c r="AE143" t="s">
        <v>3134</v>
      </c>
      <c r="AF143" t="s">
        <v>74</v>
      </c>
      <c r="AG143">
        <v>59</v>
      </c>
      <c r="AH143">
        <v>5</v>
      </c>
      <c r="AI143">
        <v>5</v>
      </c>
      <c r="AJ143">
        <v>1</v>
      </c>
      <c r="AK143">
        <v>10</v>
      </c>
      <c r="AL143" t="s">
        <v>500</v>
      </c>
      <c r="AM143" t="s">
        <v>501</v>
      </c>
      <c r="AN143" t="s">
        <v>502</v>
      </c>
      <c r="AO143" t="s">
        <v>74</v>
      </c>
      <c r="AP143" t="s">
        <v>503</v>
      </c>
      <c r="AQ143" t="s">
        <v>74</v>
      </c>
      <c r="AR143" t="s">
        <v>504</v>
      </c>
      <c r="AS143" t="s">
        <v>505</v>
      </c>
      <c r="AT143" t="s">
        <v>3099</v>
      </c>
      <c r="AU143">
        <v>2021</v>
      </c>
      <c r="AV143">
        <v>7</v>
      </c>
      <c r="AW143" t="s">
        <v>74</v>
      </c>
      <c r="AX143" t="s">
        <v>74</v>
      </c>
      <c r="AY143" t="s">
        <v>74</v>
      </c>
      <c r="AZ143" t="s">
        <v>74</v>
      </c>
      <c r="BA143" t="s">
        <v>74</v>
      </c>
      <c r="BB143" t="s">
        <v>74</v>
      </c>
      <c r="BC143" t="s">
        <v>74</v>
      </c>
      <c r="BD143">
        <v>531297</v>
      </c>
      <c r="BE143" t="s">
        <v>3135</v>
      </c>
      <c r="BF143" t="str">
        <f>HYPERLINK("http://dx.doi.org/10.3389/fmars.2020.531297","http://dx.doi.org/10.3389/fmars.2020.531297")</f>
        <v>http://dx.doi.org/10.3389/fmars.2020.531297</v>
      </c>
      <c r="BG143" t="s">
        <v>74</v>
      </c>
      <c r="BH143" t="s">
        <v>74</v>
      </c>
      <c r="BI143">
        <v>13</v>
      </c>
      <c r="BJ143" t="s">
        <v>507</v>
      </c>
      <c r="BK143" t="s">
        <v>103</v>
      </c>
      <c r="BL143" t="s">
        <v>508</v>
      </c>
      <c r="BM143" t="s">
        <v>3136</v>
      </c>
      <c r="BN143" t="s">
        <v>74</v>
      </c>
      <c r="BO143" t="s">
        <v>3137</v>
      </c>
      <c r="BP143" t="s">
        <v>74</v>
      </c>
      <c r="BQ143" t="s">
        <v>74</v>
      </c>
      <c r="BR143" t="s">
        <v>106</v>
      </c>
      <c r="BS143" t="s">
        <v>3138</v>
      </c>
      <c r="BT143" t="str">
        <f>HYPERLINK("https%3A%2F%2Fwww.webofscience.com%2Fwos%2Fwoscc%2Ffull-record%2FWOS:000609143200001","View Full Record in Web of Science")</f>
        <v>View Full Record in Web of Science</v>
      </c>
    </row>
    <row r="144" spans="1:72" x14ac:dyDescent="0.15">
      <c r="A144" t="s">
        <v>72</v>
      </c>
      <c r="B144" t="s">
        <v>3139</v>
      </c>
      <c r="C144" t="s">
        <v>74</v>
      </c>
      <c r="D144" t="s">
        <v>74</v>
      </c>
      <c r="E144" t="s">
        <v>74</v>
      </c>
      <c r="F144" t="s">
        <v>3140</v>
      </c>
      <c r="G144" t="s">
        <v>74</v>
      </c>
      <c r="H144" t="s">
        <v>74</v>
      </c>
      <c r="I144" t="s">
        <v>3141</v>
      </c>
      <c r="J144" t="s">
        <v>3142</v>
      </c>
      <c r="K144" t="s">
        <v>74</v>
      </c>
      <c r="L144" t="s">
        <v>74</v>
      </c>
      <c r="M144" t="s">
        <v>78</v>
      </c>
      <c r="N144" t="s">
        <v>79</v>
      </c>
      <c r="O144" t="s">
        <v>74</v>
      </c>
      <c r="P144" t="s">
        <v>74</v>
      </c>
      <c r="Q144" t="s">
        <v>74</v>
      </c>
      <c r="R144" t="s">
        <v>74</v>
      </c>
      <c r="S144" t="s">
        <v>74</v>
      </c>
      <c r="T144" t="s">
        <v>74</v>
      </c>
      <c r="U144" t="s">
        <v>3143</v>
      </c>
      <c r="V144" t="s">
        <v>3144</v>
      </c>
      <c r="W144" t="s">
        <v>3145</v>
      </c>
      <c r="X144" t="s">
        <v>3146</v>
      </c>
      <c r="Y144" t="s">
        <v>3147</v>
      </c>
      <c r="Z144" t="s">
        <v>3148</v>
      </c>
      <c r="AA144" t="s">
        <v>3149</v>
      </c>
      <c r="AB144" t="s">
        <v>3150</v>
      </c>
      <c r="AC144" t="s">
        <v>3151</v>
      </c>
      <c r="AD144" t="s">
        <v>3152</v>
      </c>
      <c r="AE144" t="s">
        <v>3153</v>
      </c>
      <c r="AF144" t="s">
        <v>74</v>
      </c>
      <c r="AG144">
        <v>96</v>
      </c>
      <c r="AH144">
        <v>16</v>
      </c>
      <c r="AI144">
        <v>17</v>
      </c>
      <c r="AJ144">
        <v>0</v>
      </c>
      <c r="AK144">
        <v>9</v>
      </c>
      <c r="AL144" t="s">
        <v>123</v>
      </c>
      <c r="AM144" t="s">
        <v>124</v>
      </c>
      <c r="AN144" t="s">
        <v>125</v>
      </c>
      <c r="AO144" t="s">
        <v>3154</v>
      </c>
      <c r="AP144" t="s">
        <v>3155</v>
      </c>
      <c r="AQ144" t="s">
        <v>74</v>
      </c>
      <c r="AR144" t="s">
        <v>3156</v>
      </c>
      <c r="AS144" t="s">
        <v>3157</v>
      </c>
      <c r="AT144" t="s">
        <v>3099</v>
      </c>
      <c r="AU144">
        <v>2021</v>
      </c>
      <c r="AV144">
        <v>39</v>
      </c>
      <c r="AW144">
        <v>1</v>
      </c>
      <c r="AX144" t="s">
        <v>74</v>
      </c>
      <c r="AY144" t="s">
        <v>74</v>
      </c>
      <c r="AZ144" t="s">
        <v>74</v>
      </c>
      <c r="BA144" t="s">
        <v>74</v>
      </c>
      <c r="BB144">
        <v>1</v>
      </c>
      <c r="BC144">
        <v>29</v>
      </c>
      <c r="BD144" t="s">
        <v>74</v>
      </c>
      <c r="BE144" t="s">
        <v>3158</v>
      </c>
      <c r="BF144" t="str">
        <f>HYPERLINK("http://dx.doi.org/10.5194/angeo-39-1-2021","http://dx.doi.org/10.5194/angeo-39-1-2021")</f>
        <v>http://dx.doi.org/10.5194/angeo-39-1-2021</v>
      </c>
      <c r="BG144" t="s">
        <v>74</v>
      </c>
      <c r="BH144" t="s">
        <v>74</v>
      </c>
      <c r="BI144">
        <v>29</v>
      </c>
      <c r="BJ144" t="s">
        <v>3159</v>
      </c>
      <c r="BK144" t="s">
        <v>103</v>
      </c>
      <c r="BL144" t="s">
        <v>3160</v>
      </c>
      <c r="BM144" t="s">
        <v>3161</v>
      </c>
      <c r="BN144" t="s">
        <v>74</v>
      </c>
      <c r="BO144" t="s">
        <v>510</v>
      </c>
      <c r="BP144" t="s">
        <v>74</v>
      </c>
      <c r="BQ144" t="s">
        <v>74</v>
      </c>
      <c r="BR144" t="s">
        <v>106</v>
      </c>
      <c r="BS144" t="s">
        <v>3162</v>
      </c>
      <c r="BT144" t="str">
        <f>HYPERLINK("https%3A%2F%2Fwww.webofscience.com%2Fwos%2Fwoscc%2Ffull-record%2FWOS:000607647700001","View Full Record in Web of Science")</f>
        <v>View Full Record in Web of Science</v>
      </c>
    </row>
    <row r="145" spans="1:72" x14ac:dyDescent="0.15">
      <c r="A145" t="s">
        <v>72</v>
      </c>
      <c r="B145" t="s">
        <v>3163</v>
      </c>
      <c r="C145" t="s">
        <v>74</v>
      </c>
      <c r="D145" t="s">
        <v>74</v>
      </c>
      <c r="E145" t="s">
        <v>74</v>
      </c>
      <c r="F145" t="s">
        <v>3164</v>
      </c>
      <c r="G145" t="s">
        <v>74</v>
      </c>
      <c r="H145" t="s">
        <v>74</v>
      </c>
      <c r="I145" t="s">
        <v>3165</v>
      </c>
      <c r="J145" t="s">
        <v>3166</v>
      </c>
      <c r="K145" t="s">
        <v>74</v>
      </c>
      <c r="L145" t="s">
        <v>74</v>
      </c>
      <c r="M145" t="s">
        <v>78</v>
      </c>
      <c r="N145" t="s">
        <v>79</v>
      </c>
      <c r="O145" t="s">
        <v>74</v>
      </c>
      <c r="P145" t="s">
        <v>74</v>
      </c>
      <c r="Q145" t="s">
        <v>74</v>
      </c>
      <c r="R145" t="s">
        <v>74</v>
      </c>
      <c r="S145" t="s">
        <v>74</v>
      </c>
      <c r="T145" t="s">
        <v>74</v>
      </c>
      <c r="U145" t="s">
        <v>3167</v>
      </c>
      <c r="V145" t="s">
        <v>3168</v>
      </c>
      <c r="W145" t="s">
        <v>3169</v>
      </c>
      <c r="X145" t="s">
        <v>3170</v>
      </c>
      <c r="Y145" t="s">
        <v>3171</v>
      </c>
      <c r="Z145" t="s">
        <v>3172</v>
      </c>
      <c r="AA145" t="s">
        <v>3173</v>
      </c>
      <c r="AB145" t="s">
        <v>3174</v>
      </c>
      <c r="AC145" t="s">
        <v>3175</v>
      </c>
      <c r="AD145" t="s">
        <v>3175</v>
      </c>
      <c r="AE145" t="s">
        <v>3176</v>
      </c>
      <c r="AF145" t="s">
        <v>74</v>
      </c>
      <c r="AG145">
        <v>49</v>
      </c>
      <c r="AH145">
        <v>7</v>
      </c>
      <c r="AI145">
        <v>7</v>
      </c>
      <c r="AJ145">
        <v>0</v>
      </c>
      <c r="AK145">
        <v>12</v>
      </c>
      <c r="AL145" t="s">
        <v>3177</v>
      </c>
      <c r="AM145" t="s">
        <v>3178</v>
      </c>
      <c r="AN145" t="s">
        <v>3179</v>
      </c>
      <c r="AO145" t="s">
        <v>3180</v>
      </c>
      <c r="AP145" t="s">
        <v>3181</v>
      </c>
      <c r="AQ145" t="s">
        <v>74</v>
      </c>
      <c r="AR145" t="s">
        <v>3182</v>
      </c>
      <c r="AS145" t="s">
        <v>3183</v>
      </c>
      <c r="AT145" t="s">
        <v>184</v>
      </c>
      <c r="AU145">
        <v>2021</v>
      </c>
      <c r="AV145">
        <v>143</v>
      </c>
      <c r="AW145" t="s">
        <v>3184</v>
      </c>
      <c r="AX145" t="s">
        <v>74</v>
      </c>
      <c r="AY145" t="s">
        <v>74</v>
      </c>
      <c r="AZ145" t="s">
        <v>74</v>
      </c>
      <c r="BA145" t="s">
        <v>74</v>
      </c>
      <c r="BB145">
        <v>1487</v>
      </c>
      <c r="BC145">
        <v>1499</v>
      </c>
      <c r="BD145" t="s">
        <v>74</v>
      </c>
      <c r="BE145" t="s">
        <v>3185</v>
      </c>
      <c r="BF145" t="str">
        <f>HYPERLINK("http://dx.doi.org/10.1007/s00704-020-03456-1","http://dx.doi.org/10.1007/s00704-020-03456-1")</f>
        <v>http://dx.doi.org/10.1007/s00704-020-03456-1</v>
      </c>
      <c r="BG145" t="s">
        <v>74</v>
      </c>
      <c r="BH145" t="s">
        <v>101</v>
      </c>
      <c r="BI145">
        <v>13</v>
      </c>
      <c r="BJ145" t="s">
        <v>687</v>
      </c>
      <c r="BK145" t="s">
        <v>103</v>
      </c>
      <c r="BL145" t="s">
        <v>687</v>
      </c>
      <c r="BM145" t="s">
        <v>3186</v>
      </c>
      <c r="BN145" t="s">
        <v>74</v>
      </c>
      <c r="BO145" t="s">
        <v>74</v>
      </c>
      <c r="BP145" t="s">
        <v>74</v>
      </c>
      <c r="BQ145" t="s">
        <v>74</v>
      </c>
      <c r="BR145" t="s">
        <v>106</v>
      </c>
      <c r="BS145" t="s">
        <v>3187</v>
      </c>
      <c r="BT145" t="str">
        <f>HYPERLINK("https%3A%2F%2Fwww.webofscience.com%2Fwos%2Fwoscc%2Ffull-record%2FWOS:000605879100002","View Full Record in Web of Science")</f>
        <v>View Full Record in Web of Science</v>
      </c>
    </row>
    <row r="146" spans="1:72" x14ac:dyDescent="0.15">
      <c r="A146" t="s">
        <v>72</v>
      </c>
      <c r="B146" t="s">
        <v>3188</v>
      </c>
      <c r="C146" t="s">
        <v>74</v>
      </c>
      <c r="D146" t="s">
        <v>74</v>
      </c>
      <c r="E146" t="s">
        <v>74</v>
      </c>
      <c r="F146" t="s">
        <v>3189</v>
      </c>
      <c r="G146" t="s">
        <v>74</v>
      </c>
      <c r="H146" t="s">
        <v>74</v>
      </c>
      <c r="I146" t="s">
        <v>3190</v>
      </c>
      <c r="J146" t="s">
        <v>3191</v>
      </c>
      <c r="K146" t="s">
        <v>74</v>
      </c>
      <c r="L146" t="s">
        <v>74</v>
      </c>
      <c r="M146" t="s">
        <v>78</v>
      </c>
      <c r="N146" t="s">
        <v>79</v>
      </c>
      <c r="O146" t="s">
        <v>74</v>
      </c>
      <c r="P146" t="s">
        <v>74</v>
      </c>
      <c r="Q146" t="s">
        <v>74</v>
      </c>
      <c r="R146" t="s">
        <v>74</v>
      </c>
      <c r="S146" t="s">
        <v>74</v>
      </c>
      <c r="T146" t="s">
        <v>3192</v>
      </c>
      <c r="U146" t="s">
        <v>3193</v>
      </c>
      <c r="V146" t="s">
        <v>3194</v>
      </c>
      <c r="W146" t="s">
        <v>3195</v>
      </c>
      <c r="X146" t="s">
        <v>3196</v>
      </c>
      <c r="Y146" t="s">
        <v>3197</v>
      </c>
      <c r="Z146" t="s">
        <v>3198</v>
      </c>
      <c r="AA146" t="s">
        <v>3199</v>
      </c>
      <c r="AB146" t="s">
        <v>3200</v>
      </c>
      <c r="AC146" t="s">
        <v>3201</v>
      </c>
      <c r="AD146" t="s">
        <v>3202</v>
      </c>
      <c r="AE146" t="s">
        <v>3203</v>
      </c>
      <c r="AF146" t="s">
        <v>74</v>
      </c>
      <c r="AG146">
        <v>33</v>
      </c>
      <c r="AH146">
        <v>7</v>
      </c>
      <c r="AI146">
        <v>7</v>
      </c>
      <c r="AJ146">
        <v>5</v>
      </c>
      <c r="AK146">
        <v>24</v>
      </c>
      <c r="AL146" t="s">
        <v>552</v>
      </c>
      <c r="AM146" t="s">
        <v>553</v>
      </c>
      <c r="AN146" t="s">
        <v>554</v>
      </c>
      <c r="AO146" t="s">
        <v>3204</v>
      </c>
      <c r="AP146" t="s">
        <v>3205</v>
      </c>
      <c r="AQ146" t="s">
        <v>74</v>
      </c>
      <c r="AR146" t="s">
        <v>3206</v>
      </c>
      <c r="AS146" t="s">
        <v>3207</v>
      </c>
      <c r="AT146" t="s">
        <v>831</v>
      </c>
      <c r="AU146">
        <v>2021</v>
      </c>
      <c r="AV146">
        <v>37</v>
      </c>
      <c r="AW146">
        <v>3</v>
      </c>
      <c r="AX146" t="s">
        <v>74</v>
      </c>
      <c r="AY146" t="s">
        <v>74</v>
      </c>
      <c r="AZ146" t="s">
        <v>74</v>
      </c>
      <c r="BA146" t="s">
        <v>74</v>
      </c>
      <c r="BB146">
        <v>782</v>
      </c>
      <c r="BC146">
        <v>806</v>
      </c>
      <c r="BD146" t="s">
        <v>74</v>
      </c>
      <c r="BE146" t="s">
        <v>3208</v>
      </c>
      <c r="BF146" t="str">
        <f>HYPERLINK("http://dx.doi.org/10.1111/mms.12774","http://dx.doi.org/10.1111/mms.12774")</f>
        <v>http://dx.doi.org/10.1111/mms.12774</v>
      </c>
      <c r="BG146" t="s">
        <v>74</v>
      </c>
      <c r="BH146" t="s">
        <v>101</v>
      </c>
      <c r="BI146">
        <v>25</v>
      </c>
      <c r="BJ146" t="s">
        <v>3209</v>
      </c>
      <c r="BK146" t="s">
        <v>103</v>
      </c>
      <c r="BL146" t="s">
        <v>3209</v>
      </c>
      <c r="BM146" t="s">
        <v>3210</v>
      </c>
      <c r="BN146" t="s">
        <v>74</v>
      </c>
      <c r="BO146" t="s">
        <v>74</v>
      </c>
      <c r="BP146" t="s">
        <v>74</v>
      </c>
      <c r="BQ146" t="s">
        <v>74</v>
      </c>
      <c r="BR146" t="s">
        <v>106</v>
      </c>
      <c r="BS146" t="s">
        <v>3211</v>
      </c>
      <c r="BT146" t="str">
        <f>HYPERLINK("https%3A%2F%2Fwww.webofscience.com%2Fwos%2Fwoscc%2Ffull-record%2FWOS:000605306200001","View Full Record in Web of Science")</f>
        <v>View Full Record in Web of Science</v>
      </c>
    </row>
    <row r="147" spans="1:72" x14ac:dyDescent="0.15">
      <c r="A147" t="s">
        <v>72</v>
      </c>
      <c r="B147" t="s">
        <v>3212</v>
      </c>
      <c r="C147" t="s">
        <v>74</v>
      </c>
      <c r="D147" t="s">
        <v>74</v>
      </c>
      <c r="E147" t="s">
        <v>74</v>
      </c>
      <c r="F147" t="s">
        <v>3213</v>
      </c>
      <c r="G147" t="s">
        <v>74</v>
      </c>
      <c r="H147" t="s">
        <v>74</v>
      </c>
      <c r="I147" t="s">
        <v>3214</v>
      </c>
      <c r="J147" t="s">
        <v>3215</v>
      </c>
      <c r="K147" t="s">
        <v>74</v>
      </c>
      <c r="L147" t="s">
        <v>74</v>
      </c>
      <c r="M147" t="s">
        <v>78</v>
      </c>
      <c r="N147" t="s">
        <v>79</v>
      </c>
      <c r="O147" t="s">
        <v>74</v>
      </c>
      <c r="P147" t="s">
        <v>74</v>
      </c>
      <c r="Q147" t="s">
        <v>74</v>
      </c>
      <c r="R147" t="s">
        <v>74</v>
      </c>
      <c r="S147" t="s">
        <v>74</v>
      </c>
      <c r="T147" t="s">
        <v>3216</v>
      </c>
      <c r="U147" t="s">
        <v>3217</v>
      </c>
      <c r="V147" t="s">
        <v>3218</v>
      </c>
      <c r="W147" t="s">
        <v>3219</v>
      </c>
      <c r="X147" t="s">
        <v>3220</v>
      </c>
      <c r="Y147" t="s">
        <v>3221</v>
      </c>
      <c r="Z147" t="s">
        <v>3222</v>
      </c>
      <c r="AA147" t="s">
        <v>3223</v>
      </c>
      <c r="AB147" t="s">
        <v>3224</v>
      </c>
      <c r="AC147" t="s">
        <v>3225</v>
      </c>
      <c r="AD147" t="s">
        <v>3226</v>
      </c>
      <c r="AE147" t="s">
        <v>3227</v>
      </c>
      <c r="AF147" t="s">
        <v>74</v>
      </c>
      <c r="AG147">
        <v>83</v>
      </c>
      <c r="AH147">
        <v>12</v>
      </c>
      <c r="AI147">
        <v>12</v>
      </c>
      <c r="AJ147">
        <v>5</v>
      </c>
      <c r="AK147">
        <v>33</v>
      </c>
      <c r="AL147" t="s">
        <v>92</v>
      </c>
      <c r="AM147" t="s">
        <v>93</v>
      </c>
      <c r="AN147" t="s">
        <v>94</v>
      </c>
      <c r="AO147" t="s">
        <v>3228</v>
      </c>
      <c r="AP147" t="s">
        <v>74</v>
      </c>
      <c r="AQ147" t="s">
        <v>74</v>
      </c>
      <c r="AR147" t="s">
        <v>3229</v>
      </c>
      <c r="AS147" t="s">
        <v>3230</v>
      </c>
      <c r="AT147" t="s">
        <v>214</v>
      </c>
      <c r="AU147">
        <v>2021</v>
      </c>
      <c r="AV147">
        <v>54</v>
      </c>
      <c r="AW147" t="s">
        <v>74</v>
      </c>
      <c r="AX147" t="s">
        <v>74</v>
      </c>
      <c r="AY147" t="s">
        <v>74</v>
      </c>
      <c r="AZ147" t="s">
        <v>74</v>
      </c>
      <c r="BA147" t="s">
        <v>74</v>
      </c>
      <c r="BB147" t="s">
        <v>74</v>
      </c>
      <c r="BC147" t="s">
        <v>74</v>
      </c>
      <c r="BD147">
        <v>102190</v>
      </c>
      <c r="BE147" t="s">
        <v>3231</v>
      </c>
      <c r="BF147" t="str">
        <f>HYPERLINK("http://dx.doi.org/10.1016/j.algal.2021.102190","http://dx.doi.org/10.1016/j.algal.2021.102190")</f>
        <v>http://dx.doi.org/10.1016/j.algal.2021.102190</v>
      </c>
      <c r="BG147" t="s">
        <v>74</v>
      </c>
      <c r="BH147" t="s">
        <v>101</v>
      </c>
      <c r="BI147">
        <v>14</v>
      </c>
      <c r="BJ147" t="s">
        <v>3232</v>
      </c>
      <c r="BK147" t="s">
        <v>103</v>
      </c>
      <c r="BL147" t="s">
        <v>3232</v>
      </c>
      <c r="BM147" t="s">
        <v>3233</v>
      </c>
      <c r="BN147" t="s">
        <v>74</v>
      </c>
      <c r="BO147" t="s">
        <v>218</v>
      </c>
      <c r="BP147" t="s">
        <v>74</v>
      </c>
      <c r="BQ147" t="s">
        <v>74</v>
      </c>
      <c r="BR147" t="s">
        <v>106</v>
      </c>
      <c r="BS147" t="s">
        <v>3234</v>
      </c>
      <c r="BT147" t="str">
        <f>HYPERLINK("https%3A%2F%2Fwww.webofscience.com%2Fwos%2Fwoscc%2Ffull-record%2FWOS:000632292300006","View Full Record in Web of Science")</f>
        <v>View Full Record in Web of Science</v>
      </c>
    </row>
    <row r="148" spans="1:72" x14ac:dyDescent="0.15">
      <c r="A148" t="s">
        <v>72</v>
      </c>
      <c r="B148" t="s">
        <v>3235</v>
      </c>
      <c r="C148" t="s">
        <v>74</v>
      </c>
      <c r="D148" t="s">
        <v>74</v>
      </c>
      <c r="E148" t="s">
        <v>74</v>
      </c>
      <c r="F148" t="s">
        <v>3236</v>
      </c>
      <c r="G148" t="s">
        <v>74</v>
      </c>
      <c r="H148" t="s">
        <v>74</v>
      </c>
      <c r="I148" t="s">
        <v>3237</v>
      </c>
      <c r="J148" t="s">
        <v>3238</v>
      </c>
      <c r="K148" t="s">
        <v>74</v>
      </c>
      <c r="L148" t="s">
        <v>74</v>
      </c>
      <c r="M148" t="s">
        <v>78</v>
      </c>
      <c r="N148" t="s">
        <v>79</v>
      </c>
      <c r="O148" t="s">
        <v>74</v>
      </c>
      <c r="P148" t="s">
        <v>74</v>
      </c>
      <c r="Q148" t="s">
        <v>74</v>
      </c>
      <c r="R148" t="s">
        <v>74</v>
      </c>
      <c r="S148" t="s">
        <v>74</v>
      </c>
      <c r="T148" t="s">
        <v>3239</v>
      </c>
      <c r="U148" t="s">
        <v>3240</v>
      </c>
      <c r="V148" t="s">
        <v>3241</v>
      </c>
      <c r="W148" t="s">
        <v>3242</v>
      </c>
      <c r="X148" t="s">
        <v>3243</v>
      </c>
      <c r="Y148" t="s">
        <v>3244</v>
      </c>
      <c r="Z148" t="s">
        <v>3245</v>
      </c>
      <c r="AA148" t="s">
        <v>3246</v>
      </c>
      <c r="AB148" t="s">
        <v>3247</v>
      </c>
      <c r="AC148" t="s">
        <v>3248</v>
      </c>
      <c r="AD148" t="s">
        <v>3249</v>
      </c>
      <c r="AE148" t="s">
        <v>3250</v>
      </c>
      <c r="AF148" t="s">
        <v>74</v>
      </c>
      <c r="AG148">
        <v>67</v>
      </c>
      <c r="AH148">
        <v>10</v>
      </c>
      <c r="AI148">
        <v>10</v>
      </c>
      <c r="AJ148">
        <v>0</v>
      </c>
      <c r="AK148">
        <v>3</v>
      </c>
      <c r="AL148" t="s">
        <v>3251</v>
      </c>
      <c r="AM148" t="s">
        <v>3252</v>
      </c>
      <c r="AN148" t="s">
        <v>3253</v>
      </c>
      <c r="AO148" t="s">
        <v>3254</v>
      </c>
      <c r="AP148" t="s">
        <v>3255</v>
      </c>
      <c r="AQ148" t="s">
        <v>74</v>
      </c>
      <c r="AR148" t="s">
        <v>3238</v>
      </c>
      <c r="AS148" t="s">
        <v>3256</v>
      </c>
      <c r="AT148" t="s">
        <v>424</v>
      </c>
      <c r="AU148">
        <v>2021</v>
      </c>
      <c r="AV148">
        <v>356</v>
      </c>
      <c r="AW148" t="s">
        <v>74</v>
      </c>
      <c r="AX148" t="s">
        <v>74</v>
      </c>
      <c r="AY148" t="s">
        <v>74</v>
      </c>
      <c r="AZ148" t="s">
        <v>74</v>
      </c>
      <c r="BA148" t="s">
        <v>74</v>
      </c>
      <c r="BB148" t="s">
        <v>74</v>
      </c>
      <c r="BC148" t="s">
        <v>74</v>
      </c>
      <c r="BD148">
        <v>113572</v>
      </c>
      <c r="BE148" t="s">
        <v>3257</v>
      </c>
      <c r="BF148" t="str">
        <f>HYPERLINK("http://dx.doi.org/10.1016/j.icarus.2019.113572","http://dx.doi.org/10.1016/j.icarus.2019.113572")</f>
        <v>http://dx.doi.org/10.1016/j.icarus.2019.113572</v>
      </c>
      <c r="BG148" t="s">
        <v>74</v>
      </c>
      <c r="BH148" t="s">
        <v>101</v>
      </c>
      <c r="BI148">
        <v>14</v>
      </c>
      <c r="BJ148" t="s">
        <v>3258</v>
      </c>
      <c r="BK148" t="s">
        <v>103</v>
      </c>
      <c r="BL148" t="s">
        <v>3258</v>
      </c>
      <c r="BM148" t="s">
        <v>3259</v>
      </c>
      <c r="BN148" t="s">
        <v>74</v>
      </c>
      <c r="BO148" t="s">
        <v>218</v>
      </c>
      <c r="BP148" t="s">
        <v>74</v>
      </c>
      <c r="BQ148" t="s">
        <v>74</v>
      </c>
      <c r="BR148" t="s">
        <v>106</v>
      </c>
      <c r="BS148" t="s">
        <v>3260</v>
      </c>
      <c r="BT148" t="str">
        <f>HYPERLINK("https%3A%2F%2Fwww.webofscience.com%2Fwos%2Fwoscc%2Ffull-record%2FWOS:000605762200001","View Full Record in Web of Science")</f>
        <v>View Full Record in Web of Science</v>
      </c>
    </row>
    <row r="149" spans="1:72" x14ac:dyDescent="0.15">
      <c r="A149" t="s">
        <v>72</v>
      </c>
      <c r="B149" t="s">
        <v>3261</v>
      </c>
      <c r="C149" t="s">
        <v>74</v>
      </c>
      <c r="D149" t="s">
        <v>74</v>
      </c>
      <c r="E149" t="s">
        <v>74</v>
      </c>
      <c r="F149" t="s">
        <v>3262</v>
      </c>
      <c r="G149" t="s">
        <v>74</v>
      </c>
      <c r="H149" t="s">
        <v>74</v>
      </c>
      <c r="I149" t="s">
        <v>3263</v>
      </c>
      <c r="J149" t="s">
        <v>3264</v>
      </c>
      <c r="K149" t="s">
        <v>74</v>
      </c>
      <c r="L149" t="s">
        <v>74</v>
      </c>
      <c r="M149" t="s">
        <v>78</v>
      </c>
      <c r="N149" t="s">
        <v>79</v>
      </c>
      <c r="O149" t="s">
        <v>74</v>
      </c>
      <c r="P149" t="s">
        <v>74</v>
      </c>
      <c r="Q149" t="s">
        <v>74</v>
      </c>
      <c r="R149" t="s">
        <v>74</v>
      </c>
      <c r="S149" t="s">
        <v>74</v>
      </c>
      <c r="T149" t="s">
        <v>3265</v>
      </c>
      <c r="U149" t="s">
        <v>74</v>
      </c>
      <c r="V149" t="s">
        <v>3266</v>
      </c>
      <c r="W149" t="s">
        <v>3267</v>
      </c>
      <c r="X149" t="s">
        <v>3268</v>
      </c>
      <c r="Y149" t="s">
        <v>3269</v>
      </c>
      <c r="Z149" t="s">
        <v>3270</v>
      </c>
      <c r="AA149" t="s">
        <v>74</v>
      </c>
      <c r="AB149" t="s">
        <v>3271</v>
      </c>
      <c r="AC149" t="s">
        <v>3272</v>
      </c>
      <c r="AD149" t="s">
        <v>3273</v>
      </c>
      <c r="AE149" t="s">
        <v>3274</v>
      </c>
      <c r="AF149" t="s">
        <v>74</v>
      </c>
      <c r="AG149">
        <v>38</v>
      </c>
      <c r="AH149">
        <v>11</v>
      </c>
      <c r="AI149">
        <v>11</v>
      </c>
      <c r="AJ149">
        <v>1</v>
      </c>
      <c r="AK149">
        <v>13</v>
      </c>
      <c r="AL149" t="s">
        <v>802</v>
      </c>
      <c r="AM149" t="s">
        <v>178</v>
      </c>
      <c r="AN149" t="s">
        <v>803</v>
      </c>
      <c r="AO149" t="s">
        <v>3275</v>
      </c>
      <c r="AP149" t="s">
        <v>3276</v>
      </c>
      <c r="AQ149" t="s">
        <v>74</v>
      </c>
      <c r="AR149" t="s">
        <v>3277</v>
      </c>
      <c r="AS149" t="s">
        <v>3278</v>
      </c>
      <c r="AT149" t="s">
        <v>3279</v>
      </c>
      <c r="AU149">
        <v>2021</v>
      </c>
      <c r="AV149">
        <v>43</v>
      </c>
      <c r="AW149">
        <v>1</v>
      </c>
      <c r="AX149" t="s">
        <v>74</v>
      </c>
      <c r="AY149" t="s">
        <v>74</v>
      </c>
      <c r="AZ149" t="s">
        <v>74</v>
      </c>
      <c r="BA149" t="s">
        <v>74</v>
      </c>
      <c r="BB149">
        <v>20</v>
      </c>
      <c r="BC149">
        <v>32</v>
      </c>
      <c r="BD149" t="s">
        <v>74</v>
      </c>
      <c r="BE149" t="s">
        <v>3280</v>
      </c>
      <c r="BF149" t="str">
        <f>HYPERLINK("http://dx.doi.org/10.1093/plankt/fbaa062","http://dx.doi.org/10.1093/plankt/fbaa062")</f>
        <v>http://dx.doi.org/10.1093/plankt/fbaa062</v>
      </c>
      <c r="BG149" t="s">
        <v>74</v>
      </c>
      <c r="BH149" t="s">
        <v>101</v>
      </c>
      <c r="BI149">
        <v>13</v>
      </c>
      <c r="BJ149" t="s">
        <v>3281</v>
      </c>
      <c r="BK149" t="s">
        <v>103</v>
      </c>
      <c r="BL149" t="s">
        <v>3281</v>
      </c>
      <c r="BM149" t="s">
        <v>3282</v>
      </c>
      <c r="BN149" t="s">
        <v>74</v>
      </c>
      <c r="BO149" t="s">
        <v>3283</v>
      </c>
      <c r="BP149" t="s">
        <v>74</v>
      </c>
      <c r="BQ149" t="s">
        <v>74</v>
      </c>
      <c r="BR149" t="s">
        <v>106</v>
      </c>
      <c r="BS149" t="s">
        <v>3284</v>
      </c>
      <c r="BT149" t="str">
        <f>HYPERLINK("https%3A%2F%2Fwww.webofscience.com%2Fwos%2Fwoscc%2Ffull-record%2FWOS:000632702200004","View Full Record in Web of Science")</f>
        <v>View Full Record in Web of Science</v>
      </c>
    </row>
    <row r="150" spans="1:72" x14ac:dyDescent="0.15">
      <c r="A150" t="s">
        <v>72</v>
      </c>
      <c r="B150" t="s">
        <v>3285</v>
      </c>
      <c r="C150" t="s">
        <v>74</v>
      </c>
      <c r="D150" t="s">
        <v>74</v>
      </c>
      <c r="E150" t="s">
        <v>74</v>
      </c>
      <c r="F150" t="s">
        <v>3286</v>
      </c>
      <c r="G150" t="s">
        <v>74</v>
      </c>
      <c r="H150" t="s">
        <v>74</v>
      </c>
      <c r="I150" t="s">
        <v>3287</v>
      </c>
      <c r="J150" t="s">
        <v>77</v>
      </c>
      <c r="K150" t="s">
        <v>74</v>
      </c>
      <c r="L150" t="s">
        <v>74</v>
      </c>
      <c r="M150" t="s">
        <v>78</v>
      </c>
      <c r="N150" t="s">
        <v>79</v>
      </c>
      <c r="O150" t="s">
        <v>74</v>
      </c>
      <c r="P150" t="s">
        <v>74</v>
      </c>
      <c r="Q150" t="s">
        <v>74</v>
      </c>
      <c r="R150" t="s">
        <v>74</v>
      </c>
      <c r="S150" t="s">
        <v>74</v>
      </c>
      <c r="T150" t="s">
        <v>3288</v>
      </c>
      <c r="U150" t="s">
        <v>74</v>
      </c>
      <c r="V150" t="s">
        <v>3289</v>
      </c>
      <c r="W150" t="s">
        <v>3290</v>
      </c>
      <c r="X150" t="s">
        <v>3291</v>
      </c>
      <c r="Y150" t="s">
        <v>3292</v>
      </c>
      <c r="Z150" t="s">
        <v>3293</v>
      </c>
      <c r="AA150" t="s">
        <v>3294</v>
      </c>
      <c r="AB150" t="s">
        <v>3295</v>
      </c>
      <c r="AC150" t="s">
        <v>3296</v>
      </c>
      <c r="AD150" t="s">
        <v>3297</v>
      </c>
      <c r="AE150" t="s">
        <v>3298</v>
      </c>
      <c r="AF150" t="s">
        <v>74</v>
      </c>
      <c r="AG150">
        <v>86</v>
      </c>
      <c r="AH150">
        <v>44</v>
      </c>
      <c r="AI150">
        <v>45</v>
      </c>
      <c r="AJ150">
        <v>4</v>
      </c>
      <c r="AK150">
        <v>43</v>
      </c>
      <c r="AL150" t="s">
        <v>92</v>
      </c>
      <c r="AM150" t="s">
        <v>93</v>
      </c>
      <c r="AN150" t="s">
        <v>94</v>
      </c>
      <c r="AO150" t="s">
        <v>95</v>
      </c>
      <c r="AP150" t="s">
        <v>96</v>
      </c>
      <c r="AQ150" t="s">
        <v>74</v>
      </c>
      <c r="AR150" t="s">
        <v>97</v>
      </c>
      <c r="AS150" t="s">
        <v>98</v>
      </c>
      <c r="AT150" t="s">
        <v>3299</v>
      </c>
      <c r="AU150">
        <v>2021</v>
      </c>
      <c r="AV150">
        <v>766</v>
      </c>
      <c r="AW150" t="s">
        <v>74</v>
      </c>
      <c r="AX150" t="s">
        <v>74</v>
      </c>
      <c r="AY150" t="s">
        <v>74</v>
      </c>
      <c r="AZ150" t="s">
        <v>74</v>
      </c>
      <c r="BA150" t="s">
        <v>74</v>
      </c>
      <c r="BB150" t="s">
        <v>74</v>
      </c>
      <c r="BC150" t="s">
        <v>74</v>
      </c>
      <c r="BD150">
        <v>144383</v>
      </c>
      <c r="BE150" t="s">
        <v>3300</v>
      </c>
      <c r="BF150" t="str">
        <f>HYPERLINK("http://dx.doi.org/10.1016/j.scitotenv.2020.144383","http://dx.doi.org/10.1016/j.scitotenv.2020.144383")</f>
        <v>http://dx.doi.org/10.1016/j.scitotenv.2020.144383</v>
      </c>
      <c r="BG150" t="s">
        <v>74</v>
      </c>
      <c r="BH150" t="s">
        <v>101</v>
      </c>
      <c r="BI150">
        <v>19</v>
      </c>
      <c r="BJ150" t="s">
        <v>102</v>
      </c>
      <c r="BK150" t="s">
        <v>103</v>
      </c>
      <c r="BL150" t="s">
        <v>104</v>
      </c>
      <c r="BM150" t="s">
        <v>3301</v>
      </c>
      <c r="BN150">
        <v>33421787</v>
      </c>
      <c r="BO150" t="s">
        <v>74</v>
      </c>
      <c r="BP150" t="s">
        <v>74</v>
      </c>
      <c r="BQ150" t="s">
        <v>74</v>
      </c>
      <c r="BR150" t="s">
        <v>106</v>
      </c>
      <c r="BS150" t="s">
        <v>3302</v>
      </c>
      <c r="BT150" t="str">
        <f>HYPERLINK("https%3A%2F%2Fwww.webofscience.com%2Fwos%2Fwoscc%2Ffull-record%2FWOS:000617676800091","View Full Record in Web of Science")</f>
        <v>View Full Record in Web of Science</v>
      </c>
    </row>
    <row r="151" spans="1:72" x14ac:dyDescent="0.15">
      <c r="A151" t="s">
        <v>72</v>
      </c>
      <c r="B151" t="s">
        <v>3303</v>
      </c>
      <c r="C151" t="s">
        <v>74</v>
      </c>
      <c r="D151" t="s">
        <v>74</v>
      </c>
      <c r="E151" t="s">
        <v>74</v>
      </c>
      <c r="F151" t="s">
        <v>3304</v>
      </c>
      <c r="G151" t="s">
        <v>74</v>
      </c>
      <c r="H151" t="s">
        <v>74</v>
      </c>
      <c r="I151" t="s">
        <v>3305</v>
      </c>
      <c r="J151" t="s">
        <v>1858</v>
      </c>
      <c r="K151" t="s">
        <v>74</v>
      </c>
      <c r="L151" t="s">
        <v>74</v>
      </c>
      <c r="M151" t="s">
        <v>78</v>
      </c>
      <c r="N151" t="s">
        <v>79</v>
      </c>
      <c r="O151" t="s">
        <v>74</v>
      </c>
      <c r="P151" t="s">
        <v>74</v>
      </c>
      <c r="Q151" t="s">
        <v>74</v>
      </c>
      <c r="R151" t="s">
        <v>74</v>
      </c>
      <c r="S151" t="s">
        <v>74</v>
      </c>
      <c r="T151" t="s">
        <v>3306</v>
      </c>
      <c r="U151" t="s">
        <v>3307</v>
      </c>
      <c r="V151" t="s">
        <v>3308</v>
      </c>
      <c r="W151" t="s">
        <v>3309</v>
      </c>
      <c r="X151" t="s">
        <v>3310</v>
      </c>
      <c r="Y151" t="s">
        <v>3311</v>
      </c>
      <c r="Z151" t="s">
        <v>3312</v>
      </c>
      <c r="AA151" t="s">
        <v>3313</v>
      </c>
      <c r="AB151" t="s">
        <v>3314</v>
      </c>
      <c r="AC151" t="s">
        <v>3315</v>
      </c>
      <c r="AD151" t="s">
        <v>3316</v>
      </c>
      <c r="AE151" t="s">
        <v>3317</v>
      </c>
      <c r="AF151" t="s">
        <v>74</v>
      </c>
      <c r="AG151">
        <v>83</v>
      </c>
      <c r="AH151">
        <v>5</v>
      </c>
      <c r="AI151">
        <v>5</v>
      </c>
      <c r="AJ151">
        <v>0</v>
      </c>
      <c r="AK151">
        <v>20</v>
      </c>
      <c r="AL151" t="s">
        <v>92</v>
      </c>
      <c r="AM151" t="s">
        <v>93</v>
      </c>
      <c r="AN151" t="s">
        <v>94</v>
      </c>
      <c r="AO151" t="s">
        <v>1871</v>
      </c>
      <c r="AP151" t="s">
        <v>1872</v>
      </c>
      <c r="AQ151" t="s">
        <v>74</v>
      </c>
      <c r="AR151" t="s">
        <v>1858</v>
      </c>
      <c r="AS151" t="s">
        <v>1873</v>
      </c>
      <c r="AT151" t="s">
        <v>294</v>
      </c>
      <c r="AU151">
        <v>2021</v>
      </c>
      <c r="AV151">
        <v>534</v>
      </c>
      <c r="AW151" t="s">
        <v>74</v>
      </c>
      <c r="AX151" t="s">
        <v>74</v>
      </c>
      <c r="AY151" t="s">
        <v>74</v>
      </c>
      <c r="AZ151" t="s">
        <v>74</v>
      </c>
      <c r="BA151" t="s">
        <v>74</v>
      </c>
      <c r="BB151" t="s">
        <v>74</v>
      </c>
      <c r="BC151" t="s">
        <v>74</v>
      </c>
      <c r="BD151">
        <v>736331</v>
      </c>
      <c r="BE151" t="s">
        <v>3318</v>
      </c>
      <c r="BF151" t="str">
        <f>HYPERLINK("http://dx.doi.org/10.1016/j.aquaculture.2020.736331","http://dx.doi.org/10.1016/j.aquaculture.2020.736331")</f>
        <v>http://dx.doi.org/10.1016/j.aquaculture.2020.736331</v>
      </c>
      <c r="BG151" t="s">
        <v>74</v>
      </c>
      <c r="BH151" t="s">
        <v>101</v>
      </c>
      <c r="BI151">
        <v>10</v>
      </c>
      <c r="BJ151" t="s">
        <v>584</v>
      </c>
      <c r="BK151" t="s">
        <v>103</v>
      </c>
      <c r="BL151" t="s">
        <v>584</v>
      </c>
      <c r="BM151" t="s">
        <v>3319</v>
      </c>
      <c r="BN151" t="s">
        <v>74</v>
      </c>
      <c r="BO151" t="s">
        <v>74</v>
      </c>
      <c r="BP151" t="s">
        <v>74</v>
      </c>
      <c r="BQ151" t="s">
        <v>74</v>
      </c>
      <c r="BR151" t="s">
        <v>106</v>
      </c>
      <c r="BS151" t="s">
        <v>3320</v>
      </c>
      <c r="BT151" t="str">
        <f>HYPERLINK("https%3A%2F%2Fwww.webofscience.com%2Fwos%2Fwoscc%2Ffull-record%2FWOS:000614762200004","View Full Record in Web of Science")</f>
        <v>View Full Record in Web of Science</v>
      </c>
    </row>
    <row r="152" spans="1:72" x14ac:dyDescent="0.15">
      <c r="A152" t="s">
        <v>72</v>
      </c>
      <c r="B152" t="s">
        <v>3321</v>
      </c>
      <c r="C152" t="s">
        <v>74</v>
      </c>
      <c r="D152" t="s">
        <v>74</v>
      </c>
      <c r="E152" t="s">
        <v>74</v>
      </c>
      <c r="F152" t="s">
        <v>3322</v>
      </c>
      <c r="G152" t="s">
        <v>74</v>
      </c>
      <c r="H152" t="s">
        <v>74</v>
      </c>
      <c r="I152" t="s">
        <v>3323</v>
      </c>
      <c r="J152" t="s">
        <v>487</v>
      </c>
      <c r="K152" t="s">
        <v>74</v>
      </c>
      <c r="L152" t="s">
        <v>74</v>
      </c>
      <c r="M152" t="s">
        <v>78</v>
      </c>
      <c r="N152" t="s">
        <v>79</v>
      </c>
      <c r="O152" t="s">
        <v>74</v>
      </c>
      <c r="P152" t="s">
        <v>74</v>
      </c>
      <c r="Q152" t="s">
        <v>74</v>
      </c>
      <c r="R152" t="s">
        <v>74</v>
      </c>
      <c r="S152" t="s">
        <v>74</v>
      </c>
      <c r="T152" t="s">
        <v>3324</v>
      </c>
      <c r="U152" t="s">
        <v>3325</v>
      </c>
      <c r="V152" t="s">
        <v>3326</v>
      </c>
      <c r="W152" t="s">
        <v>3327</v>
      </c>
      <c r="X152" t="s">
        <v>3328</v>
      </c>
      <c r="Y152" t="s">
        <v>3329</v>
      </c>
      <c r="Z152" t="s">
        <v>3330</v>
      </c>
      <c r="AA152" t="s">
        <v>3331</v>
      </c>
      <c r="AB152" t="s">
        <v>3332</v>
      </c>
      <c r="AC152" t="s">
        <v>3333</v>
      </c>
      <c r="AD152" t="s">
        <v>3333</v>
      </c>
      <c r="AE152" t="s">
        <v>3334</v>
      </c>
      <c r="AF152" t="s">
        <v>74</v>
      </c>
      <c r="AG152">
        <v>97</v>
      </c>
      <c r="AH152">
        <v>11</v>
      </c>
      <c r="AI152">
        <v>11</v>
      </c>
      <c r="AJ152">
        <v>0</v>
      </c>
      <c r="AK152">
        <v>7</v>
      </c>
      <c r="AL152" t="s">
        <v>500</v>
      </c>
      <c r="AM152" t="s">
        <v>501</v>
      </c>
      <c r="AN152" t="s">
        <v>502</v>
      </c>
      <c r="AO152" t="s">
        <v>74</v>
      </c>
      <c r="AP152" t="s">
        <v>503</v>
      </c>
      <c r="AQ152" t="s">
        <v>74</v>
      </c>
      <c r="AR152" t="s">
        <v>504</v>
      </c>
      <c r="AS152" t="s">
        <v>505</v>
      </c>
      <c r="AT152" t="s">
        <v>3335</v>
      </c>
      <c r="AU152">
        <v>2021</v>
      </c>
      <c r="AV152">
        <v>7</v>
      </c>
      <c r="AW152" t="s">
        <v>74</v>
      </c>
      <c r="AX152" t="s">
        <v>74</v>
      </c>
      <c r="AY152" t="s">
        <v>74</v>
      </c>
      <c r="AZ152" t="s">
        <v>74</v>
      </c>
      <c r="BA152" t="s">
        <v>74</v>
      </c>
      <c r="BB152" t="s">
        <v>74</v>
      </c>
      <c r="BC152" t="s">
        <v>74</v>
      </c>
      <c r="BD152">
        <v>575257</v>
      </c>
      <c r="BE152" t="s">
        <v>3336</v>
      </c>
      <c r="BF152" t="str">
        <f>HYPERLINK("http://dx.doi.org/10.3389/fmars.2020.575257","http://dx.doi.org/10.3389/fmars.2020.575257")</f>
        <v>http://dx.doi.org/10.3389/fmars.2020.575257</v>
      </c>
      <c r="BG152" t="s">
        <v>74</v>
      </c>
      <c r="BH152" t="s">
        <v>74</v>
      </c>
      <c r="BI152">
        <v>14</v>
      </c>
      <c r="BJ152" t="s">
        <v>507</v>
      </c>
      <c r="BK152" t="s">
        <v>103</v>
      </c>
      <c r="BL152" t="s">
        <v>508</v>
      </c>
      <c r="BM152" t="s">
        <v>3337</v>
      </c>
      <c r="BN152" t="s">
        <v>74</v>
      </c>
      <c r="BO152" t="s">
        <v>326</v>
      </c>
      <c r="BP152" t="s">
        <v>74</v>
      </c>
      <c r="BQ152" t="s">
        <v>74</v>
      </c>
      <c r="BR152" t="s">
        <v>106</v>
      </c>
      <c r="BS152" t="s">
        <v>3338</v>
      </c>
      <c r="BT152" t="str">
        <f>HYPERLINK("https%3A%2F%2Fwww.webofscience.com%2Fwos%2Fwoscc%2Ffull-record%2FWOS:000609223400001","View Full Record in Web of Science")</f>
        <v>View Full Record in Web of Science</v>
      </c>
    </row>
    <row r="153" spans="1:72" x14ac:dyDescent="0.15">
      <c r="A153" t="s">
        <v>72</v>
      </c>
      <c r="B153" t="s">
        <v>3339</v>
      </c>
      <c r="C153" t="s">
        <v>74</v>
      </c>
      <c r="D153" t="s">
        <v>74</v>
      </c>
      <c r="E153" t="s">
        <v>74</v>
      </c>
      <c r="F153" t="s">
        <v>3340</v>
      </c>
      <c r="G153" t="s">
        <v>74</v>
      </c>
      <c r="H153" t="s">
        <v>74</v>
      </c>
      <c r="I153" t="s">
        <v>3341</v>
      </c>
      <c r="J153" t="s">
        <v>3342</v>
      </c>
      <c r="K153" t="s">
        <v>74</v>
      </c>
      <c r="L153" t="s">
        <v>74</v>
      </c>
      <c r="M153" t="s">
        <v>78</v>
      </c>
      <c r="N153" t="s">
        <v>79</v>
      </c>
      <c r="O153" t="s">
        <v>74</v>
      </c>
      <c r="P153" t="s">
        <v>74</v>
      </c>
      <c r="Q153" t="s">
        <v>74</v>
      </c>
      <c r="R153" t="s">
        <v>74</v>
      </c>
      <c r="S153" t="s">
        <v>74</v>
      </c>
      <c r="T153" t="s">
        <v>3343</v>
      </c>
      <c r="U153" t="s">
        <v>3344</v>
      </c>
      <c r="V153" t="s">
        <v>3345</v>
      </c>
      <c r="W153" t="s">
        <v>3346</v>
      </c>
      <c r="X153" t="s">
        <v>3347</v>
      </c>
      <c r="Y153" t="s">
        <v>3348</v>
      </c>
      <c r="Z153" t="s">
        <v>3349</v>
      </c>
      <c r="AA153" t="s">
        <v>3350</v>
      </c>
      <c r="AB153" t="s">
        <v>3351</v>
      </c>
      <c r="AC153" t="s">
        <v>3352</v>
      </c>
      <c r="AD153" t="s">
        <v>3353</v>
      </c>
      <c r="AE153" t="s">
        <v>3354</v>
      </c>
      <c r="AF153" t="s">
        <v>74</v>
      </c>
      <c r="AG153">
        <v>24</v>
      </c>
      <c r="AH153">
        <v>2</v>
      </c>
      <c r="AI153">
        <v>2</v>
      </c>
      <c r="AJ153">
        <v>2</v>
      </c>
      <c r="AK153">
        <v>18</v>
      </c>
      <c r="AL153" t="s">
        <v>3355</v>
      </c>
      <c r="AM153" t="s">
        <v>3356</v>
      </c>
      <c r="AN153" t="s">
        <v>3357</v>
      </c>
      <c r="AO153" t="s">
        <v>3358</v>
      </c>
      <c r="AP153" t="s">
        <v>3359</v>
      </c>
      <c r="AQ153" t="s">
        <v>74</v>
      </c>
      <c r="AR153" t="s">
        <v>3342</v>
      </c>
      <c r="AS153" t="s">
        <v>3360</v>
      </c>
      <c r="AT153" t="s">
        <v>3335</v>
      </c>
      <c r="AU153">
        <v>2021</v>
      </c>
      <c r="AV153">
        <v>4903</v>
      </c>
      <c r="AW153">
        <v>1</v>
      </c>
      <c r="AX153" t="s">
        <v>74</v>
      </c>
      <c r="AY153" t="s">
        <v>74</v>
      </c>
      <c r="AZ153" t="s">
        <v>74</v>
      </c>
      <c r="BA153" t="s">
        <v>74</v>
      </c>
      <c r="BB153">
        <v>105</v>
      </c>
      <c r="BC153">
        <v>116</v>
      </c>
      <c r="BD153" t="s">
        <v>74</v>
      </c>
      <c r="BE153" t="s">
        <v>3361</v>
      </c>
      <c r="BF153" t="str">
        <f>HYPERLINK("http://dx.doi.org/10.11646/zootaxa.4903.1.6","http://dx.doi.org/10.11646/zootaxa.4903.1.6")</f>
        <v>http://dx.doi.org/10.11646/zootaxa.4903.1.6</v>
      </c>
      <c r="BG153" t="s">
        <v>74</v>
      </c>
      <c r="BH153" t="s">
        <v>74</v>
      </c>
      <c r="BI153">
        <v>12</v>
      </c>
      <c r="BJ153" t="s">
        <v>1028</v>
      </c>
      <c r="BK153" t="s">
        <v>103</v>
      </c>
      <c r="BL153" t="s">
        <v>1028</v>
      </c>
      <c r="BM153" t="s">
        <v>3362</v>
      </c>
      <c r="BN153">
        <v>33757108</v>
      </c>
      <c r="BO153" t="s">
        <v>74</v>
      </c>
      <c r="BP153" t="s">
        <v>74</v>
      </c>
      <c r="BQ153" t="s">
        <v>74</v>
      </c>
      <c r="BR153" t="s">
        <v>106</v>
      </c>
      <c r="BS153" t="s">
        <v>3363</v>
      </c>
      <c r="BT153" t="str">
        <f>HYPERLINK("https%3A%2F%2Fwww.webofscience.com%2Fwos%2Fwoscc%2Ffull-record%2FWOS:000607079000006","View Full Record in Web of Science")</f>
        <v>View Full Record in Web of Science</v>
      </c>
    </row>
    <row r="154" spans="1:72" x14ac:dyDescent="0.15">
      <c r="A154" t="s">
        <v>72</v>
      </c>
      <c r="B154" t="s">
        <v>3364</v>
      </c>
      <c r="C154" t="s">
        <v>74</v>
      </c>
      <c r="D154" t="s">
        <v>74</v>
      </c>
      <c r="E154" t="s">
        <v>74</v>
      </c>
      <c r="F154" t="s">
        <v>3365</v>
      </c>
      <c r="G154" t="s">
        <v>74</v>
      </c>
      <c r="H154" t="s">
        <v>74</v>
      </c>
      <c r="I154" t="s">
        <v>3366</v>
      </c>
      <c r="J154" t="s">
        <v>3367</v>
      </c>
      <c r="K154" t="s">
        <v>74</v>
      </c>
      <c r="L154" t="s">
        <v>74</v>
      </c>
      <c r="M154" t="s">
        <v>78</v>
      </c>
      <c r="N154" t="s">
        <v>79</v>
      </c>
      <c r="O154" t="s">
        <v>74</v>
      </c>
      <c r="P154" t="s">
        <v>74</v>
      </c>
      <c r="Q154" t="s">
        <v>74</v>
      </c>
      <c r="R154" t="s">
        <v>74</v>
      </c>
      <c r="S154" t="s">
        <v>74</v>
      </c>
      <c r="T154" t="s">
        <v>3368</v>
      </c>
      <c r="U154" t="s">
        <v>3369</v>
      </c>
      <c r="V154" t="s">
        <v>3370</v>
      </c>
      <c r="W154" t="s">
        <v>3371</v>
      </c>
      <c r="X154" t="s">
        <v>3372</v>
      </c>
      <c r="Y154" t="s">
        <v>3373</v>
      </c>
      <c r="Z154" t="s">
        <v>3374</v>
      </c>
      <c r="AA154" t="s">
        <v>74</v>
      </c>
      <c r="AB154" t="s">
        <v>3375</v>
      </c>
      <c r="AC154" t="s">
        <v>3376</v>
      </c>
      <c r="AD154" t="s">
        <v>3377</v>
      </c>
      <c r="AE154" t="s">
        <v>3378</v>
      </c>
      <c r="AF154" t="s">
        <v>74</v>
      </c>
      <c r="AG154">
        <v>28</v>
      </c>
      <c r="AH154">
        <v>1</v>
      </c>
      <c r="AI154">
        <v>2</v>
      </c>
      <c r="AJ154">
        <v>0</v>
      </c>
      <c r="AK154">
        <v>7</v>
      </c>
      <c r="AL154" t="s">
        <v>552</v>
      </c>
      <c r="AM154" t="s">
        <v>553</v>
      </c>
      <c r="AN154" t="s">
        <v>554</v>
      </c>
      <c r="AO154" t="s">
        <v>3379</v>
      </c>
      <c r="AP154" t="s">
        <v>3380</v>
      </c>
      <c r="AQ154" t="s">
        <v>74</v>
      </c>
      <c r="AR154" t="s">
        <v>3367</v>
      </c>
      <c r="AS154" t="s">
        <v>3381</v>
      </c>
      <c r="AT154" t="s">
        <v>347</v>
      </c>
      <c r="AU154">
        <v>2022</v>
      </c>
      <c r="AV154">
        <v>78</v>
      </c>
      <c r="AW154">
        <v>1</v>
      </c>
      <c r="AX154" t="s">
        <v>74</v>
      </c>
      <c r="AY154" t="s">
        <v>74</v>
      </c>
      <c r="AZ154" t="s">
        <v>74</v>
      </c>
      <c r="BA154" t="s">
        <v>74</v>
      </c>
      <c r="BB154">
        <v>85</v>
      </c>
      <c r="BC154">
        <v>99</v>
      </c>
      <c r="BD154" t="s">
        <v>74</v>
      </c>
      <c r="BE154" t="s">
        <v>3382</v>
      </c>
      <c r="BF154" t="str">
        <f>HYPERLINK("http://dx.doi.org/10.1111/biom.13416","http://dx.doi.org/10.1111/biom.13416")</f>
        <v>http://dx.doi.org/10.1111/biom.13416</v>
      </c>
      <c r="BG154" t="s">
        <v>74</v>
      </c>
      <c r="BH154" t="s">
        <v>101</v>
      </c>
      <c r="BI154">
        <v>15</v>
      </c>
      <c r="BJ154" t="s">
        <v>3383</v>
      </c>
      <c r="BK154" t="s">
        <v>103</v>
      </c>
      <c r="BL154" t="s">
        <v>3384</v>
      </c>
      <c r="BM154" t="s">
        <v>3385</v>
      </c>
      <c r="BN154">
        <v>33340108</v>
      </c>
      <c r="BO154" t="s">
        <v>1220</v>
      </c>
      <c r="BP154" t="s">
        <v>74</v>
      </c>
      <c r="BQ154" t="s">
        <v>74</v>
      </c>
      <c r="BR154" t="s">
        <v>106</v>
      </c>
      <c r="BS154" t="s">
        <v>3386</v>
      </c>
      <c r="BT154" t="str">
        <f>HYPERLINK("https%3A%2F%2Fwww.webofscience.com%2Fwos%2Fwoscc%2Ffull-record%2FWOS:000605061700001","View Full Record in Web of Science")</f>
        <v>View Full Record in Web of Science</v>
      </c>
    </row>
    <row r="155" spans="1:72" x14ac:dyDescent="0.15">
      <c r="A155" t="s">
        <v>72</v>
      </c>
      <c r="B155" t="s">
        <v>3387</v>
      </c>
      <c r="C155" t="s">
        <v>74</v>
      </c>
      <c r="D155" t="s">
        <v>74</v>
      </c>
      <c r="E155" t="s">
        <v>74</v>
      </c>
      <c r="F155" t="s">
        <v>3388</v>
      </c>
      <c r="G155" t="s">
        <v>74</v>
      </c>
      <c r="H155" t="s">
        <v>74</v>
      </c>
      <c r="I155" t="s">
        <v>3389</v>
      </c>
      <c r="J155" t="s">
        <v>1690</v>
      </c>
      <c r="K155" t="s">
        <v>74</v>
      </c>
      <c r="L155" t="s">
        <v>74</v>
      </c>
      <c r="M155" t="s">
        <v>78</v>
      </c>
      <c r="N155" t="s">
        <v>79</v>
      </c>
      <c r="O155" t="s">
        <v>74</v>
      </c>
      <c r="P155" t="s">
        <v>74</v>
      </c>
      <c r="Q155" t="s">
        <v>74</v>
      </c>
      <c r="R155" t="s">
        <v>74</v>
      </c>
      <c r="S155" t="s">
        <v>74</v>
      </c>
      <c r="T155" t="s">
        <v>3390</v>
      </c>
      <c r="U155" t="s">
        <v>3391</v>
      </c>
      <c r="V155" t="s">
        <v>3392</v>
      </c>
      <c r="W155" t="s">
        <v>3393</v>
      </c>
      <c r="X155" t="s">
        <v>3394</v>
      </c>
      <c r="Y155" t="s">
        <v>3395</v>
      </c>
      <c r="Z155" t="s">
        <v>3396</v>
      </c>
      <c r="AA155" t="s">
        <v>74</v>
      </c>
      <c r="AB155" t="s">
        <v>3397</v>
      </c>
      <c r="AC155" t="s">
        <v>3398</v>
      </c>
      <c r="AD155" t="s">
        <v>2818</v>
      </c>
      <c r="AE155" t="s">
        <v>3399</v>
      </c>
      <c r="AF155" t="s">
        <v>74</v>
      </c>
      <c r="AG155">
        <v>67</v>
      </c>
      <c r="AH155">
        <v>6</v>
      </c>
      <c r="AI155">
        <v>6</v>
      </c>
      <c r="AJ155">
        <v>2</v>
      </c>
      <c r="AK155">
        <v>24</v>
      </c>
      <c r="AL155" t="s">
        <v>207</v>
      </c>
      <c r="AM155" t="s">
        <v>473</v>
      </c>
      <c r="AN155" t="s">
        <v>474</v>
      </c>
      <c r="AO155" t="s">
        <v>1702</v>
      </c>
      <c r="AP155" t="s">
        <v>1703</v>
      </c>
      <c r="AQ155" t="s">
        <v>74</v>
      </c>
      <c r="AR155" t="s">
        <v>1704</v>
      </c>
      <c r="AS155" t="s">
        <v>1705</v>
      </c>
      <c r="AT155" t="s">
        <v>374</v>
      </c>
      <c r="AU155">
        <v>2021</v>
      </c>
      <c r="AV155">
        <v>44</v>
      </c>
      <c r="AW155">
        <v>1</v>
      </c>
      <c r="AX155" t="s">
        <v>74</v>
      </c>
      <c r="AY155" t="s">
        <v>74</v>
      </c>
      <c r="AZ155" t="s">
        <v>74</v>
      </c>
      <c r="BA155" t="s">
        <v>74</v>
      </c>
      <c r="BB155">
        <v>195</v>
      </c>
      <c r="BC155">
        <v>208</v>
      </c>
      <c r="BD155" t="s">
        <v>74</v>
      </c>
      <c r="BE155" t="s">
        <v>3400</v>
      </c>
      <c r="BF155" t="str">
        <f>HYPERLINK("http://dx.doi.org/10.1007/s00300-020-02791-3","http://dx.doi.org/10.1007/s00300-020-02791-3")</f>
        <v>http://dx.doi.org/10.1007/s00300-020-02791-3</v>
      </c>
      <c r="BG155" t="s">
        <v>74</v>
      </c>
      <c r="BH155" t="s">
        <v>101</v>
      </c>
      <c r="BI155">
        <v>14</v>
      </c>
      <c r="BJ155" t="s">
        <v>1052</v>
      </c>
      <c r="BK155" t="s">
        <v>103</v>
      </c>
      <c r="BL155" t="s">
        <v>1053</v>
      </c>
      <c r="BM155" t="s">
        <v>2655</v>
      </c>
      <c r="BN155" t="s">
        <v>74</v>
      </c>
      <c r="BO155" t="s">
        <v>74</v>
      </c>
      <c r="BP155" t="s">
        <v>74</v>
      </c>
      <c r="BQ155" t="s">
        <v>74</v>
      </c>
      <c r="BR155" t="s">
        <v>106</v>
      </c>
      <c r="BS155" t="s">
        <v>3401</v>
      </c>
      <c r="BT155" t="str">
        <f>HYPERLINK("https%3A%2F%2Fwww.webofscience.com%2Fwos%2Fwoscc%2Ffull-record%2FWOS:000605488100001","View Full Record in Web of Science")</f>
        <v>View Full Record in Web of Science</v>
      </c>
    </row>
    <row r="156" spans="1:72" x14ac:dyDescent="0.15">
      <c r="A156" t="s">
        <v>72</v>
      </c>
      <c r="B156" t="s">
        <v>3402</v>
      </c>
      <c r="C156" t="s">
        <v>74</v>
      </c>
      <c r="D156" t="s">
        <v>74</v>
      </c>
      <c r="E156" t="s">
        <v>74</v>
      </c>
      <c r="F156" t="s">
        <v>3403</v>
      </c>
      <c r="G156" t="s">
        <v>74</v>
      </c>
      <c r="H156" t="s">
        <v>74</v>
      </c>
      <c r="I156" t="s">
        <v>3404</v>
      </c>
      <c r="J156" t="s">
        <v>3405</v>
      </c>
      <c r="K156" t="s">
        <v>74</v>
      </c>
      <c r="L156" t="s">
        <v>74</v>
      </c>
      <c r="M156" t="s">
        <v>78</v>
      </c>
      <c r="N156" t="s">
        <v>79</v>
      </c>
      <c r="O156" t="s">
        <v>74</v>
      </c>
      <c r="P156" t="s">
        <v>74</v>
      </c>
      <c r="Q156" t="s">
        <v>74</v>
      </c>
      <c r="R156" t="s">
        <v>74</v>
      </c>
      <c r="S156" t="s">
        <v>74</v>
      </c>
      <c r="T156" t="s">
        <v>74</v>
      </c>
      <c r="U156" t="s">
        <v>3406</v>
      </c>
      <c r="V156" t="s">
        <v>3407</v>
      </c>
      <c r="W156" t="s">
        <v>3408</v>
      </c>
      <c r="X156" t="s">
        <v>3409</v>
      </c>
      <c r="Y156" t="s">
        <v>3410</v>
      </c>
      <c r="Z156" t="s">
        <v>3411</v>
      </c>
      <c r="AA156" t="s">
        <v>3412</v>
      </c>
      <c r="AB156" t="s">
        <v>3413</v>
      </c>
      <c r="AC156" t="s">
        <v>3414</v>
      </c>
      <c r="AD156" t="s">
        <v>3415</v>
      </c>
      <c r="AE156" t="s">
        <v>3416</v>
      </c>
      <c r="AF156" t="s">
        <v>74</v>
      </c>
      <c r="AG156">
        <v>137</v>
      </c>
      <c r="AH156">
        <v>10</v>
      </c>
      <c r="AI156">
        <v>10</v>
      </c>
      <c r="AJ156">
        <v>2</v>
      </c>
      <c r="AK156">
        <v>9</v>
      </c>
      <c r="AL156" t="s">
        <v>123</v>
      </c>
      <c r="AM156" t="s">
        <v>124</v>
      </c>
      <c r="AN156" t="s">
        <v>125</v>
      </c>
      <c r="AO156" t="s">
        <v>3417</v>
      </c>
      <c r="AP156" t="s">
        <v>3418</v>
      </c>
      <c r="AQ156" t="s">
        <v>74</v>
      </c>
      <c r="AR156" t="s">
        <v>3419</v>
      </c>
      <c r="AS156" t="s">
        <v>3420</v>
      </c>
      <c r="AT156" t="s">
        <v>3335</v>
      </c>
      <c r="AU156">
        <v>2021</v>
      </c>
      <c r="AV156">
        <v>14</v>
      </c>
      <c r="AW156">
        <v>1</v>
      </c>
      <c r="AX156" t="s">
        <v>74</v>
      </c>
      <c r="AY156" t="s">
        <v>74</v>
      </c>
      <c r="AZ156" t="s">
        <v>74</v>
      </c>
      <c r="BA156" t="s">
        <v>74</v>
      </c>
      <c r="BB156">
        <v>43</v>
      </c>
      <c r="BC156">
        <v>72</v>
      </c>
      <c r="BD156" t="s">
        <v>74</v>
      </c>
      <c r="BE156" t="s">
        <v>3421</v>
      </c>
      <c r="BF156" t="str">
        <f>HYPERLINK("http://dx.doi.org/10.5194/gmd-14-43-2021","http://dx.doi.org/10.5194/gmd-14-43-2021")</f>
        <v>http://dx.doi.org/10.5194/gmd-14-43-2021</v>
      </c>
      <c r="BG156" t="s">
        <v>74</v>
      </c>
      <c r="BH156" t="s">
        <v>74</v>
      </c>
      <c r="BI156">
        <v>30</v>
      </c>
      <c r="BJ156" t="s">
        <v>401</v>
      </c>
      <c r="BK156" t="s">
        <v>103</v>
      </c>
      <c r="BL156" t="s">
        <v>402</v>
      </c>
      <c r="BM156" t="s">
        <v>3422</v>
      </c>
      <c r="BN156" t="s">
        <v>74</v>
      </c>
      <c r="BO156" t="s">
        <v>159</v>
      </c>
      <c r="BP156" t="s">
        <v>74</v>
      </c>
      <c r="BQ156" t="s">
        <v>74</v>
      </c>
      <c r="BR156" t="s">
        <v>106</v>
      </c>
      <c r="BS156" t="s">
        <v>3423</v>
      </c>
      <c r="BT156" t="str">
        <f>HYPERLINK("https%3A%2F%2Fwww.webofscience.com%2Fwos%2Fwoscc%2Ffull-record%2FWOS:000606810000001","View Full Record in Web of Science")</f>
        <v>View Full Record in Web of Science</v>
      </c>
    </row>
    <row r="157" spans="1:72" x14ac:dyDescent="0.15">
      <c r="A157" t="s">
        <v>72</v>
      </c>
      <c r="B157" t="s">
        <v>3424</v>
      </c>
      <c r="C157" t="s">
        <v>74</v>
      </c>
      <c r="D157" t="s">
        <v>74</v>
      </c>
      <c r="E157" t="s">
        <v>74</v>
      </c>
      <c r="F157" t="s">
        <v>3425</v>
      </c>
      <c r="G157" t="s">
        <v>74</v>
      </c>
      <c r="H157" t="s">
        <v>74</v>
      </c>
      <c r="I157" t="s">
        <v>3426</v>
      </c>
      <c r="J157" t="s">
        <v>3427</v>
      </c>
      <c r="K157" t="s">
        <v>74</v>
      </c>
      <c r="L157" t="s">
        <v>74</v>
      </c>
      <c r="M157" t="s">
        <v>78</v>
      </c>
      <c r="N157" t="s">
        <v>79</v>
      </c>
      <c r="O157" t="s">
        <v>74</v>
      </c>
      <c r="P157" t="s">
        <v>74</v>
      </c>
      <c r="Q157" t="s">
        <v>74</v>
      </c>
      <c r="R157" t="s">
        <v>74</v>
      </c>
      <c r="S157" t="s">
        <v>74</v>
      </c>
      <c r="T157" t="s">
        <v>3428</v>
      </c>
      <c r="U157" t="s">
        <v>3429</v>
      </c>
      <c r="V157" t="s">
        <v>3430</v>
      </c>
      <c r="W157" t="s">
        <v>3431</v>
      </c>
      <c r="X157" t="s">
        <v>3432</v>
      </c>
      <c r="Y157" t="s">
        <v>3433</v>
      </c>
      <c r="Z157" t="s">
        <v>2997</v>
      </c>
      <c r="AA157" t="s">
        <v>3434</v>
      </c>
      <c r="AB157" t="s">
        <v>3435</v>
      </c>
      <c r="AC157" t="s">
        <v>3436</v>
      </c>
      <c r="AD157" t="s">
        <v>3437</v>
      </c>
      <c r="AE157" t="s">
        <v>3438</v>
      </c>
      <c r="AF157" t="s">
        <v>74</v>
      </c>
      <c r="AG157">
        <v>73</v>
      </c>
      <c r="AH157">
        <v>25</v>
      </c>
      <c r="AI157">
        <v>26</v>
      </c>
      <c r="AJ157">
        <v>8</v>
      </c>
      <c r="AK157">
        <v>57</v>
      </c>
      <c r="AL157" t="s">
        <v>207</v>
      </c>
      <c r="AM157" t="s">
        <v>473</v>
      </c>
      <c r="AN157" t="s">
        <v>474</v>
      </c>
      <c r="AO157" t="s">
        <v>3439</v>
      </c>
      <c r="AP157" t="s">
        <v>3440</v>
      </c>
      <c r="AQ157" t="s">
        <v>74</v>
      </c>
      <c r="AR157" t="s">
        <v>3441</v>
      </c>
      <c r="AS157" t="s">
        <v>3442</v>
      </c>
      <c r="AT157" t="s">
        <v>831</v>
      </c>
      <c r="AU157">
        <v>2021</v>
      </c>
      <c r="AV157">
        <v>82</v>
      </c>
      <c r="AW157">
        <v>1</v>
      </c>
      <c r="AX157" t="s">
        <v>74</v>
      </c>
      <c r="AY157" t="s">
        <v>74</v>
      </c>
      <c r="AZ157" t="s">
        <v>582</v>
      </c>
      <c r="BA157" t="s">
        <v>74</v>
      </c>
      <c r="BB157">
        <v>157</v>
      </c>
      <c r="BC157">
        <v>164</v>
      </c>
      <c r="BD157" t="s">
        <v>74</v>
      </c>
      <c r="BE157" t="s">
        <v>3443</v>
      </c>
      <c r="BF157" t="str">
        <f>HYPERLINK("http://dx.doi.org/10.1007/s00248-020-01658-8","http://dx.doi.org/10.1007/s00248-020-01658-8")</f>
        <v>http://dx.doi.org/10.1007/s00248-020-01658-8</v>
      </c>
      <c r="BG157" t="s">
        <v>74</v>
      </c>
      <c r="BH157" t="s">
        <v>101</v>
      </c>
      <c r="BI157">
        <v>8</v>
      </c>
      <c r="BJ157" t="s">
        <v>3444</v>
      </c>
      <c r="BK157" t="s">
        <v>103</v>
      </c>
      <c r="BL157" t="s">
        <v>3445</v>
      </c>
      <c r="BM157" t="s">
        <v>3446</v>
      </c>
      <c r="BN157">
        <v>33404819</v>
      </c>
      <c r="BO157" t="s">
        <v>189</v>
      </c>
      <c r="BP157" t="s">
        <v>74</v>
      </c>
      <c r="BQ157" t="s">
        <v>74</v>
      </c>
      <c r="BR157" t="s">
        <v>106</v>
      </c>
      <c r="BS157" t="s">
        <v>3447</v>
      </c>
      <c r="BT157" t="str">
        <f>HYPERLINK("https%3A%2F%2Fwww.webofscience.com%2Fwos%2Fwoscc%2Ffull-record%2FWOS:000605527400004","View Full Record in Web of Science")</f>
        <v>View Full Record in Web of Science</v>
      </c>
    </row>
    <row r="158" spans="1:72" x14ac:dyDescent="0.15">
      <c r="A158" t="s">
        <v>72</v>
      </c>
      <c r="B158" t="s">
        <v>3448</v>
      </c>
      <c r="C158" t="s">
        <v>74</v>
      </c>
      <c r="D158" t="s">
        <v>74</v>
      </c>
      <c r="E158" t="s">
        <v>74</v>
      </c>
      <c r="F158" t="s">
        <v>3449</v>
      </c>
      <c r="G158" t="s">
        <v>74</v>
      </c>
      <c r="H158" t="s">
        <v>74</v>
      </c>
      <c r="I158" t="s">
        <v>3450</v>
      </c>
      <c r="J158" t="s">
        <v>3451</v>
      </c>
      <c r="K158" t="s">
        <v>74</v>
      </c>
      <c r="L158" t="s">
        <v>74</v>
      </c>
      <c r="M158" t="s">
        <v>78</v>
      </c>
      <c r="N158" t="s">
        <v>79</v>
      </c>
      <c r="O158" t="s">
        <v>74</v>
      </c>
      <c r="P158" t="s">
        <v>74</v>
      </c>
      <c r="Q158" t="s">
        <v>74</v>
      </c>
      <c r="R158" t="s">
        <v>74</v>
      </c>
      <c r="S158" t="s">
        <v>74</v>
      </c>
      <c r="T158" t="s">
        <v>3452</v>
      </c>
      <c r="U158" t="s">
        <v>3453</v>
      </c>
      <c r="V158" t="s">
        <v>3454</v>
      </c>
      <c r="W158" t="s">
        <v>3455</v>
      </c>
      <c r="X158" t="s">
        <v>3456</v>
      </c>
      <c r="Y158" t="s">
        <v>3457</v>
      </c>
      <c r="Z158" t="s">
        <v>3458</v>
      </c>
      <c r="AA158" t="s">
        <v>3459</v>
      </c>
      <c r="AB158" t="s">
        <v>3460</v>
      </c>
      <c r="AC158" t="s">
        <v>3461</v>
      </c>
      <c r="AD158" t="s">
        <v>3462</v>
      </c>
      <c r="AE158" t="s">
        <v>3463</v>
      </c>
      <c r="AF158" t="s">
        <v>74</v>
      </c>
      <c r="AG158">
        <v>69</v>
      </c>
      <c r="AH158">
        <v>21</v>
      </c>
      <c r="AI158">
        <v>23</v>
      </c>
      <c r="AJ158">
        <v>3</v>
      </c>
      <c r="AK158">
        <v>40</v>
      </c>
      <c r="AL158" t="s">
        <v>92</v>
      </c>
      <c r="AM158" t="s">
        <v>93</v>
      </c>
      <c r="AN158" t="s">
        <v>94</v>
      </c>
      <c r="AO158" t="s">
        <v>3464</v>
      </c>
      <c r="AP158" t="s">
        <v>3465</v>
      </c>
      <c r="AQ158" t="s">
        <v>74</v>
      </c>
      <c r="AR158" t="s">
        <v>3466</v>
      </c>
      <c r="AS158" t="s">
        <v>3467</v>
      </c>
      <c r="AT158" t="s">
        <v>184</v>
      </c>
      <c r="AU158">
        <v>2021</v>
      </c>
      <c r="AV158">
        <v>172</v>
      </c>
      <c r="AW158" t="s">
        <v>74</v>
      </c>
      <c r="AX158" t="s">
        <v>74</v>
      </c>
      <c r="AY158" t="s">
        <v>74</v>
      </c>
      <c r="AZ158" t="s">
        <v>74</v>
      </c>
      <c r="BA158" t="s">
        <v>74</v>
      </c>
      <c r="BB158">
        <v>189</v>
      </c>
      <c r="BC158">
        <v>206</v>
      </c>
      <c r="BD158" t="s">
        <v>74</v>
      </c>
      <c r="BE158" t="s">
        <v>3468</v>
      </c>
      <c r="BF158" t="str">
        <f>HYPERLINK("http://dx.doi.org/10.1016/j.isprsjprs.2020.12.006","http://dx.doi.org/10.1016/j.isprsjprs.2020.12.006")</f>
        <v>http://dx.doi.org/10.1016/j.isprsjprs.2020.12.006</v>
      </c>
      <c r="BG158" t="s">
        <v>74</v>
      </c>
      <c r="BH158" t="s">
        <v>101</v>
      </c>
      <c r="BI158">
        <v>18</v>
      </c>
      <c r="BJ158" t="s">
        <v>3469</v>
      </c>
      <c r="BK158" t="s">
        <v>103</v>
      </c>
      <c r="BL158" t="s">
        <v>3470</v>
      </c>
      <c r="BM158" t="s">
        <v>3471</v>
      </c>
      <c r="BN158" t="s">
        <v>74</v>
      </c>
      <c r="BO158" t="s">
        <v>74</v>
      </c>
      <c r="BP158" t="s">
        <v>74</v>
      </c>
      <c r="BQ158" t="s">
        <v>74</v>
      </c>
      <c r="BR158" t="s">
        <v>106</v>
      </c>
      <c r="BS158" t="s">
        <v>3472</v>
      </c>
      <c r="BT158" t="str">
        <f>HYPERLINK("https%3A%2F%2Fwww.webofscience.com%2Fwos%2Fwoscc%2Ffull-record%2FWOS:000610187300013","View Full Record in Web of Science")</f>
        <v>View Full Record in Web of Science</v>
      </c>
    </row>
    <row r="159" spans="1:72" x14ac:dyDescent="0.15">
      <c r="A159" t="s">
        <v>72</v>
      </c>
      <c r="B159" t="s">
        <v>3473</v>
      </c>
      <c r="C159" t="s">
        <v>74</v>
      </c>
      <c r="D159" t="s">
        <v>74</v>
      </c>
      <c r="E159" t="s">
        <v>74</v>
      </c>
      <c r="F159" t="s">
        <v>3474</v>
      </c>
      <c r="G159" t="s">
        <v>74</v>
      </c>
      <c r="H159" t="s">
        <v>74</v>
      </c>
      <c r="I159" t="s">
        <v>3475</v>
      </c>
      <c r="J159" t="s">
        <v>3476</v>
      </c>
      <c r="K159" t="s">
        <v>74</v>
      </c>
      <c r="L159" t="s">
        <v>74</v>
      </c>
      <c r="M159" t="s">
        <v>78</v>
      </c>
      <c r="N159" t="s">
        <v>79</v>
      </c>
      <c r="O159" t="s">
        <v>74</v>
      </c>
      <c r="P159" t="s">
        <v>74</v>
      </c>
      <c r="Q159" t="s">
        <v>74</v>
      </c>
      <c r="R159" t="s">
        <v>74</v>
      </c>
      <c r="S159" t="s">
        <v>74</v>
      </c>
      <c r="T159" t="s">
        <v>74</v>
      </c>
      <c r="U159" t="s">
        <v>3477</v>
      </c>
      <c r="V159" t="s">
        <v>3478</v>
      </c>
      <c r="W159" t="s">
        <v>3479</v>
      </c>
      <c r="X159" t="s">
        <v>3480</v>
      </c>
      <c r="Y159" t="s">
        <v>3481</v>
      </c>
      <c r="Z159" t="s">
        <v>3482</v>
      </c>
      <c r="AA159" t="s">
        <v>3483</v>
      </c>
      <c r="AB159" t="s">
        <v>3484</v>
      </c>
      <c r="AC159" t="s">
        <v>3485</v>
      </c>
      <c r="AD159" t="s">
        <v>2818</v>
      </c>
      <c r="AE159" t="s">
        <v>3486</v>
      </c>
      <c r="AF159" t="s">
        <v>74</v>
      </c>
      <c r="AG159">
        <v>58</v>
      </c>
      <c r="AH159">
        <v>34</v>
      </c>
      <c r="AI159">
        <v>35</v>
      </c>
      <c r="AJ159">
        <v>34</v>
      </c>
      <c r="AK159">
        <v>220</v>
      </c>
      <c r="AL159" t="s">
        <v>628</v>
      </c>
      <c r="AM159" t="s">
        <v>629</v>
      </c>
      <c r="AN159" t="s">
        <v>630</v>
      </c>
      <c r="AO159" t="s">
        <v>3487</v>
      </c>
      <c r="AP159" t="s">
        <v>3488</v>
      </c>
      <c r="AQ159" t="s">
        <v>74</v>
      </c>
      <c r="AR159" t="s">
        <v>3489</v>
      </c>
      <c r="AS159" t="s">
        <v>3490</v>
      </c>
      <c r="AT159" t="s">
        <v>3491</v>
      </c>
      <c r="AU159">
        <v>2021</v>
      </c>
      <c r="AV159">
        <v>55</v>
      </c>
      <c r="AW159">
        <v>1</v>
      </c>
      <c r="AX159" t="s">
        <v>74</v>
      </c>
      <c r="AY159" t="s">
        <v>74</v>
      </c>
      <c r="AZ159" t="s">
        <v>74</v>
      </c>
      <c r="BA159" t="s">
        <v>74</v>
      </c>
      <c r="BB159">
        <v>230</v>
      </c>
      <c r="BC159">
        <v>239</v>
      </c>
      <c r="BD159" t="s">
        <v>74</v>
      </c>
      <c r="BE159" t="s">
        <v>3492</v>
      </c>
      <c r="BF159" t="str">
        <f>HYPERLINK("http://dx.doi.org/10.1021/acs.est.0c05964","http://dx.doi.org/10.1021/acs.est.0c05964")</f>
        <v>http://dx.doi.org/10.1021/acs.est.0c05964</v>
      </c>
      <c r="BG159" t="s">
        <v>74</v>
      </c>
      <c r="BH159" t="s">
        <v>74</v>
      </c>
      <c r="BI159">
        <v>10</v>
      </c>
      <c r="BJ159" t="s">
        <v>2195</v>
      </c>
      <c r="BK159" t="s">
        <v>103</v>
      </c>
      <c r="BL159" t="s">
        <v>2196</v>
      </c>
      <c r="BM159" t="s">
        <v>3493</v>
      </c>
      <c r="BN159">
        <v>33307673</v>
      </c>
      <c r="BO159" t="s">
        <v>74</v>
      </c>
      <c r="BP159" t="s">
        <v>74</v>
      </c>
      <c r="BQ159" t="s">
        <v>74</v>
      </c>
      <c r="BR159" t="s">
        <v>106</v>
      </c>
      <c r="BS159" t="s">
        <v>3494</v>
      </c>
      <c r="BT159" t="str">
        <f>HYPERLINK("https%3A%2F%2Fwww.webofscience.com%2Fwos%2Fwoscc%2Ffull-record%2FWOS:000606821200024","View Full Record in Web of Science")</f>
        <v>View Full Record in Web of Science</v>
      </c>
    </row>
    <row r="160" spans="1:72" x14ac:dyDescent="0.15">
      <c r="A160" t="s">
        <v>72</v>
      </c>
      <c r="B160" t="s">
        <v>3495</v>
      </c>
      <c r="C160" t="s">
        <v>74</v>
      </c>
      <c r="D160" t="s">
        <v>74</v>
      </c>
      <c r="E160" t="s">
        <v>74</v>
      </c>
      <c r="F160" t="s">
        <v>3496</v>
      </c>
      <c r="G160" t="s">
        <v>74</v>
      </c>
      <c r="H160" t="s">
        <v>74</v>
      </c>
      <c r="I160" t="s">
        <v>3497</v>
      </c>
      <c r="J160" t="s">
        <v>1556</v>
      </c>
      <c r="K160" t="s">
        <v>74</v>
      </c>
      <c r="L160" t="s">
        <v>74</v>
      </c>
      <c r="M160" t="s">
        <v>78</v>
      </c>
      <c r="N160" t="s">
        <v>79</v>
      </c>
      <c r="O160" t="s">
        <v>74</v>
      </c>
      <c r="P160" t="s">
        <v>74</v>
      </c>
      <c r="Q160" t="s">
        <v>74</v>
      </c>
      <c r="R160" t="s">
        <v>74</v>
      </c>
      <c r="S160" t="s">
        <v>74</v>
      </c>
      <c r="T160" t="s">
        <v>74</v>
      </c>
      <c r="U160" t="s">
        <v>3498</v>
      </c>
      <c r="V160" t="s">
        <v>3499</v>
      </c>
      <c r="W160" t="s">
        <v>3500</v>
      </c>
      <c r="X160" t="s">
        <v>3501</v>
      </c>
      <c r="Y160" t="s">
        <v>3502</v>
      </c>
      <c r="Z160" t="s">
        <v>3503</v>
      </c>
      <c r="AA160" t="s">
        <v>3504</v>
      </c>
      <c r="AB160" t="s">
        <v>3505</v>
      </c>
      <c r="AC160" t="s">
        <v>3506</v>
      </c>
      <c r="AD160" t="s">
        <v>3507</v>
      </c>
      <c r="AE160" t="s">
        <v>3508</v>
      </c>
      <c r="AF160" t="s">
        <v>74</v>
      </c>
      <c r="AG160">
        <v>96</v>
      </c>
      <c r="AH160">
        <v>13</v>
      </c>
      <c r="AI160">
        <v>13</v>
      </c>
      <c r="AJ160">
        <v>3</v>
      </c>
      <c r="AK160">
        <v>18</v>
      </c>
      <c r="AL160" t="s">
        <v>123</v>
      </c>
      <c r="AM160" t="s">
        <v>124</v>
      </c>
      <c r="AN160" t="s">
        <v>125</v>
      </c>
      <c r="AO160" t="s">
        <v>1565</v>
      </c>
      <c r="AP160" t="s">
        <v>1566</v>
      </c>
      <c r="AQ160" t="s">
        <v>74</v>
      </c>
      <c r="AR160" t="s">
        <v>1567</v>
      </c>
      <c r="AS160" t="s">
        <v>1568</v>
      </c>
      <c r="AT160" t="s">
        <v>3491</v>
      </c>
      <c r="AU160">
        <v>2021</v>
      </c>
      <c r="AV160">
        <v>17</v>
      </c>
      <c r="AW160">
        <v>1</v>
      </c>
      <c r="AX160" t="s">
        <v>74</v>
      </c>
      <c r="AY160" t="s">
        <v>74</v>
      </c>
      <c r="AZ160" t="s">
        <v>74</v>
      </c>
      <c r="BA160" t="s">
        <v>74</v>
      </c>
      <c r="BB160">
        <v>1</v>
      </c>
      <c r="BC160">
        <v>19</v>
      </c>
      <c r="BD160" t="s">
        <v>74</v>
      </c>
      <c r="BE160" t="s">
        <v>3509</v>
      </c>
      <c r="BF160" t="str">
        <f>HYPERLINK("http://dx.doi.org/10.5194/cp-17-1-2021","http://dx.doi.org/10.5194/cp-17-1-2021")</f>
        <v>http://dx.doi.org/10.5194/cp-17-1-2021</v>
      </c>
      <c r="BG160" t="s">
        <v>74</v>
      </c>
      <c r="BH160" t="s">
        <v>74</v>
      </c>
      <c r="BI160">
        <v>19</v>
      </c>
      <c r="BJ160" t="s">
        <v>1570</v>
      </c>
      <c r="BK160" t="s">
        <v>103</v>
      </c>
      <c r="BL160" t="s">
        <v>1571</v>
      </c>
      <c r="BM160" t="s">
        <v>3510</v>
      </c>
      <c r="BN160" t="s">
        <v>74</v>
      </c>
      <c r="BO160" t="s">
        <v>899</v>
      </c>
      <c r="BP160" t="s">
        <v>74</v>
      </c>
      <c r="BQ160" t="s">
        <v>74</v>
      </c>
      <c r="BR160" t="s">
        <v>106</v>
      </c>
      <c r="BS160" t="s">
        <v>3511</v>
      </c>
      <c r="BT160" t="str">
        <f>HYPERLINK("https%3A%2F%2Fwww.webofscience.com%2Fwos%2Fwoscc%2Ffull-record%2FWOS:000606792400001","View Full Record in Web of Science")</f>
        <v>View Full Record in Web of Science</v>
      </c>
    </row>
    <row r="161" spans="1:72" x14ac:dyDescent="0.15">
      <c r="A161" t="s">
        <v>72</v>
      </c>
      <c r="B161" t="s">
        <v>3512</v>
      </c>
      <c r="C161" t="s">
        <v>74</v>
      </c>
      <c r="D161" t="s">
        <v>74</v>
      </c>
      <c r="E161" t="s">
        <v>74</v>
      </c>
      <c r="F161" t="s">
        <v>3513</v>
      </c>
      <c r="G161" t="s">
        <v>74</v>
      </c>
      <c r="H161" t="s">
        <v>74</v>
      </c>
      <c r="I161" t="s">
        <v>3514</v>
      </c>
      <c r="J161" t="s">
        <v>140</v>
      </c>
      <c r="K161" t="s">
        <v>74</v>
      </c>
      <c r="L161" t="s">
        <v>74</v>
      </c>
      <c r="M161" t="s">
        <v>78</v>
      </c>
      <c r="N161" t="s">
        <v>79</v>
      </c>
      <c r="O161" t="s">
        <v>74</v>
      </c>
      <c r="P161" t="s">
        <v>74</v>
      </c>
      <c r="Q161" t="s">
        <v>74</v>
      </c>
      <c r="R161" t="s">
        <v>74</v>
      </c>
      <c r="S161" t="s">
        <v>74</v>
      </c>
      <c r="T161" t="s">
        <v>74</v>
      </c>
      <c r="U161" t="s">
        <v>3515</v>
      </c>
      <c r="V161" t="s">
        <v>3516</v>
      </c>
      <c r="W161" t="s">
        <v>3517</v>
      </c>
      <c r="X161" t="s">
        <v>3518</v>
      </c>
      <c r="Y161" t="s">
        <v>3519</v>
      </c>
      <c r="Z161" t="s">
        <v>3520</v>
      </c>
      <c r="AA161" t="s">
        <v>3521</v>
      </c>
      <c r="AB161" t="s">
        <v>3522</v>
      </c>
      <c r="AC161" t="s">
        <v>3523</v>
      </c>
      <c r="AD161" t="s">
        <v>3524</v>
      </c>
      <c r="AE161" t="s">
        <v>3525</v>
      </c>
      <c r="AF161" t="s">
        <v>74</v>
      </c>
      <c r="AG161">
        <v>68</v>
      </c>
      <c r="AH161">
        <v>10</v>
      </c>
      <c r="AI161">
        <v>12</v>
      </c>
      <c r="AJ161">
        <v>5</v>
      </c>
      <c r="AK161">
        <v>18</v>
      </c>
      <c r="AL161" t="s">
        <v>123</v>
      </c>
      <c r="AM161" t="s">
        <v>124</v>
      </c>
      <c r="AN161" t="s">
        <v>125</v>
      </c>
      <c r="AO161" t="s">
        <v>152</v>
      </c>
      <c r="AP161" t="s">
        <v>153</v>
      </c>
      <c r="AQ161" t="s">
        <v>74</v>
      </c>
      <c r="AR161" t="s">
        <v>140</v>
      </c>
      <c r="AS161" t="s">
        <v>154</v>
      </c>
      <c r="AT161" t="s">
        <v>3491</v>
      </c>
      <c r="AU161">
        <v>2021</v>
      </c>
      <c r="AV161">
        <v>15</v>
      </c>
      <c r="AW161">
        <v>1</v>
      </c>
      <c r="AX161" t="s">
        <v>74</v>
      </c>
      <c r="AY161" t="s">
        <v>74</v>
      </c>
      <c r="AZ161" t="s">
        <v>74</v>
      </c>
      <c r="BA161" t="s">
        <v>74</v>
      </c>
      <c r="BB161">
        <v>31</v>
      </c>
      <c r="BC161">
        <v>47</v>
      </c>
      <c r="BD161" t="s">
        <v>74</v>
      </c>
      <c r="BE161" t="s">
        <v>3526</v>
      </c>
      <c r="BF161" t="str">
        <f>HYPERLINK("http://dx.doi.org/10.5194/tc-15-31-2021","http://dx.doi.org/10.5194/tc-15-31-2021")</f>
        <v>http://dx.doi.org/10.5194/tc-15-31-2021</v>
      </c>
      <c r="BG161" t="s">
        <v>74</v>
      </c>
      <c r="BH161" t="s">
        <v>74</v>
      </c>
      <c r="BI161">
        <v>17</v>
      </c>
      <c r="BJ161" t="s">
        <v>156</v>
      </c>
      <c r="BK161" t="s">
        <v>103</v>
      </c>
      <c r="BL161" t="s">
        <v>157</v>
      </c>
      <c r="BM161" t="s">
        <v>3527</v>
      </c>
      <c r="BN161" t="s">
        <v>74</v>
      </c>
      <c r="BO161" t="s">
        <v>159</v>
      </c>
      <c r="BP161" t="s">
        <v>74</v>
      </c>
      <c r="BQ161" t="s">
        <v>74</v>
      </c>
      <c r="BR161" t="s">
        <v>106</v>
      </c>
      <c r="BS161" t="s">
        <v>3528</v>
      </c>
      <c r="BT161" t="str">
        <f>HYPERLINK("https%3A%2F%2Fwww.webofscience.com%2Fwos%2Fwoscc%2Ffull-record%2FWOS:000606793200001","View Full Record in Web of Science")</f>
        <v>View Full Record in Web of Science</v>
      </c>
    </row>
    <row r="162" spans="1:72" x14ac:dyDescent="0.15">
      <c r="A162" t="s">
        <v>72</v>
      </c>
      <c r="B162" t="s">
        <v>3529</v>
      </c>
      <c r="C162" t="s">
        <v>74</v>
      </c>
      <c r="D162" t="s">
        <v>74</v>
      </c>
      <c r="E162" t="s">
        <v>74</v>
      </c>
      <c r="F162" t="s">
        <v>3530</v>
      </c>
      <c r="G162" t="s">
        <v>74</v>
      </c>
      <c r="H162" t="s">
        <v>74</v>
      </c>
      <c r="I162" t="s">
        <v>3531</v>
      </c>
      <c r="J162" t="s">
        <v>77</v>
      </c>
      <c r="K162" t="s">
        <v>74</v>
      </c>
      <c r="L162" t="s">
        <v>74</v>
      </c>
      <c r="M162" t="s">
        <v>78</v>
      </c>
      <c r="N162" t="s">
        <v>79</v>
      </c>
      <c r="O162" t="s">
        <v>74</v>
      </c>
      <c r="P162" t="s">
        <v>74</v>
      </c>
      <c r="Q162" t="s">
        <v>74</v>
      </c>
      <c r="R162" t="s">
        <v>74</v>
      </c>
      <c r="S162" t="s">
        <v>74</v>
      </c>
      <c r="T162" t="s">
        <v>3532</v>
      </c>
      <c r="U162" t="s">
        <v>3533</v>
      </c>
      <c r="V162" t="s">
        <v>3534</v>
      </c>
      <c r="W162" t="s">
        <v>3535</v>
      </c>
      <c r="X162" t="s">
        <v>3536</v>
      </c>
      <c r="Y162" t="s">
        <v>3537</v>
      </c>
      <c r="Z162" t="s">
        <v>3538</v>
      </c>
      <c r="AA162" t="s">
        <v>3539</v>
      </c>
      <c r="AB162" t="s">
        <v>3540</v>
      </c>
      <c r="AC162" t="s">
        <v>3541</v>
      </c>
      <c r="AD162" t="s">
        <v>3542</v>
      </c>
      <c r="AE162" t="s">
        <v>3543</v>
      </c>
      <c r="AF162" t="s">
        <v>74</v>
      </c>
      <c r="AG162">
        <v>70</v>
      </c>
      <c r="AH162">
        <v>8</v>
      </c>
      <c r="AI162">
        <v>8</v>
      </c>
      <c r="AJ162">
        <v>4</v>
      </c>
      <c r="AK162">
        <v>44</v>
      </c>
      <c r="AL162" t="s">
        <v>92</v>
      </c>
      <c r="AM162" t="s">
        <v>93</v>
      </c>
      <c r="AN162" t="s">
        <v>94</v>
      </c>
      <c r="AO162" t="s">
        <v>95</v>
      </c>
      <c r="AP162" t="s">
        <v>96</v>
      </c>
      <c r="AQ162" t="s">
        <v>74</v>
      </c>
      <c r="AR162" t="s">
        <v>97</v>
      </c>
      <c r="AS162" t="s">
        <v>98</v>
      </c>
      <c r="AT162" t="s">
        <v>424</v>
      </c>
      <c r="AU162">
        <v>2021</v>
      </c>
      <c r="AV162">
        <v>758</v>
      </c>
      <c r="AW162" t="s">
        <v>74</v>
      </c>
      <c r="AX162" t="s">
        <v>74</v>
      </c>
      <c r="AY162" t="s">
        <v>74</v>
      </c>
      <c r="AZ162" t="s">
        <v>74</v>
      </c>
      <c r="BA162" t="s">
        <v>74</v>
      </c>
      <c r="BB162" t="s">
        <v>74</v>
      </c>
      <c r="BC162" t="s">
        <v>74</v>
      </c>
      <c r="BD162">
        <v>143586</v>
      </c>
      <c r="BE162" t="s">
        <v>3544</v>
      </c>
      <c r="BF162" t="str">
        <f>HYPERLINK("http://dx.doi.org/10.1016/j.scitotenv.2020.143586","http://dx.doi.org/10.1016/j.scitotenv.2020.143586")</f>
        <v>http://dx.doi.org/10.1016/j.scitotenv.2020.143586</v>
      </c>
      <c r="BG162" t="s">
        <v>74</v>
      </c>
      <c r="BH162" t="s">
        <v>101</v>
      </c>
      <c r="BI162">
        <v>8</v>
      </c>
      <c r="BJ162" t="s">
        <v>102</v>
      </c>
      <c r="BK162" t="s">
        <v>103</v>
      </c>
      <c r="BL162" t="s">
        <v>104</v>
      </c>
      <c r="BM162" t="s">
        <v>3545</v>
      </c>
      <c r="BN162">
        <v>33218800</v>
      </c>
      <c r="BO162" t="s">
        <v>218</v>
      </c>
      <c r="BP162" t="s">
        <v>74</v>
      </c>
      <c r="BQ162" t="s">
        <v>74</v>
      </c>
      <c r="BR162" t="s">
        <v>106</v>
      </c>
      <c r="BS162" t="s">
        <v>3546</v>
      </c>
      <c r="BT162" t="str">
        <f>HYPERLINK("https%3A%2F%2Fwww.webofscience.com%2Fwos%2Fwoscc%2Ffull-record%2FWOS:000605623800012","View Full Record in Web of Science")</f>
        <v>View Full Record in Web of Science</v>
      </c>
    </row>
    <row r="163" spans="1:72" x14ac:dyDescent="0.15">
      <c r="A163" t="s">
        <v>72</v>
      </c>
      <c r="B163" t="s">
        <v>3547</v>
      </c>
      <c r="C163" t="s">
        <v>74</v>
      </c>
      <c r="D163" t="s">
        <v>74</v>
      </c>
      <c r="E163" t="s">
        <v>74</v>
      </c>
      <c r="F163" t="s">
        <v>3548</v>
      </c>
      <c r="G163" t="s">
        <v>74</v>
      </c>
      <c r="H163" t="s">
        <v>74</v>
      </c>
      <c r="I163" t="s">
        <v>3549</v>
      </c>
      <c r="J163" t="s">
        <v>1690</v>
      </c>
      <c r="K163" t="s">
        <v>74</v>
      </c>
      <c r="L163" t="s">
        <v>74</v>
      </c>
      <c r="M163" t="s">
        <v>78</v>
      </c>
      <c r="N163" t="s">
        <v>79</v>
      </c>
      <c r="O163" t="s">
        <v>74</v>
      </c>
      <c r="P163" t="s">
        <v>74</v>
      </c>
      <c r="Q163" t="s">
        <v>74</v>
      </c>
      <c r="R163" t="s">
        <v>74</v>
      </c>
      <c r="S163" t="s">
        <v>74</v>
      </c>
      <c r="T163" t="s">
        <v>3550</v>
      </c>
      <c r="U163" t="s">
        <v>3551</v>
      </c>
      <c r="V163" t="s">
        <v>3552</v>
      </c>
      <c r="W163" t="s">
        <v>3553</v>
      </c>
      <c r="X163" t="s">
        <v>3554</v>
      </c>
      <c r="Y163" t="s">
        <v>3555</v>
      </c>
      <c r="Z163" t="s">
        <v>3556</v>
      </c>
      <c r="AA163" t="s">
        <v>3557</v>
      </c>
      <c r="AB163" t="s">
        <v>3558</v>
      </c>
      <c r="AC163" t="s">
        <v>3559</v>
      </c>
      <c r="AD163" t="s">
        <v>3560</v>
      </c>
      <c r="AE163" t="s">
        <v>3561</v>
      </c>
      <c r="AF163" t="s">
        <v>74</v>
      </c>
      <c r="AG163">
        <v>71</v>
      </c>
      <c r="AH163">
        <v>5</v>
      </c>
      <c r="AI163">
        <v>5</v>
      </c>
      <c r="AJ163">
        <v>2</v>
      </c>
      <c r="AK163">
        <v>23</v>
      </c>
      <c r="AL163" t="s">
        <v>207</v>
      </c>
      <c r="AM163" t="s">
        <v>473</v>
      </c>
      <c r="AN163" t="s">
        <v>474</v>
      </c>
      <c r="AO163" t="s">
        <v>1702</v>
      </c>
      <c r="AP163" t="s">
        <v>1703</v>
      </c>
      <c r="AQ163" t="s">
        <v>74</v>
      </c>
      <c r="AR163" t="s">
        <v>1704</v>
      </c>
      <c r="AS163" t="s">
        <v>1705</v>
      </c>
      <c r="AT163" t="s">
        <v>184</v>
      </c>
      <c r="AU163">
        <v>2021</v>
      </c>
      <c r="AV163">
        <v>44</v>
      </c>
      <c r="AW163">
        <v>2</v>
      </c>
      <c r="AX163" t="s">
        <v>74</v>
      </c>
      <c r="AY163" t="s">
        <v>74</v>
      </c>
      <c r="AZ163" t="s">
        <v>74</v>
      </c>
      <c r="BA163" t="s">
        <v>74</v>
      </c>
      <c r="BB163">
        <v>275</v>
      </c>
      <c r="BC163">
        <v>287</v>
      </c>
      <c r="BD163" t="s">
        <v>74</v>
      </c>
      <c r="BE163" t="s">
        <v>3562</v>
      </c>
      <c r="BF163" t="str">
        <f>HYPERLINK("http://dx.doi.org/10.1007/s00300-020-02785-1","http://dx.doi.org/10.1007/s00300-020-02785-1")</f>
        <v>http://dx.doi.org/10.1007/s00300-020-02785-1</v>
      </c>
      <c r="BG163" t="s">
        <v>74</v>
      </c>
      <c r="BH163" t="s">
        <v>101</v>
      </c>
      <c r="BI163">
        <v>13</v>
      </c>
      <c r="BJ163" t="s">
        <v>1052</v>
      </c>
      <c r="BK163" t="s">
        <v>103</v>
      </c>
      <c r="BL163" t="s">
        <v>1053</v>
      </c>
      <c r="BM163" t="s">
        <v>1707</v>
      </c>
      <c r="BN163" t="s">
        <v>74</v>
      </c>
      <c r="BO163" t="s">
        <v>1708</v>
      </c>
      <c r="BP163" t="s">
        <v>74</v>
      </c>
      <c r="BQ163" t="s">
        <v>74</v>
      </c>
      <c r="BR163" t="s">
        <v>106</v>
      </c>
      <c r="BS163" t="s">
        <v>3563</v>
      </c>
      <c r="BT163" t="str">
        <f>HYPERLINK("https%3A%2F%2Fwww.webofscience.com%2Fwos%2Fwoscc%2Ffull-record%2FWOS:000605101600001","View Full Record in Web of Science")</f>
        <v>View Full Record in Web of Science</v>
      </c>
    </row>
    <row r="164" spans="1:72" x14ac:dyDescent="0.15">
      <c r="A164" t="s">
        <v>72</v>
      </c>
      <c r="B164" t="s">
        <v>3564</v>
      </c>
      <c r="C164" t="s">
        <v>74</v>
      </c>
      <c r="D164" t="s">
        <v>74</v>
      </c>
      <c r="E164" t="s">
        <v>74</v>
      </c>
      <c r="F164" t="s">
        <v>3565</v>
      </c>
      <c r="G164" t="s">
        <v>74</v>
      </c>
      <c r="H164" t="s">
        <v>74</v>
      </c>
      <c r="I164" t="s">
        <v>3566</v>
      </c>
      <c r="J164" t="s">
        <v>3567</v>
      </c>
      <c r="K164" t="s">
        <v>74</v>
      </c>
      <c r="L164" t="s">
        <v>74</v>
      </c>
      <c r="M164" t="s">
        <v>78</v>
      </c>
      <c r="N164" t="s">
        <v>79</v>
      </c>
      <c r="O164" t="s">
        <v>74</v>
      </c>
      <c r="P164" t="s">
        <v>74</v>
      </c>
      <c r="Q164" t="s">
        <v>74</v>
      </c>
      <c r="R164" t="s">
        <v>74</v>
      </c>
      <c r="S164" t="s">
        <v>74</v>
      </c>
      <c r="T164" t="s">
        <v>3568</v>
      </c>
      <c r="U164" t="s">
        <v>3569</v>
      </c>
      <c r="V164" t="s">
        <v>3570</v>
      </c>
      <c r="W164" t="s">
        <v>3571</v>
      </c>
      <c r="X164" t="s">
        <v>3572</v>
      </c>
      <c r="Y164" t="s">
        <v>3573</v>
      </c>
      <c r="Z164" t="s">
        <v>3574</v>
      </c>
      <c r="AA164" t="s">
        <v>3575</v>
      </c>
      <c r="AB164" t="s">
        <v>3576</v>
      </c>
      <c r="AC164" t="s">
        <v>74</v>
      </c>
      <c r="AD164" t="s">
        <v>74</v>
      </c>
      <c r="AE164" t="s">
        <v>74</v>
      </c>
      <c r="AF164" t="s">
        <v>74</v>
      </c>
      <c r="AG164">
        <v>65</v>
      </c>
      <c r="AH164">
        <v>10</v>
      </c>
      <c r="AI164">
        <v>11</v>
      </c>
      <c r="AJ164">
        <v>3</v>
      </c>
      <c r="AK164">
        <v>11</v>
      </c>
      <c r="AL164" t="s">
        <v>207</v>
      </c>
      <c r="AM164" t="s">
        <v>208</v>
      </c>
      <c r="AN164" t="s">
        <v>209</v>
      </c>
      <c r="AO164" t="s">
        <v>3577</v>
      </c>
      <c r="AP164" t="s">
        <v>3578</v>
      </c>
      <c r="AQ164" t="s">
        <v>74</v>
      </c>
      <c r="AR164" t="s">
        <v>3567</v>
      </c>
      <c r="AS164" t="s">
        <v>3579</v>
      </c>
      <c r="AT164" t="s">
        <v>347</v>
      </c>
      <c r="AU164">
        <v>2021</v>
      </c>
      <c r="AV164">
        <v>83</v>
      </c>
      <c r="AW164">
        <v>2</v>
      </c>
      <c r="AX164" t="s">
        <v>74</v>
      </c>
      <c r="AY164" t="s">
        <v>74</v>
      </c>
      <c r="AZ164" t="s">
        <v>74</v>
      </c>
      <c r="BA164" t="s">
        <v>74</v>
      </c>
      <c r="BB164">
        <v>163</v>
      </c>
      <c r="BC164">
        <v>172</v>
      </c>
      <c r="BD164" t="s">
        <v>74</v>
      </c>
      <c r="BE164" t="s">
        <v>3580</v>
      </c>
      <c r="BF164" t="str">
        <f>HYPERLINK("http://dx.doi.org/10.1007/s13199-020-00743-3","http://dx.doi.org/10.1007/s13199-020-00743-3")</f>
        <v>http://dx.doi.org/10.1007/s13199-020-00743-3</v>
      </c>
      <c r="BG164" t="s">
        <v>74</v>
      </c>
      <c r="BH164" t="s">
        <v>101</v>
      </c>
      <c r="BI164">
        <v>10</v>
      </c>
      <c r="BJ164" t="s">
        <v>3581</v>
      </c>
      <c r="BK164" t="s">
        <v>103</v>
      </c>
      <c r="BL164" t="s">
        <v>3581</v>
      </c>
      <c r="BM164" t="s">
        <v>3582</v>
      </c>
      <c r="BN164" t="s">
        <v>74</v>
      </c>
      <c r="BO164" t="s">
        <v>74</v>
      </c>
      <c r="BP164" t="s">
        <v>74</v>
      </c>
      <c r="BQ164" t="s">
        <v>74</v>
      </c>
      <c r="BR164" t="s">
        <v>106</v>
      </c>
      <c r="BS164" t="s">
        <v>3583</v>
      </c>
      <c r="BT164" t="str">
        <f>HYPERLINK("https%3A%2F%2Fwww.webofscience.com%2Fwos%2Fwoscc%2Ffull-record%2FWOS:000605115000001","View Full Record in Web of Science")</f>
        <v>View Full Record in Web of Science</v>
      </c>
    </row>
    <row r="165" spans="1:72" x14ac:dyDescent="0.15">
      <c r="A165" t="s">
        <v>72</v>
      </c>
      <c r="B165" t="s">
        <v>3584</v>
      </c>
      <c r="C165" t="s">
        <v>74</v>
      </c>
      <c r="D165" t="s">
        <v>74</v>
      </c>
      <c r="E165" t="s">
        <v>74</v>
      </c>
      <c r="F165" t="s">
        <v>3585</v>
      </c>
      <c r="G165" t="s">
        <v>74</v>
      </c>
      <c r="H165" t="s">
        <v>74</v>
      </c>
      <c r="I165" t="s">
        <v>3586</v>
      </c>
      <c r="J165" t="s">
        <v>1446</v>
      </c>
      <c r="K165" t="s">
        <v>74</v>
      </c>
      <c r="L165" t="s">
        <v>74</v>
      </c>
      <c r="M165" t="s">
        <v>78</v>
      </c>
      <c r="N165" t="s">
        <v>79</v>
      </c>
      <c r="O165" t="s">
        <v>74</v>
      </c>
      <c r="P165" t="s">
        <v>74</v>
      </c>
      <c r="Q165" t="s">
        <v>74</v>
      </c>
      <c r="R165" t="s">
        <v>74</v>
      </c>
      <c r="S165" t="s">
        <v>74</v>
      </c>
      <c r="T165" t="s">
        <v>3587</v>
      </c>
      <c r="U165" t="s">
        <v>3588</v>
      </c>
      <c r="V165" t="s">
        <v>3589</v>
      </c>
      <c r="W165" t="s">
        <v>3590</v>
      </c>
      <c r="X165" t="s">
        <v>3591</v>
      </c>
      <c r="Y165" t="s">
        <v>3592</v>
      </c>
      <c r="Z165" t="s">
        <v>3593</v>
      </c>
      <c r="AA165" t="s">
        <v>3594</v>
      </c>
      <c r="AB165" t="s">
        <v>3595</v>
      </c>
      <c r="AC165" t="s">
        <v>74</v>
      </c>
      <c r="AD165" t="s">
        <v>74</v>
      </c>
      <c r="AE165" t="s">
        <v>74</v>
      </c>
      <c r="AF165" t="s">
        <v>74</v>
      </c>
      <c r="AG165">
        <v>89</v>
      </c>
      <c r="AH165">
        <v>28</v>
      </c>
      <c r="AI165">
        <v>28</v>
      </c>
      <c r="AJ165">
        <v>4</v>
      </c>
      <c r="AK165">
        <v>58</v>
      </c>
      <c r="AL165" t="s">
        <v>552</v>
      </c>
      <c r="AM165" t="s">
        <v>553</v>
      </c>
      <c r="AN165" t="s">
        <v>554</v>
      </c>
      <c r="AO165" t="s">
        <v>1459</v>
      </c>
      <c r="AP165" t="s">
        <v>1460</v>
      </c>
      <c r="AQ165" t="s">
        <v>74</v>
      </c>
      <c r="AR165" t="s">
        <v>1461</v>
      </c>
      <c r="AS165" t="s">
        <v>1462</v>
      </c>
      <c r="AT165" t="s">
        <v>347</v>
      </c>
      <c r="AU165">
        <v>2021</v>
      </c>
      <c r="AV165">
        <v>27</v>
      </c>
      <c r="AW165">
        <v>6</v>
      </c>
      <c r="AX165" t="s">
        <v>74</v>
      </c>
      <c r="AY165" t="s">
        <v>74</v>
      </c>
      <c r="AZ165" t="s">
        <v>74</v>
      </c>
      <c r="BA165" t="s">
        <v>74</v>
      </c>
      <c r="BB165">
        <v>1196</v>
      </c>
      <c r="BC165">
        <v>1213</v>
      </c>
      <c r="BD165" t="s">
        <v>74</v>
      </c>
      <c r="BE165" t="s">
        <v>3596</v>
      </c>
      <c r="BF165" t="str">
        <f>HYPERLINK("http://dx.doi.org/10.1111/gcb.15493","http://dx.doi.org/10.1111/gcb.15493")</f>
        <v>http://dx.doi.org/10.1111/gcb.15493</v>
      </c>
      <c r="BG165" t="s">
        <v>74</v>
      </c>
      <c r="BH165" t="s">
        <v>101</v>
      </c>
      <c r="BI165">
        <v>18</v>
      </c>
      <c r="BJ165" t="s">
        <v>1272</v>
      </c>
      <c r="BK165" t="s">
        <v>103</v>
      </c>
      <c r="BL165" t="s">
        <v>1053</v>
      </c>
      <c r="BM165" t="s">
        <v>3597</v>
      </c>
      <c r="BN165">
        <v>33342048</v>
      </c>
      <c r="BO165" t="s">
        <v>352</v>
      </c>
      <c r="BP165" t="s">
        <v>74</v>
      </c>
      <c r="BQ165" t="s">
        <v>74</v>
      </c>
      <c r="BR165" t="s">
        <v>106</v>
      </c>
      <c r="BS165" t="s">
        <v>3598</v>
      </c>
      <c r="BT165" t="str">
        <f>HYPERLINK("https%3A%2F%2Fwww.webofscience.com%2Fwos%2Fwoscc%2Ffull-record%2FWOS:000604727600001","View Full Record in Web of Science")</f>
        <v>View Full Record in Web of Science</v>
      </c>
    </row>
    <row r="166" spans="1:72" x14ac:dyDescent="0.15">
      <c r="A166" t="s">
        <v>72</v>
      </c>
      <c r="B166" t="s">
        <v>3599</v>
      </c>
      <c r="C166" t="s">
        <v>74</v>
      </c>
      <c r="D166" t="s">
        <v>74</v>
      </c>
      <c r="E166" t="s">
        <v>74</v>
      </c>
      <c r="F166" t="s">
        <v>3600</v>
      </c>
      <c r="G166" t="s">
        <v>74</v>
      </c>
      <c r="H166" t="s">
        <v>74</v>
      </c>
      <c r="I166" t="s">
        <v>3601</v>
      </c>
      <c r="J166" t="s">
        <v>3602</v>
      </c>
      <c r="K166" t="s">
        <v>74</v>
      </c>
      <c r="L166" t="s">
        <v>74</v>
      </c>
      <c r="M166" t="s">
        <v>78</v>
      </c>
      <c r="N166" t="s">
        <v>79</v>
      </c>
      <c r="O166" t="s">
        <v>74</v>
      </c>
      <c r="P166" t="s">
        <v>74</v>
      </c>
      <c r="Q166" t="s">
        <v>74</v>
      </c>
      <c r="R166" t="s">
        <v>74</v>
      </c>
      <c r="S166" t="s">
        <v>74</v>
      </c>
      <c r="T166" t="s">
        <v>74</v>
      </c>
      <c r="U166" t="s">
        <v>3603</v>
      </c>
      <c r="V166" t="s">
        <v>3604</v>
      </c>
      <c r="W166" t="s">
        <v>3605</v>
      </c>
      <c r="X166" t="s">
        <v>3606</v>
      </c>
      <c r="Y166" t="s">
        <v>3607</v>
      </c>
      <c r="Z166" t="s">
        <v>3608</v>
      </c>
      <c r="AA166" t="s">
        <v>3609</v>
      </c>
      <c r="AB166" t="s">
        <v>3610</v>
      </c>
      <c r="AC166" t="s">
        <v>3611</v>
      </c>
      <c r="AD166" t="s">
        <v>3612</v>
      </c>
      <c r="AE166" t="s">
        <v>3613</v>
      </c>
      <c r="AF166" t="s">
        <v>74</v>
      </c>
      <c r="AG166">
        <v>45</v>
      </c>
      <c r="AH166">
        <v>21</v>
      </c>
      <c r="AI166">
        <v>21</v>
      </c>
      <c r="AJ166">
        <v>1</v>
      </c>
      <c r="AK166">
        <v>9</v>
      </c>
      <c r="AL166" t="s">
        <v>123</v>
      </c>
      <c r="AM166" t="s">
        <v>124</v>
      </c>
      <c r="AN166" t="s">
        <v>125</v>
      </c>
      <c r="AO166" t="s">
        <v>3614</v>
      </c>
      <c r="AP166" t="s">
        <v>3615</v>
      </c>
      <c r="AQ166" t="s">
        <v>74</v>
      </c>
      <c r="AR166" t="s">
        <v>3616</v>
      </c>
      <c r="AS166" t="s">
        <v>3617</v>
      </c>
      <c r="AT166" t="s">
        <v>3491</v>
      </c>
      <c r="AU166">
        <v>2021</v>
      </c>
      <c r="AV166">
        <v>14</v>
      </c>
      <c r="AW166">
        <v>1</v>
      </c>
      <c r="AX166" t="s">
        <v>74</v>
      </c>
      <c r="AY166" t="s">
        <v>74</v>
      </c>
      <c r="AZ166" t="s">
        <v>74</v>
      </c>
      <c r="BA166" t="s">
        <v>74</v>
      </c>
      <c r="BB166">
        <v>71</v>
      </c>
      <c r="BC166">
        <v>88</v>
      </c>
      <c r="BD166" t="s">
        <v>74</v>
      </c>
      <c r="BE166" t="s">
        <v>3618</v>
      </c>
      <c r="BF166" t="str">
        <f>HYPERLINK("http://dx.doi.org/10.5194/amt-14-71-2021","http://dx.doi.org/10.5194/amt-14-71-2021")</f>
        <v>http://dx.doi.org/10.5194/amt-14-71-2021</v>
      </c>
      <c r="BG166" t="s">
        <v>74</v>
      </c>
      <c r="BH166" t="s">
        <v>74</v>
      </c>
      <c r="BI166">
        <v>18</v>
      </c>
      <c r="BJ166" t="s">
        <v>687</v>
      </c>
      <c r="BK166" t="s">
        <v>103</v>
      </c>
      <c r="BL166" t="s">
        <v>687</v>
      </c>
      <c r="BM166" t="s">
        <v>3619</v>
      </c>
      <c r="BN166" t="s">
        <v>74</v>
      </c>
      <c r="BO166" t="s">
        <v>1055</v>
      </c>
      <c r="BP166" t="s">
        <v>74</v>
      </c>
      <c r="BQ166" t="s">
        <v>74</v>
      </c>
      <c r="BR166" t="s">
        <v>106</v>
      </c>
      <c r="BS166" t="s">
        <v>3620</v>
      </c>
      <c r="BT166" t="str">
        <f>HYPERLINK("https%3A%2F%2Fwww.webofscience.com%2Fwos%2Fwoscc%2Ffull-record%2FWOS:000606792100001","View Full Record in Web of Science")</f>
        <v>View Full Record in Web of Science</v>
      </c>
    </row>
    <row r="167" spans="1:72" x14ac:dyDescent="0.15">
      <c r="A167" t="s">
        <v>72</v>
      </c>
      <c r="B167" t="s">
        <v>3621</v>
      </c>
      <c r="C167" t="s">
        <v>74</v>
      </c>
      <c r="D167" t="s">
        <v>74</v>
      </c>
      <c r="E167" t="s">
        <v>74</v>
      </c>
      <c r="F167" t="s">
        <v>3622</v>
      </c>
      <c r="G167" t="s">
        <v>74</v>
      </c>
      <c r="H167" t="s">
        <v>74</v>
      </c>
      <c r="I167" t="s">
        <v>3623</v>
      </c>
      <c r="J167" t="s">
        <v>77</v>
      </c>
      <c r="K167" t="s">
        <v>74</v>
      </c>
      <c r="L167" t="s">
        <v>74</v>
      </c>
      <c r="M167" t="s">
        <v>78</v>
      </c>
      <c r="N167" t="s">
        <v>79</v>
      </c>
      <c r="O167" t="s">
        <v>74</v>
      </c>
      <c r="P167" t="s">
        <v>74</v>
      </c>
      <c r="Q167" t="s">
        <v>74</v>
      </c>
      <c r="R167" t="s">
        <v>74</v>
      </c>
      <c r="S167" t="s">
        <v>74</v>
      </c>
      <c r="T167" t="s">
        <v>3624</v>
      </c>
      <c r="U167" t="s">
        <v>3625</v>
      </c>
      <c r="V167" t="s">
        <v>3626</v>
      </c>
      <c r="W167" t="s">
        <v>3627</v>
      </c>
      <c r="X167" t="s">
        <v>3628</v>
      </c>
      <c r="Y167" t="s">
        <v>3629</v>
      </c>
      <c r="Z167" t="s">
        <v>3630</v>
      </c>
      <c r="AA167" t="s">
        <v>3631</v>
      </c>
      <c r="AB167" t="s">
        <v>3632</v>
      </c>
      <c r="AC167" t="s">
        <v>3633</v>
      </c>
      <c r="AD167" t="s">
        <v>3634</v>
      </c>
      <c r="AE167" t="s">
        <v>3635</v>
      </c>
      <c r="AF167" t="s">
        <v>74</v>
      </c>
      <c r="AG167">
        <v>67</v>
      </c>
      <c r="AH167">
        <v>8</v>
      </c>
      <c r="AI167">
        <v>8</v>
      </c>
      <c r="AJ167">
        <v>5</v>
      </c>
      <c r="AK167">
        <v>27</v>
      </c>
      <c r="AL167" t="s">
        <v>92</v>
      </c>
      <c r="AM167" t="s">
        <v>93</v>
      </c>
      <c r="AN167" t="s">
        <v>94</v>
      </c>
      <c r="AO167" t="s">
        <v>95</v>
      </c>
      <c r="AP167" t="s">
        <v>96</v>
      </c>
      <c r="AQ167" t="s">
        <v>74</v>
      </c>
      <c r="AR167" t="s">
        <v>97</v>
      </c>
      <c r="AS167" t="s">
        <v>98</v>
      </c>
      <c r="AT167" t="s">
        <v>424</v>
      </c>
      <c r="AU167">
        <v>2021</v>
      </c>
      <c r="AV167">
        <v>758</v>
      </c>
      <c r="AW167" t="s">
        <v>74</v>
      </c>
      <c r="AX167" t="s">
        <v>74</v>
      </c>
      <c r="AY167" t="s">
        <v>74</v>
      </c>
      <c r="AZ167" t="s">
        <v>74</v>
      </c>
      <c r="BA167" t="s">
        <v>74</v>
      </c>
      <c r="BB167" t="s">
        <v>74</v>
      </c>
      <c r="BC167" t="s">
        <v>74</v>
      </c>
      <c r="BD167">
        <v>143671</v>
      </c>
      <c r="BE167" t="s">
        <v>3636</v>
      </c>
      <c r="BF167" t="str">
        <f>HYPERLINK("http://dx.doi.org/10.1016/j.scitotenv.2020.143671","http://dx.doi.org/10.1016/j.scitotenv.2020.143671")</f>
        <v>http://dx.doi.org/10.1016/j.scitotenv.2020.143671</v>
      </c>
      <c r="BG167" t="s">
        <v>74</v>
      </c>
      <c r="BH167" t="s">
        <v>101</v>
      </c>
      <c r="BI167">
        <v>9</v>
      </c>
      <c r="BJ167" t="s">
        <v>102</v>
      </c>
      <c r="BK167" t="s">
        <v>103</v>
      </c>
      <c r="BL167" t="s">
        <v>104</v>
      </c>
      <c r="BM167" t="s">
        <v>3545</v>
      </c>
      <c r="BN167">
        <v>33248775</v>
      </c>
      <c r="BO167" t="s">
        <v>74</v>
      </c>
      <c r="BP167" t="s">
        <v>74</v>
      </c>
      <c r="BQ167" t="s">
        <v>74</v>
      </c>
      <c r="BR167" t="s">
        <v>106</v>
      </c>
      <c r="BS167" t="s">
        <v>3637</v>
      </c>
      <c r="BT167" t="str">
        <f>HYPERLINK("https%3A%2F%2Fwww.webofscience.com%2Fwos%2Fwoscc%2Ffull-record%2FWOS:000605623800080","View Full Record in Web of Science")</f>
        <v>View Full Record in Web of Science</v>
      </c>
    </row>
    <row r="168" spans="1:72" x14ac:dyDescent="0.15">
      <c r="A168" t="s">
        <v>72</v>
      </c>
      <c r="B168" t="s">
        <v>3638</v>
      </c>
      <c r="C168" t="s">
        <v>74</v>
      </c>
      <c r="D168" t="s">
        <v>74</v>
      </c>
      <c r="E168" t="s">
        <v>74</v>
      </c>
      <c r="F168" t="s">
        <v>3639</v>
      </c>
      <c r="G168" t="s">
        <v>74</v>
      </c>
      <c r="H168" t="s">
        <v>74</v>
      </c>
      <c r="I168" t="s">
        <v>3640</v>
      </c>
      <c r="J168" t="s">
        <v>3641</v>
      </c>
      <c r="K168" t="s">
        <v>74</v>
      </c>
      <c r="L168" t="s">
        <v>74</v>
      </c>
      <c r="M168" t="s">
        <v>78</v>
      </c>
      <c r="N168" t="s">
        <v>79</v>
      </c>
      <c r="O168" t="s">
        <v>74</v>
      </c>
      <c r="P168" t="s">
        <v>74</v>
      </c>
      <c r="Q168" t="s">
        <v>74</v>
      </c>
      <c r="R168" t="s">
        <v>74</v>
      </c>
      <c r="S168" t="s">
        <v>74</v>
      </c>
      <c r="T168" t="s">
        <v>3642</v>
      </c>
      <c r="U168" t="s">
        <v>3643</v>
      </c>
      <c r="V168" t="s">
        <v>3644</v>
      </c>
      <c r="W168" t="s">
        <v>3645</v>
      </c>
      <c r="X168" t="s">
        <v>3646</v>
      </c>
      <c r="Y168" t="s">
        <v>3647</v>
      </c>
      <c r="Z168" t="s">
        <v>3648</v>
      </c>
      <c r="AA168" t="s">
        <v>3649</v>
      </c>
      <c r="AB168" t="s">
        <v>3650</v>
      </c>
      <c r="AC168" t="s">
        <v>3651</v>
      </c>
      <c r="AD168" t="s">
        <v>3652</v>
      </c>
      <c r="AE168" t="s">
        <v>3653</v>
      </c>
      <c r="AF168" t="s">
        <v>74</v>
      </c>
      <c r="AG168">
        <v>69</v>
      </c>
      <c r="AH168">
        <v>16</v>
      </c>
      <c r="AI168">
        <v>16</v>
      </c>
      <c r="AJ168">
        <v>5</v>
      </c>
      <c r="AK168">
        <v>23</v>
      </c>
      <c r="AL168" t="s">
        <v>92</v>
      </c>
      <c r="AM168" t="s">
        <v>93</v>
      </c>
      <c r="AN168" t="s">
        <v>94</v>
      </c>
      <c r="AO168" t="s">
        <v>3654</v>
      </c>
      <c r="AP168" t="s">
        <v>3655</v>
      </c>
      <c r="AQ168" t="s">
        <v>74</v>
      </c>
      <c r="AR168" t="s">
        <v>3641</v>
      </c>
      <c r="AS168" t="s">
        <v>3656</v>
      </c>
      <c r="AT168" t="s">
        <v>347</v>
      </c>
      <c r="AU168">
        <v>2021</v>
      </c>
      <c r="AV168">
        <v>198</v>
      </c>
      <c r="AW168" t="s">
        <v>74</v>
      </c>
      <c r="AX168" t="s">
        <v>74</v>
      </c>
      <c r="AY168" t="s">
        <v>74</v>
      </c>
      <c r="AZ168" t="s">
        <v>74</v>
      </c>
      <c r="BA168" t="s">
        <v>74</v>
      </c>
      <c r="BB168" t="s">
        <v>74</v>
      </c>
      <c r="BC168" t="s">
        <v>74</v>
      </c>
      <c r="BD168">
        <v>105038</v>
      </c>
      <c r="BE168" t="s">
        <v>3657</v>
      </c>
      <c r="BF168" t="str">
        <f>HYPERLINK("http://dx.doi.org/10.1016/j.catena.2020.105038","http://dx.doi.org/10.1016/j.catena.2020.105038")</f>
        <v>http://dx.doi.org/10.1016/j.catena.2020.105038</v>
      </c>
      <c r="BG168" t="s">
        <v>74</v>
      </c>
      <c r="BH168" t="s">
        <v>101</v>
      </c>
      <c r="BI168">
        <v>14</v>
      </c>
      <c r="BJ168" t="s">
        <v>3658</v>
      </c>
      <c r="BK168" t="s">
        <v>103</v>
      </c>
      <c r="BL168" t="s">
        <v>3659</v>
      </c>
      <c r="BM168" t="s">
        <v>3660</v>
      </c>
      <c r="BN168" t="s">
        <v>74</v>
      </c>
      <c r="BO168" t="s">
        <v>74</v>
      </c>
      <c r="BP168" t="s">
        <v>74</v>
      </c>
      <c r="BQ168" t="s">
        <v>74</v>
      </c>
      <c r="BR168" t="s">
        <v>106</v>
      </c>
      <c r="BS168" t="s">
        <v>3661</v>
      </c>
      <c r="BT168" t="str">
        <f>HYPERLINK("https%3A%2F%2Fwww.webofscience.com%2Fwos%2Fwoscc%2Ffull-record%2FWOS:000605337000015","View Full Record in Web of Science")</f>
        <v>View Full Record in Web of Science</v>
      </c>
    </row>
    <row r="169" spans="1:72" x14ac:dyDescent="0.15">
      <c r="A169" t="s">
        <v>72</v>
      </c>
      <c r="B169" t="s">
        <v>3662</v>
      </c>
      <c r="C169" t="s">
        <v>74</v>
      </c>
      <c r="D169" t="s">
        <v>74</v>
      </c>
      <c r="E169" t="s">
        <v>74</v>
      </c>
      <c r="F169" t="s">
        <v>3663</v>
      </c>
      <c r="G169" t="s">
        <v>74</v>
      </c>
      <c r="H169" t="s">
        <v>74</v>
      </c>
      <c r="I169" t="s">
        <v>3664</v>
      </c>
      <c r="J169" t="s">
        <v>3665</v>
      </c>
      <c r="K169" t="s">
        <v>74</v>
      </c>
      <c r="L169" t="s">
        <v>74</v>
      </c>
      <c r="M169" t="s">
        <v>78</v>
      </c>
      <c r="N169" t="s">
        <v>79</v>
      </c>
      <c r="O169" t="s">
        <v>74</v>
      </c>
      <c r="P169" t="s">
        <v>74</v>
      </c>
      <c r="Q169" t="s">
        <v>74</v>
      </c>
      <c r="R169" t="s">
        <v>74</v>
      </c>
      <c r="S169" t="s">
        <v>74</v>
      </c>
      <c r="T169" t="s">
        <v>74</v>
      </c>
      <c r="U169" t="s">
        <v>3666</v>
      </c>
      <c r="V169" t="s">
        <v>3667</v>
      </c>
      <c r="W169" t="s">
        <v>3668</v>
      </c>
      <c r="X169" t="s">
        <v>1681</v>
      </c>
      <c r="Y169" t="s">
        <v>3669</v>
      </c>
      <c r="Z169" t="s">
        <v>3670</v>
      </c>
      <c r="AA169" t="s">
        <v>3671</v>
      </c>
      <c r="AB169" t="s">
        <v>3672</v>
      </c>
      <c r="AC169" t="s">
        <v>3673</v>
      </c>
      <c r="AD169" t="s">
        <v>3673</v>
      </c>
      <c r="AE169" t="s">
        <v>3674</v>
      </c>
      <c r="AF169" t="s">
        <v>74</v>
      </c>
      <c r="AG169">
        <v>42</v>
      </c>
      <c r="AH169">
        <v>17</v>
      </c>
      <c r="AI169">
        <v>18</v>
      </c>
      <c r="AJ169">
        <v>0</v>
      </c>
      <c r="AK169">
        <v>8</v>
      </c>
      <c r="AL169" t="s">
        <v>123</v>
      </c>
      <c r="AM169" t="s">
        <v>124</v>
      </c>
      <c r="AN169" t="s">
        <v>125</v>
      </c>
      <c r="AO169" t="s">
        <v>3675</v>
      </c>
      <c r="AP169" t="s">
        <v>3676</v>
      </c>
      <c r="AQ169" t="s">
        <v>74</v>
      </c>
      <c r="AR169" t="s">
        <v>3665</v>
      </c>
      <c r="AS169" t="s">
        <v>3677</v>
      </c>
      <c r="AT169" t="s">
        <v>3678</v>
      </c>
      <c r="AU169">
        <v>2021</v>
      </c>
      <c r="AV169">
        <v>18</v>
      </c>
      <c r="AW169">
        <v>1</v>
      </c>
      <c r="AX169" t="s">
        <v>74</v>
      </c>
      <c r="AY169" t="s">
        <v>74</v>
      </c>
      <c r="AZ169" t="s">
        <v>74</v>
      </c>
      <c r="BA169" t="s">
        <v>74</v>
      </c>
      <c r="BB169">
        <v>25</v>
      </c>
      <c r="BC169">
        <v>38</v>
      </c>
      <c r="BD169" t="s">
        <v>74</v>
      </c>
      <c r="BE169" t="s">
        <v>3679</v>
      </c>
      <c r="BF169" t="str">
        <f>HYPERLINK("http://dx.doi.org/10.5194/bg-18-25-2021","http://dx.doi.org/10.5194/bg-18-25-2021")</f>
        <v>http://dx.doi.org/10.5194/bg-18-25-2021</v>
      </c>
      <c r="BG169" t="s">
        <v>74</v>
      </c>
      <c r="BH169" t="s">
        <v>74</v>
      </c>
      <c r="BI169">
        <v>14</v>
      </c>
      <c r="BJ169" t="s">
        <v>3680</v>
      </c>
      <c r="BK169" t="s">
        <v>103</v>
      </c>
      <c r="BL169" t="s">
        <v>3681</v>
      </c>
      <c r="BM169" t="s">
        <v>3682</v>
      </c>
      <c r="BN169" t="s">
        <v>74</v>
      </c>
      <c r="BO169" t="s">
        <v>159</v>
      </c>
      <c r="BP169" t="s">
        <v>74</v>
      </c>
      <c r="BQ169" t="s">
        <v>74</v>
      </c>
      <c r="BR169" t="s">
        <v>106</v>
      </c>
      <c r="BS169" t="s">
        <v>3683</v>
      </c>
      <c r="BT169" t="str">
        <f>HYPERLINK("https%3A%2F%2Fwww.webofscience.com%2Fwos%2Fwoscc%2Ffull-record%2FWOS:000606576700003","View Full Record in Web of Science")</f>
        <v>View Full Record in Web of Science</v>
      </c>
    </row>
    <row r="170" spans="1:72" x14ac:dyDescent="0.15">
      <c r="A170" t="s">
        <v>72</v>
      </c>
      <c r="B170" t="s">
        <v>3684</v>
      </c>
      <c r="C170" t="s">
        <v>74</v>
      </c>
      <c r="D170" t="s">
        <v>74</v>
      </c>
      <c r="E170" t="s">
        <v>74</v>
      </c>
      <c r="F170" t="s">
        <v>3685</v>
      </c>
      <c r="G170" t="s">
        <v>74</v>
      </c>
      <c r="H170" t="s">
        <v>74</v>
      </c>
      <c r="I170" t="s">
        <v>3686</v>
      </c>
      <c r="J170" t="s">
        <v>3687</v>
      </c>
      <c r="K170" t="s">
        <v>74</v>
      </c>
      <c r="L170" t="s">
        <v>74</v>
      </c>
      <c r="M170" t="s">
        <v>78</v>
      </c>
      <c r="N170" t="s">
        <v>79</v>
      </c>
      <c r="O170" t="s">
        <v>74</v>
      </c>
      <c r="P170" t="s">
        <v>74</v>
      </c>
      <c r="Q170" t="s">
        <v>74</v>
      </c>
      <c r="R170" t="s">
        <v>74</v>
      </c>
      <c r="S170" t="s">
        <v>74</v>
      </c>
      <c r="T170" t="s">
        <v>3688</v>
      </c>
      <c r="U170" t="s">
        <v>3689</v>
      </c>
      <c r="V170" t="s">
        <v>3690</v>
      </c>
      <c r="W170" t="s">
        <v>3691</v>
      </c>
      <c r="X170" t="s">
        <v>3692</v>
      </c>
      <c r="Y170" t="s">
        <v>3693</v>
      </c>
      <c r="Z170" t="s">
        <v>3694</v>
      </c>
      <c r="AA170" t="s">
        <v>74</v>
      </c>
      <c r="AB170" t="s">
        <v>3695</v>
      </c>
      <c r="AC170" t="s">
        <v>3696</v>
      </c>
      <c r="AD170" t="s">
        <v>3697</v>
      </c>
      <c r="AE170" t="s">
        <v>3698</v>
      </c>
      <c r="AF170" t="s">
        <v>74</v>
      </c>
      <c r="AG170">
        <v>21</v>
      </c>
      <c r="AH170">
        <v>2</v>
      </c>
      <c r="AI170">
        <v>2</v>
      </c>
      <c r="AJ170">
        <v>0</v>
      </c>
      <c r="AK170">
        <v>1</v>
      </c>
      <c r="AL170" t="s">
        <v>207</v>
      </c>
      <c r="AM170" t="s">
        <v>473</v>
      </c>
      <c r="AN170" t="s">
        <v>474</v>
      </c>
      <c r="AO170" t="s">
        <v>74</v>
      </c>
      <c r="AP170" t="s">
        <v>3699</v>
      </c>
      <c r="AQ170" t="s">
        <v>74</v>
      </c>
      <c r="AR170" t="s">
        <v>3700</v>
      </c>
      <c r="AS170" t="s">
        <v>3701</v>
      </c>
      <c r="AT170" t="s">
        <v>3678</v>
      </c>
      <c r="AU170">
        <v>2021</v>
      </c>
      <c r="AV170">
        <v>73</v>
      </c>
      <c r="AW170">
        <v>1</v>
      </c>
      <c r="AX170" t="s">
        <v>74</v>
      </c>
      <c r="AY170" t="s">
        <v>74</v>
      </c>
      <c r="AZ170" t="s">
        <v>74</v>
      </c>
      <c r="BA170" t="s">
        <v>74</v>
      </c>
      <c r="BB170" t="s">
        <v>74</v>
      </c>
      <c r="BC170" t="s">
        <v>74</v>
      </c>
      <c r="BD170">
        <v>7</v>
      </c>
      <c r="BE170" t="s">
        <v>3702</v>
      </c>
      <c r="BF170" t="str">
        <f>HYPERLINK("http://dx.doi.org/10.1186/s40623-020-01335-7","http://dx.doi.org/10.1186/s40623-020-01335-7")</f>
        <v>http://dx.doi.org/10.1186/s40623-020-01335-7</v>
      </c>
      <c r="BG170" t="s">
        <v>74</v>
      </c>
      <c r="BH170" t="s">
        <v>74</v>
      </c>
      <c r="BI170">
        <v>10</v>
      </c>
      <c r="BJ170" t="s">
        <v>401</v>
      </c>
      <c r="BK170" t="s">
        <v>103</v>
      </c>
      <c r="BL170" t="s">
        <v>402</v>
      </c>
      <c r="BM170" t="s">
        <v>3703</v>
      </c>
      <c r="BN170" t="s">
        <v>74</v>
      </c>
      <c r="BO170" t="s">
        <v>326</v>
      </c>
      <c r="BP170" t="s">
        <v>74</v>
      </c>
      <c r="BQ170" t="s">
        <v>74</v>
      </c>
      <c r="BR170" t="s">
        <v>106</v>
      </c>
      <c r="BS170" t="s">
        <v>3704</v>
      </c>
      <c r="BT170" t="str">
        <f>HYPERLINK("https%3A%2F%2Fwww.webofscience.com%2Fwos%2Fwoscc%2Ffull-record%2FWOS:000607078000006","View Full Record in Web of Science")</f>
        <v>View Full Record in Web of Science</v>
      </c>
    </row>
    <row r="171" spans="1:72" x14ac:dyDescent="0.15">
      <c r="A171" t="s">
        <v>72</v>
      </c>
      <c r="B171" t="s">
        <v>3705</v>
      </c>
      <c r="C171" t="s">
        <v>74</v>
      </c>
      <c r="D171" t="s">
        <v>74</v>
      </c>
      <c r="E171" t="s">
        <v>74</v>
      </c>
      <c r="F171" t="s">
        <v>3706</v>
      </c>
      <c r="G171" t="s">
        <v>74</v>
      </c>
      <c r="H171" t="s">
        <v>74</v>
      </c>
      <c r="I171" t="s">
        <v>3707</v>
      </c>
      <c r="J171" t="s">
        <v>3708</v>
      </c>
      <c r="K171" t="s">
        <v>74</v>
      </c>
      <c r="L171" t="s">
        <v>74</v>
      </c>
      <c r="M171" t="s">
        <v>78</v>
      </c>
      <c r="N171" t="s">
        <v>141</v>
      </c>
      <c r="O171" t="s">
        <v>74</v>
      </c>
      <c r="P171" t="s">
        <v>74</v>
      </c>
      <c r="Q171" t="s">
        <v>74</v>
      </c>
      <c r="R171" t="s">
        <v>74</v>
      </c>
      <c r="S171" t="s">
        <v>74</v>
      </c>
      <c r="T171" t="s">
        <v>3709</v>
      </c>
      <c r="U171" t="s">
        <v>3710</v>
      </c>
      <c r="V171" t="s">
        <v>3711</v>
      </c>
      <c r="W171" t="s">
        <v>3712</v>
      </c>
      <c r="X171" t="s">
        <v>3713</v>
      </c>
      <c r="Y171" t="s">
        <v>3714</v>
      </c>
      <c r="Z171" t="s">
        <v>3715</v>
      </c>
      <c r="AA171" t="s">
        <v>74</v>
      </c>
      <c r="AB171" t="s">
        <v>3716</v>
      </c>
      <c r="AC171" t="s">
        <v>3717</v>
      </c>
      <c r="AD171" t="s">
        <v>3717</v>
      </c>
      <c r="AE171" t="s">
        <v>3718</v>
      </c>
      <c r="AF171" t="s">
        <v>74</v>
      </c>
      <c r="AG171">
        <v>164</v>
      </c>
      <c r="AH171">
        <v>3</v>
      </c>
      <c r="AI171">
        <v>5</v>
      </c>
      <c r="AJ171">
        <v>6</v>
      </c>
      <c r="AK171">
        <v>26</v>
      </c>
      <c r="AL171" t="s">
        <v>802</v>
      </c>
      <c r="AM171" t="s">
        <v>178</v>
      </c>
      <c r="AN171" t="s">
        <v>803</v>
      </c>
      <c r="AO171" t="s">
        <v>3719</v>
      </c>
      <c r="AP171" t="s">
        <v>74</v>
      </c>
      <c r="AQ171" t="s">
        <v>74</v>
      </c>
      <c r="AR171" t="s">
        <v>3720</v>
      </c>
      <c r="AS171" t="s">
        <v>3721</v>
      </c>
      <c r="AT171" t="s">
        <v>3722</v>
      </c>
      <c r="AU171">
        <v>2020</v>
      </c>
      <c r="AV171">
        <v>8</v>
      </c>
      <c r="AW171" t="s">
        <v>74</v>
      </c>
      <c r="AX171" t="s">
        <v>74</v>
      </c>
      <c r="AY171" t="s">
        <v>74</v>
      </c>
      <c r="AZ171" t="s">
        <v>74</v>
      </c>
      <c r="BA171" t="s">
        <v>74</v>
      </c>
      <c r="BB171" t="s">
        <v>74</v>
      </c>
      <c r="BC171" t="s">
        <v>74</v>
      </c>
      <c r="BD171" t="s">
        <v>3723</v>
      </c>
      <c r="BE171" t="s">
        <v>3724</v>
      </c>
      <c r="BF171" t="str">
        <f>HYPERLINK("http://dx.doi.org/10.1093/conphys/coaa111","http://dx.doi.org/10.1093/conphys/coaa111")</f>
        <v>http://dx.doi.org/10.1093/conphys/coaa111</v>
      </c>
      <c r="BG171" t="s">
        <v>74</v>
      </c>
      <c r="BH171" t="s">
        <v>101</v>
      </c>
      <c r="BI171">
        <v>21</v>
      </c>
      <c r="BJ171" t="s">
        <v>3725</v>
      </c>
      <c r="BK171" t="s">
        <v>103</v>
      </c>
      <c r="BL171" t="s">
        <v>3726</v>
      </c>
      <c r="BM171" t="s">
        <v>3727</v>
      </c>
      <c r="BN171">
        <v>34168880</v>
      </c>
      <c r="BO171" t="s">
        <v>1105</v>
      </c>
      <c r="BP171" t="s">
        <v>74</v>
      </c>
      <c r="BQ171" t="s">
        <v>74</v>
      </c>
      <c r="BR171" t="s">
        <v>106</v>
      </c>
      <c r="BS171" t="s">
        <v>3728</v>
      </c>
      <c r="BT171" t="str">
        <f>HYPERLINK("https%3A%2F%2Fwww.webofscience.com%2Fwos%2Fwoscc%2Ffull-record%2FWOS:000604997900001","View Full Record in Web of Science")</f>
        <v>View Full Record in Web of Science</v>
      </c>
    </row>
    <row r="172" spans="1:72" x14ac:dyDescent="0.15">
      <c r="A172" t="s">
        <v>72</v>
      </c>
      <c r="B172" t="s">
        <v>3729</v>
      </c>
      <c r="C172" t="s">
        <v>74</v>
      </c>
      <c r="D172" t="s">
        <v>74</v>
      </c>
      <c r="E172" t="s">
        <v>74</v>
      </c>
      <c r="F172" t="s">
        <v>3730</v>
      </c>
      <c r="G172" t="s">
        <v>74</v>
      </c>
      <c r="H172" t="s">
        <v>74</v>
      </c>
      <c r="I172" t="s">
        <v>3731</v>
      </c>
      <c r="J172" t="s">
        <v>1690</v>
      </c>
      <c r="K172" t="s">
        <v>74</v>
      </c>
      <c r="L172" t="s">
        <v>74</v>
      </c>
      <c r="M172" t="s">
        <v>78</v>
      </c>
      <c r="N172" t="s">
        <v>79</v>
      </c>
      <c r="O172" t="s">
        <v>74</v>
      </c>
      <c r="P172" t="s">
        <v>74</v>
      </c>
      <c r="Q172" t="s">
        <v>74</v>
      </c>
      <c r="R172" t="s">
        <v>74</v>
      </c>
      <c r="S172" t="s">
        <v>74</v>
      </c>
      <c r="T172" t="s">
        <v>3732</v>
      </c>
      <c r="U172" t="s">
        <v>3733</v>
      </c>
      <c r="V172" t="s">
        <v>3734</v>
      </c>
      <c r="W172" t="s">
        <v>3735</v>
      </c>
      <c r="X172" t="s">
        <v>3736</v>
      </c>
      <c r="Y172" t="s">
        <v>3737</v>
      </c>
      <c r="Z172" t="s">
        <v>3738</v>
      </c>
      <c r="AA172" t="s">
        <v>3739</v>
      </c>
      <c r="AB172" t="s">
        <v>3740</v>
      </c>
      <c r="AC172" t="s">
        <v>3741</v>
      </c>
      <c r="AD172" t="s">
        <v>3742</v>
      </c>
      <c r="AE172" t="s">
        <v>3743</v>
      </c>
      <c r="AF172" t="s">
        <v>74</v>
      </c>
      <c r="AG172">
        <v>71</v>
      </c>
      <c r="AH172">
        <v>1</v>
      </c>
      <c r="AI172">
        <v>1</v>
      </c>
      <c r="AJ172">
        <v>0</v>
      </c>
      <c r="AK172">
        <v>24</v>
      </c>
      <c r="AL172" t="s">
        <v>207</v>
      </c>
      <c r="AM172" t="s">
        <v>473</v>
      </c>
      <c r="AN172" t="s">
        <v>474</v>
      </c>
      <c r="AO172" t="s">
        <v>1702</v>
      </c>
      <c r="AP172" t="s">
        <v>1703</v>
      </c>
      <c r="AQ172" t="s">
        <v>74</v>
      </c>
      <c r="AR172" t="s">
        <v>1704</v>
      </c>
      <c r="AS172" t="s">
        <v>1705</v>
      </c>
      <c r="AT172" t="s">
        <v>374</v>
      </c>
      <c r="AU172">
        <v>2021</v>
      </c>
      <c r="AV172">
        <v>44</v>
      </c>
      <c r="AW172">
        <v>1</v>
      </c>
      <c r="AX172" t="s">
        <v>74</v>
      </c>
      <c r="AY172" t="s">
        <v>74</v>
      </c>
      <c r="AZ172" t="s">
        <v>74</v>
      </c>
      <c r="BA172" t="s">
        <v>74</v>
      </c>
      <c r="BB172">
        <v>73</v>
      </c>
      <c r="BC172">
        <v>84</v>
      </c>
      <c r="BD172" t="s">
        <v>74</v>
      </c>
      <c r="BE172" t="s">
        <v>3744</v>
      </c>
      <c r="BF172" t="str">
        <f>HYPERLINK("http://dx.doi.org/10.1007/s00300-020-02776-2","http://dx.doi.org/10.1007/s00300-020-02776-2")</f>
        <v>http://dx.doi.org/10.1007/s00300-020-02776-2</v>
      </c>
      <c r="BG172" t="s">
        <v>74</v>
      </c>
      <c r="BH172" t="s">
        <v>101</v>
      </c>
      <c r="BI172">
        <v>12</v>
      </c>
      <c r="BJ172" t="s">
        <v>1052</v>
      </c>
      <c r="BK172" t="s">
        <v>103</v>
      </c>
      <c r="BL172" t="s">
        <v>1053</v>
      </c>
      <c r="BM172" t="s">
        <v>2655</v>
      </c>
      <c r="BN172" t="s">
        <v>74</v>
      </c>
      <c r="BO172" t="s">
        <v>74</v>
      </c>
      <c r="BP172" t="s">
        <v>74</v>
      </c>
      <c r="BQ172" t="s">
        <v>74</v>
      </c>
      <c r="BR172" t="s">
        <v>106</v>
      </c>
      <c r="BS172" t="s">
        <v>3745</v>
      </c>
      <c r="BT172" t="str">
        <f>HYPERLINK("https%3A%2F%2Fwww.webofscience.com%2Fwos%2Fwoscc%2Ffull-record%2FWOS:000604839400002","View Full Record in Web of Science")</f>
        <v>View Full Record in Web of Science</v>
      </c>
    </row>
    <row r="173" spans="1:72" x14ac:dyDescent="0.15">
      <c r="A173" t="s">
        <v>72</v>
      </c>
      <c r="B173" t="s">
        <v>3746</v>
      </c>
      <c r="C173" t="s">
        <v>74</v>
      </c>
      <c r="D173" t="s">
        <v>74</v>
      </c>
      <c r="E173" t="s">
        <v>74</v>
      </c>
      <c r="F173" t="s">
        <v>3747</v>
      </c>
      <c r="G173" t="s">
        <v>74</v>
      </c>
      <c r="H173" t="s">
        <v>74</v>
      </c>
      <c r="I173" t="s">
        <v>3748</v>
      </c>
      <c r="J173" t="s">
        <v>1690</v>
      </c>
      <c r="K173" t="s">
        <v>74</v>
      </c>
      <c r="L173" t="s">
        <v>74</v>
      </c>
      <c r="M173" t="s">
        <v>78</v>
      </c>
      <c r="N173" t="s">
        <v>79</v>
      </c>
      <c r="O173" t="s">
        <v>74</v>
      </c>
      <c r="P173" t="s">
        <v>74</v>
      </c>
      <c r="Q173" t="s">
        <v>74</v>
      </c>
      <c r="R173" t="s">
        <v>74</v>
      </c>
      <c r="S173" t="s">
        <v>74</v>
      </c>
      <c r="T173" t="s">
        <v>3749</v>
      </c>
      <c r="U173" t="s">
        <v>3750</v>
      </c>
      <c r="V173" t="s">
        <v>3751</v>
      </c>
      <c r="W173" t="s">
        <v>3752</v>
      </c>
      <c r="X173" t="s">
        <v>3753</v>
      </c>
      <c r="Y173" t="s">
        <v>3754</v>
      </c>
      <c r="Z173" t="s">
        <v>3755</v>
      </c>
      <c r="AA173" t="s">
        <v>74</v>
      </c>
      <c r="AB173" t="s">
        <v>74</v>
      </c>
      <c r="AC173" t="s">
        <v>3756</v>
      </c>
      <c r="AD173" t="s">
        <v>3757</v>
      </c>
      <c r="AE173" t="s">
        <v>3758</v>
      </c>
      <c r="AF173" t="s">
        <v>74</v>
      </c>
      <c r="AG173">
        <v>38</v>
      </c>
      <c r="AH173">
        <v>5</v>
      </c>
      <c r="AI173">
        <v>5</v>
      </c>
      <c r="AJ173">
        <v>4</v>
      </c>
      <c r="AK173">
        <v>7</v>
      </c>
      <c r="AL173" t="s">
        <v>207</v>
      </c>
      <c r="AM173" t="s">
        <v>473</v>
      </c>
      <c r="AN173" t="s">
        <v>474</v>
      </c>
      <c r="AO173" t="s">
        <v>1702</v>
      </c>
      <c r="AP173" t="s">
        <v>1703</v>
      </c>
      <c r="AQ173" t="s">
        <v>74</v>
      </c>
      <c r="AR173" t="s">
        <v>1704</v>
      </c>
      <c r="AS173" t="s">
        <v>1705</v>
      </c>
      <c r="AT173" t="s">
        <v>374</v>
      </c>
      <c r="AU173">
        <v>2021</v>
      </c>
      <c r="AV173">
        <v>44</v>
      </c>
      <c r="AW173">
        <v>1</v>
      </c>
      <c r="AX173" t="s">
        <v>74</v>
      </c>
      <c r="AY173" t="s">
        <v>74</v>
      </c>
      <c r="AZ173" t="s">
        <v>74</v>
      </c>
      <c r="BA173" t="s">
        <v>74</v>
      </c>
      <c r="BB173">
        <v>221</v>
      </c>
      <c r="BC173">
        <v>227</v>
      </c>
      <c r="BD173" t="s">
        <v>74</v>
      </c>
      <c r="BE173" t="s">
        <v>3759</v>
      </c>
      <c r="BF173" t="str">
        <f>HYPERLINK("http://dx.doi.org/10.1007/s00300-020-02780-6","http://dx.doi.org/10.1007/s00300-020-02780-6")</f>
        <v>http://dx.doi.org/10.1007/s00300-020-02780-6</v>
      </c>
      <c r="BG173" t="s">
        <v>74</v>
      </c>
      <c r="BH173" t="s">
        <v>101</v>
      </c>
      <c r="BI173">
        <v>7</v>
      </c>
      <c r="BJ173" t="s">
        <v>1052</v>
      </c>
      <c r="BK173" t="s">
        <v>103</v>
      </c>
      <c r="BL173" t="s">
        <v>1053</v>
      </c>
      <c r="BM173" t="s">
        <v>2655</v>
      </c>
      <c r="BN173" t="s">
        <v>74</v>
      </c>
      <c r="BO173" t="s">
        <v>3760</v>
      </c>
      <c r="BP173" t="s">
        <v>74</v>
      </c>
      <c r="BQ173" t="s">
        <v>74</v>
      </c>
      <c r="BR173" t="s">
        <v>106</v>
      </c>
      <c r="BS173" t="s">
        <v>3761</v>
      </c>
      <c r="BT173" t="str">
        <f>HYPERLINK("https%3A%2F%2Fwww.webofscience.com%2Fwos%2Fwoscc%2Ffull-record%2FWOS:000604839400003","View Full Record in Web of Science")</f>
        <v>View Full Record in Web of Science</v>
      </c>
    </row>
    <row r="174" spans="1:72" x14ac:dyDescent="0.15">
      <c r="A174" t="s">
        <v>72</v>
      </c>
      <c r="B174" t="s">
        <v>3762</v>
      </c>
      <c r="C174" t="s">
        <v>74</v>
      </c>
      <c r="D174" t="s">
        <v>74</v>
      </c>
      <c r="E174" t="s">
        <v>74</v>
      </c>
      <c r="F174" t="s">
        <v>3763</v>
      </c>
      <c r="G174" t="s">
        <v>74</v>
      </c>
      <c r="H174" t="s">
        <v>74</v>
      </c>
      <c r="I174" t="s">
        <v>3764</v>
      </c>
      <c r="J174" t="s">
        <v>1833</v>
      </c>
      <c r="K174" t="s">
        <v>74</v>
      </c>
      <c r="L174" t="s">
        <v>74</v>
      </c>
      <c r="M174" t="s">
        <v>78</v>
      </c>
      <c r="N174" t="s">
        <v>79</v>
      </c>
      <c r="O174" t="s">
        <v>74</v>
      </c>
      <c r="P174" t="s">
        <v>74</v>
      </c>
      <c r="Q174" t="s">
        <v>74</v>
      </c>
      <c r="R174" t="s">
        <v>74</v>
      </c>
      <c r="S174" t="s">
        <v>74</v>
      </c>
      <c r="T174" t="s">
        <v>3765</v>
      </c>
      <c r="U174" t="s">
        <v>3766</v>
      </c>
      <c r="V174" t="s">
        <v>3767</v>
      </c>
      <c r="W174" t="s">
        <v>3768</v>
      </c>
      <c r="X174" t="s">
        <v>3769</v>
      </c>
      <c r="Y174" t="s">
        <v>3770</v>
      </c>
      <c r="Z174" t="s">
        <v>3771</v>
      </c>
      <c r="AA174" t="s">
        <v>3772</v>
      </c>
      <c r="AB174" t="s">
        <v>3773</v>
      </c>
      <c r="AC174" t="s">
        <v>3774</v>
      </c>
      <c r="AD174" t="s">
        <v>3775</v>
      </c>
      <c r="AE174" t="s">
        <v>3776</v>
      </c>
      <c r="AF174" t="s">
        <v>74</v>
      </c>
      <c r="AG174">
        <v>89</v>
      </c>
      <c r="AH174">
        <v>7</v>
      </c>
      <c r="AI174">
        <v>8</v>
      </c>
      <c r="AJ174">
        <v>3</v>
      </c>
      <c r="AK174">
        <v>41</v>
      </c>
      <c r="AL174" t="s">
        <v>552</v>
      </c>
      <c r="AM174" t="s">
        <v>553</v>
      </c>
      <c r="AN174" t="s">
        <v>554</v>
      </c>
      <c r="AO174" t="s">
        <v>1846</v>
      </c>
      <c r="AP174" t="s">
        <v>1847</v>
      </c>
      <c r="AQ174" t="s">
        <v>74</v>
      </c>
      <c r="AR174" t="s">
        <v>1848</v>
      </c>
      <c r="AS174" t="s">
        <v>1849</v>
      </c>
      <c r="AT174" t="s">
        <v>347</v>
      </c>
      <c r="AU174">
        <v>2021</v>
      </c>
      <c r="AV174">
        <v>30</v>
      </c>
      <c r="AW174">
        <v>5</v>
      </c>
      <c r="AX174" t="s">
        <v>74</v>
      </c>
      <c r="AY174" t="s">
        <v>74</v>
      </c>
      <c r="AZ174" t="s">
        <v>74</v>
      </c>
      <c r="BA174" t="s">
        <v>74</v>
      </c>
      <c r="BB174">
        <v>1223</v>
      </c>
      <c r="BC174">
        <v>1236</v>
      </c>
      <c r="BD174" t="s">
        <v>74</v>
      </c>
      <c r="BE174" t="s">
        <v>3777</v>
      </c>
      <c r="BF174" t="str">
        <f>HYPERLINK("http://dx.doi.org/10.1111/mec.15780","http://dx.doi.org/10.1111/mec.15780")</f>
        <v>http://dx.doi.org/10.1111/mec.15780</v>
      </c>
      <c r="BG174" t="s">
        <v>74</v>
      </c>
      <c r="BH174" t="s">
        <v>101</v>
      </c>
      <c r="BI174">
        <v>14</v>
      </c>
      <c r="BJ174" t="s">
        <v>1851</v>
      </c>
      <c r="BK174" t="s">
        <v>103</v>
      </c>
      <c r="BL174" t="s">
        <v>1852</v>
      </c>
      <c r="BM174" t="s">
        <v>3778</v>
      </c>
      <c r="BN174">
        <v>33342039</v>
      </c>
      <c r="BO174" t="s">
        <v>189</v>
      </c>
      <c r="BP174" t="s">
        <v>74</v>
      </c>
      <c r="BQ174" t="s">
        <v>74</v>
      </c>
      <c r="BR174" t="s">
        <v>106</v>
      </c>
      <c r="BS174" t="s">
        <v>3779</v>
      </c>
      <c r="BT174" t="str">
        <f>HYPERLINK("https%3A%2F%2Fwww.webofscience.com%2Fwos%2Fwoscc%2Ffull-record%2FWOS:000604395400001","View Full Record in Web of Science")</f>
        <v>View Full Record in Web of Science</v>
      </c>
    </row>
    <row r="175" spans="1:72" x14ac:dyDescent="0.15">
      <c r="A175" t="s">
        <v>72</v>
      </c>
      <c r="B175" t="s">
        <v>3780</v>
      </c>
      <c r="C175" t="s">
        <v>74</v>
      </c>
      <c r="D175" t="s">
        <v>74</v>
      </c>
      <c r="E175" t="s">
        <v>74</v>
      </c>
      <c r="F175" t="s">
        <v>3781</v>
      </c>
      <c r="G175" t="s">
        <v>74</v>
      </c>
      <c r="H175" t="s">
        <v>74</v>
      </c>
      <c r="I175" t="s">
        <v>3782</v>
      </c>
      <c r="J175" t="s">
        <v>566</v>
      </c>
      <c r="K175" t="s">
        <v>74</v>
      </c>
      <c r="L175" t="s">
        <v>74</v>
      </c>
      <c r="M175" t="s">
        <v>78</v>
      </c>
      <c r="N175" t="s">
        <v>79</v>
      </c>
      <c r="O175" t="s">
        <v>74</v>
      </c>
      <c r="P175" t="s">
        <v>74</v>
      </c>
      <c r="Q175" t="s">
        <v>74</v>
      </c>
      <c r="R175" t="s">
        <v>74</v>
      </c>
      <c r="S175" t="s">
        <v>74</v>
      </c>
      <c r="T175" t="s">
        <v>3783</v>
      </c>
      <c r="U175" t="s">
        <v>3784</v>
      </c>
      <c r="V175" t="s">
        <v>3785</v>
      </c>
      <c r="W175" t="s">
        <v>3786</v>
      </c>
      <c r="X175" t="s">
        <v>3787</v>
      </c>
      <c r="Y175" t="s">
        <v>3788</v>
      </c>
      <c r="Z175" t="s">
        <v>3789</v>
      </c>
      <c r="AA175" t="s">
        <v>3790</v>
      </c>
      <c r="AB175" t="s">
        <v>3791</v>
      </c>
      <c r="AC175" t="s">
        <v>3792</v>
      </c>
      <c r="AD175" t="s">
        <v>3793</v>
      </c>
      <c r="AE175" t="s">
        <v>3794</v>
      </c>
      <c r="AF175" t="s">
        <v>74</v>
      </c>
      <c r="AG175">
        <v>74</v>
      </c>
      <c r="AH175">
        <v>25</v>
      </c>
      <c r="AI175">
        <v>25</v>
      </c>
      <c r="AJ175">
        <v>1</v>
      </c>
      <c r="AK175">
        <v>38</v>
      </c>
      <c r="AL175" t="s">
        <v>207</v>
      </c>
      <c r="AM175" t="s">
        <v>208</v>
      </c>
      <c r="AN175" t="s">
        <v>209</v>
      </c>
      <c r="AO175" t="s">
        <v>578</v>
      </c>
      <c r="AP175" t="s">
        <v>579</v>
      </c>
      <c r="AQ175" t="s">
        <v>74</v>
      </c>
      <c r="AR175" t="s">
        <v>580</v>
      </c>
      <c r="AS175" t="s">
        <v>581</v>
      </c>
      <c r="AT175" t="s">
        <v>347</v>
      </c>
      <c r="AU175">
        <v>2022</v>
      </c>
      <c r="AV175">
        <v>32</v>
      </c>
      <c r="AW175">
        <v>1</v>
      </c>
      <c r="AX175" t="s">
        <v>74</v>
      </c>
      <c r="AY175" t="s">
        <v>74</v>
      </c>
      <c r="AZ175" t="s">
        <v>582</v>
      </c>
      <c r="BA175" t="s">
        <v>74</v>
      </c>
      <c r="BB175">
        <v>19</v>
      </c>
      <c r="BC175">
        <v>36</v>
      </c>
      <c r="BD175" t="s">
        <v>74</v>
      </c>
      <c r="BE175" t="s">
        <v>3795</v>
      </c>
      <c r="BF175" t="str">
        <f>HYPERLINK("http://dx.doi.org/10.1007/s11160-020-09629-5","http://dx.doi.org/10.1007/s11160-020-09629-5")</f>
        <v>http://dx.doi.org/10.1007/s11160-020-09629-5</v>
      </c>
      <c r="BG175" t="s">
        <v>74</v>
      </c>
      <c r="BH175" t="s">
        <v>101</v>
      </c>
      <c r="BI175">
        <v>18</v>
      </c>
      <c r="BJ175" t="s">
        <v>584</v>
      </c>
      <c r="BK175" t="s">
        <v>271</v>
      </c>
      <c r="BL175" t="s">
        <v>584</v>
      </c>
      <c r="BM175" t="s">
        <v>585</v>
      </c>
      <c r="BN175">
        <v>33424142</v>
      </c>
      <c r="BO175" t="s">
        <v>3796</v>
      </c>
      <c r="BP175" t="s">
        <v>74</v>
      </c>
      <c r="BQ175" t="s">
        <v>74</v>
      </c>
      <c r="BR175" t="s">
        <v>106</v>
      </c>
      <c r="BS175" t="s">
        <v>3797</v>
      </c>
      <c r="BT175" t="str">
        <f>HYPERLINK("https%3A%2F%2Fwww.webofscience.com%2Fwos%2Fwoscc%2Ffull-record%2FWOS:000604555500001","View Full Record in Web of Science")</f>
        <v>View Full Record in Web of Science</v>
      </c>
    </row>
    <row r="176" spans="1:72" x14ac:dyDescent="0.15">
      <c r="A176" t="s">
        <v>72</v>
      </c>
      <c r="B176" t="s">
        <v>3798</v>
      </c>
      <c r="C176" t="s">
        <v>74</v>
      </c>
      <c r="D176" t="s">
        <v>74</v>
      </c>
      <c r="E176" t="s">
        <v>74</v>
      </c>
      <c r="F176" t="s">
        <v>3799</v>
      </c>
      <c r="G176" t="s">
        <v>74</v>
      </c>
      <c r="H176" t="s">
        <v>74</v>
      </c>
      <c r="I176" t="s">
        <v>3800</v>
      </c>
      <c r="J176" t="s">
        <v>3801</v>
      </c>
      <c r="K176" t="s">
        <v>74</v>
      </c>
      <c r="L176" t="s">
        <v>74</v>
      </c>
      <c r="M176" t="s">
        <v>78</v>
      </c>
      <c r="N176" t="s">
        <v>79</v>
      </c>
      <c r="O176" t="s">
        <v>74</v>
      </c>
      <c r="P176" t="s">
        <v>74</v>
      </c>
      <c r="Q176" t="s">
        <v>74</v>
      </c>
      <c r="R176" t="s">
        <v>74</v>
      </c>
      <c r="S176" t="s">
        <v>74</v>
      </c>
      <c r="T176" t="s">
        <v>3802</v>
      </c>
      <c r="U176" t="s">
        <v>3803</v>
      </c>
      <c r="V176" t="s">
        <v>3804</v>
      </c>
      <c r="W176" t="s">
        <v>3805</v>
      </c>
      <c r="X176" t="s">
        <v>3806</v>
      </c>
      <c r="Y176" t="s">
        <v>3807</v>
      </c>
      <c r="Z176" t="s">
        <v>3808</v>
      </c>
      <c r="AA176" t="s">
        <v>3809</v>
      </c>
      <c r="AB176" t="s">
        <v>3810</v>
      </c>
      <c r="AC176" t="s">
        <v>3811</v>
      </c>
      <c r="AD176" t="s">
        <v>3812</v>
      </c>
      <c r="AE176" t="s">
        <v>3813</v>
      </c>
      <c r="AF176" t="s">
        <v>74</v>
      </c>
      <c r="AG176">
        <v>51</v>
      </c>
      <c r="AH176">
        <v>1</v>
      </c>
      <c r="AI176">
        <v>1</v>
      </c>
      <c r="AJ176">
        <v>0</v>
      </c>
      <c r="AK176">
        <v>12</v>
      </c>
      <c r="AL176" t="s">
        <v>207</v>
      </c>
      <c r="AM176" t="s">
        <v>208</v>
      </c>
      <c r="AN176" t="s">
        <v>209</v>
      </c>
      <c r="AO176" t="s">
        <v>3814</v>
      </c>
      <c r="AP176" t="s">
        <v>3815</v>
      </c>
      <c r="AQ176" t="s">
        <v>74</v>
      </c>
      <c r="AR176" t="s">
        <v>3816</v>
      </c>
      <c r="AS176" t="s">
        <v>3817</v>
      </c>
      <c r="AT176" t="s">
        <v>374</v>
      </c>
      <c r="AU176">
        <v>2021</v>
      </c>
      <c r="AV176">
        <v>65</v>
      </c>
      <c r="AW176">
        <v>1</v>
      </c>
      <c r="AX176" t="s">
        <v>74</v>
      </c>
      <c r="AY176" t="s">
        <v>74</v>
      </c>
      <c r="AZ176" t="s">
        <v>74</v>
      </c>
      <c r="BA176" t="s">
        <v>74</v>
      </c>
      <c r="BB176">
        <v>85</v>
      </c>
      <c r="BC176">
        <v>99</v>
      </c>
      <c r="BD176" t="s">
        <v>74</v>
      </c>
      <c r="BE176" t="s">
        <v>3818</v>
      </c>
      <c r="BF176" t="str">
        <f>HYPERLINK("http://dx.doi.org/10.1007/s10933-020-00150-0","http://dx.doi.org/10.1007/s10933-020-00150-0")</f>
        <v>http://dx.doi.org/10.1007/s10933-020-00150-0</v>
      </c>
      <c r="BG176" t="s">
        <v>74</v>
      </c>
      <c r="BH176" t="s">
        <v>101</v>
      </c>
      <c r="BI176">
        <v>15</v>
      </c>
      <c r="BJ176" t="s">
        <v>3819</v>
      </c>
      <c r="BK176" t="s">
        <v>103</v>
      </c>
      <c r="BL176" t="s">
        <v>3820</v>
      </c>
      <c r="BM176" t="s">
        <v>3821</v>
      </c>
      <c r="BN176" t="s">
        <v>74</v>
      </c>
      <c r="BO176" t="s">
        <v>74</v>
      </c>
      <c r="BP176" t="s">
        <v>74</v>
      </c>
      <c r="BQ176" t="s">
        <v>74</v>
      </c>
      <c r="BR176" t="s">
        <v>106</v>
      </c>
      <c r="BS176" t="s">
        <v>3822</v>
      </c>
      <c r="BT176" t="str">
        <f>HYPERLINK("https%3A%2F%2Fwww.webofscience.com%2Fwos%2Fwoscc%2Ffull-record%2FWOS:000604443300001","View Full Record in Web of Science")</f>
        <v>View Full Record in Web of Science</v>
      </c>
    </row>
    <row r="177" spans="1:72" x14ac:dyDescent="0.15">
      <c r="A177" t="s">
        <v>72</v>
      </c>
      <c r="B177" t="s">
        <v>3823</v>
      </c>
      <c r="C177" t="s">
        <v>74</v>
      </c>
      <c r="D177" t="s">
        <v>74</v>
      </c>
      <c r="E177" t="s">
        <v>74</v>
      </c>
      <c r="F177" t="s">
        <v>3824</v>
      </c>
      <c r="G177" t="s">
        <v>74</v>
      </c>
      <c r="H177" t="s">
        <v>74</v>
      </c>
      <c r="I177" t="s">
        <v>3825</v>
      </c>
      <c r="J177" t="s">
        <v>1690</v>
      </c>
      <c r="K177" t="s">
        <v>74</v>
      </c>
      <c r="L177" t="s">
        <v>74</v>
      </c>
      <c r="M177" t="s">
        <v>78</v>
      </c>
      <c r="N177" t="s">
        <v>79</v>
      </c>
      <c r="O177" t="s">
        <v>74</v>
      </c>
      <c r="P177" t="s">
        <v>74</v>
      </c>
      <c r="Q177" t="s">
        <v>74</v>
      </c>
      <c r="R177" t="s">
        <v>74</v>
      </c>
      <c r="S177" t="s">
        <v>74</v>
      </c>
      <c r="T177" t="s">
        <v>3826</v>
      </c>
      <c r="U177" t="s">
        <v>3827</v>
      </c>
      <c r="V177" t="s">
        <v>3828</v>
      </c>
      <c r="W177" t="s">
        <v>3829</v>
      </c>
      <c r="X177" t="s">
        <v>3830</v>
      </c>
      <c r="Y177" t="s">
        <v>3831</v>
      </c>
      <c r="Z177" t="s">
        <v>3832</v>
      </c>
      <c r="AA177" t="s">
        <v>3833</v>
      </c>
      <c r="AB177" t="s">
        <v>3834</v>
      </c>
      <c r="AC177" t="s">
        <v>3835</v>
      </c>
      <c r="AD177" t="s">
        <v>3836</v>
      </c>
      <c r="AE177" t="s">
        <v>3837</v>
      </c>
      <c r="AF177" t="s">
        <v>74</v>
      </c>
      <c r="AG177">
        <v>100</v>
      </c>
      <c r="AH177">
        <v>2</v>
      </c>
      <c r="AI177">
        <v>2</v>
      </c>
      <c r="AJ177">
        <v>3</v>
      </c>
      <c r="AK177">
        <v>15</v>
      </c>
      <c r="AL177" t="s">
        <v>207</v>
      </c>
      <c r="AM177" t="s">
        <v>473</v>
      </c>
      <c r="AN177" t="s">
        <v>474</v>
      </c>
      <c r="AO177" t="s">
        <v>1702</v>
      </c>
      <c r="AP177" t="s">
        <v>1703</v>
      </c>
      <c r="AQ177" t="s">
        <v>74</v>
      </c>
      <c r="AR177" t="s">
        <v>1704</v>
      </c>
      <c r="AS177" t="s">
        <v>1705</v>
      </c>
      <c r="AT177" t="s">
        <v>374</v>
      </c>
      <c r="AU177">
        <v>2021</v>
      </c>
      <c r="AV177">
        <v>44</v>
      </c>
      <c r="AW177">
        <v>1</v>
      </c>
      <c r="AX177" t="s">
        <v>74</v>
      </c>
      <c r="AY177" t="s">
        <v>74</v>
      </c>
      <c r="AZ177" t="s">
        <v>74</v>
      </c>
      <c r="BA177" t="s">
        <v>74</v>
      </c>
      <c r="BB177">
        <v>147</v>
      </c>
      <c r="BC177">
        <v>162</v>
      </c>
      <c r="BD177" t="s">
        <v>74</v>
      </c>
      <c r="BE177" t="s">
        <v>3838</v>
      </c>
      <c r="BF177" t="str">
        <f>HYPERLINK("http://dx.doi.org/10.1007/s00300-020-02788-y","http://dx.doi.org/10.1007/s00300-020-02788-y")</f>
        <v>http://dx.doi.org/10.1007/s00300-020-02788-y</v>
      </c>
      <c r="BG177" t="s">
        <v>74</v>
      </c>
      <c r="BH177" t="s">
        <v>101</v>
      </c>
      <c r="BI177">
        <v>16</v>
      </c>
      <c r="BJ177" t="s">
        <v>1052</v>
      </c>
      <c r="BK177" t="s">
        <v>103</v>
      </c>
      <c r="BL177" t="s">
        <v>1053</v>
      </c>
      <c r="BM177" t="s">
        <v>2655</v>
      </c>
      <c r="BN177" t="s">
        <v>74</v>
      </c>
      <c r="BO177" t="s">
        <v>74</v>
      </c>
      <c r="BP177" t="s">
        <v>74</v>
      </c>
      <c r="BQ177" t="s">
        <v>74</v>
      </c>
      <c r="BR177" t="s">
        <v>106</v>
      </c>
      <c r="BS177" t="s">
        <v>3839</v>
      </c>
      <c r="BT177" t="str">
        <f>HYPERLINK("https%3A%2F%2Fwww.webofscience.com%2Fwos%2Fwoscc%2Ffull-record%2FWOS:000604462700001","View Full Record in Web of Science")</f>
        <v>View Full Record in Web of Science</v>
      </c>
    </row>
    <row r="178" spans="1:72" x14ac:dyDescent="0.15">
      <c r="A178" t="s">
        <v>72</v>
      </c>
      <c r="B178" t="s">
        <v>3840</v>
      </c>
      <c r="C178" t="s">
        <v>74</v>
      </c>
      <c r="D178" t="s">
        <v>74</v>
      </c>
      <c r="E178" t="s">
        <v>74</v>
      </c>
      <c r="F178" t="s">
        <v>3841</v>
      </c>
      <c r="G178" t="s">
        <v>74</v>
      </c>
      <c r="H178" t="s">
        <v>74</v>
      </c>
      <c r="I178" t="s">
        <v>3842</v>
      </c>
      <c r="J178" t="s">
        <v>1690</v>
      </c>
      <c r="K178" t="s">
        <v>74</v>
      </c>
      <c r="L178" t="s">
        <v>74</v>
      </c>
      <c r="M178" t="s">
        <v>78</v>
      </c>
      <c r="N178" t="s">
        <v>79</v>
      </c>
      <c r="O178" t="s">
        <v>74</v>
      </c>
      <c r="P178" t="s">
        <v>74</v>
      </c>
      <c r="Q178" t="s">
        <v>74</v>
      </c>
      <c r="R178" t="s">
        <v>74</v>
      </c>
      <c r="S178" t="s">
        <v>74</v>
      </c>
      <c r="T178" t="s">
        <v>3843</v>
      </c>
      <c r="U178" t="s">
        <v>3844</v>
      </c>
      <c r="V178" t="s">
        <v>3845</v>
      </c>
      <c r="W178" t="s">
        <v>3846</v>
      </c>
      <c r="X178" t="s">
        <v>3847</v>
      </c>
      <c r="Y178" t="s">
        <v>3848</v>
      </c>
      <c r="Z178" t="s">
        <v>3849</v>
      </c>
      <c r="AA178" t="s">
        <v>3850</v>
      </c>
      <c r="AB178" t="s">
        <v>3851</v>
      </c>
      <c r="AC178" t="s">
        <v>74</v>
      </c>
      <c r="AD178" t="s">
        <v>74</v>
      </c>
      <c r="AE178" t="s">
        <v>74</v>
      </c>
      <c r="AF178" t="s">
        <v>74</v>
      </c>
      <c r="AG178">
        <v>19</v>
      </c>
      <c r="AH178">
        <v>0</v>
      </c>
      <c r="AI178">
        <v>0</v>
      </c>
      <c r="AJ178">
        <v>0</v>
      </c>
      <c r="AK178">
        <v>26</v>
      </c>
      <c r="AL178" t="s">
        <v>207</v>
      </c>
      <c r="AM178" t="s">
        <v>473</v>
      </c>
      <c r="AN178" t="s">
        <v>474</v>
      </c>
      <c r="AO178" t="s">
        <v>1702</v>
      </c>
      <c r="AP178" t="s">
        <v>1703</v>
      </c>
      <c r="AQ178" t="s">
        <v>74</v>
      </c>
      <c r="AR178" t="s">
        <v>1704</v>
      </c>
      <c r="AS178" t="s">
        <v>1705</v>
      </c>
      <c r="AT178" t="s">
        <v>374</v>
      </c>
      <c r="AU178">
        <v>2021</v>
      </c>
      <c r="AV178">
        <v>44</v>
      </c>
      <c r="AW178">
        <v>1</v>
      </c>
      <c r="AX178" t="s">
        <v>74</v>
      </c>
      <c r="AY178" t="s">
        <v>74</v>
      </c>
      <c r="AZ178" t="s">
        <v>74</v>
      </c>
      <c r="BA178" t="s">
        <v>74</v>
      </c>
      <c r="BB178">
        <v>217</v>
      </c>
      <c r="BC178">
        <v>219</v>
      </c>
      <c r="BD178" t="s">
        <v>74</v>
      </c>
      <c r="BE178" t="s">
        <v>3852</v>
      </c>
      <c r="BF178" t="str">
        <f>HYPERLINK("http://dx.doi.org/10.1007/s00300-020-02779-z","http://dx.doi.org/10.1007/s00300-020-02779-z")</f>
        <v>http://dx.doi.org/10.1007/s00300-020-02779-z</v>
      </c>
      <c r="BG178" t="s">
        <v>74</v>
      </c>
      <c r="BH178" t="s">
        <v>101</v>
      </c>
      <c r="BI178">
        <v>3</v>
      </c>
      <c r="BJ178" t="s">
        <v>1052</v>
      </c>
      <c r="BK178" t="s">
        <v>103</v>
      </c>
      <c r="BL178" t="s">
        <v>1053</v>
      </c>
      <c r="BM178" t="s">
        <v>2655</v>
      </c>
      <c r="BN178" t="s">
        <v>74</v>
      </c>
      <c r="BO178" t="s">
        <v>74</v>
      </c>
      <c r="BP178" t="s">
        <v>74</v>
      </c>
      <c r="BQ178" t="s">
        <v>74</v>
      </c>
      <c r="BR178" t="s">
        <v>106</v>
      </c>
      <c r="BS178" t="s">
        <v>3853</v>
      </c>
      <c r="BT178" t="str">
        <f>HYPERLINK("https%3A%2F%2Fwww.webofscience.com%2Fwos%2Fwoscc%2Ffull-record%2FWOS:000604462700002","View Full Record in Web of Science")</f>
        <v>View Full Record in Web of Science</v>
      </c>
    </row>
    <row r="179" spans="1:72" x14ac:dyDescent="0.15">
      <c r="A179" t="s">
        <v>72</v>
      </c>
      <c r="B179" t="s">
        <v>3854</v>
      </c>
      <c r="C179" t="s">
        <v>74</v>
      </c>
      <c r="D179" t="s">
        <v>74</v>
      </c>
      <c r="E179" t="s">
        <v>74</v>
      </c>
      <c r="F179" t="s">
        <v>3855</v>
      </c>
      <c r="G179" t="s">
        <v>74</v>
      </c>
      <c r="H179" t="s">
        <v>74</v>
      </c>
      <c r="I179" t="s">
        <v>3856</v>
      </c>
      <c r="J179" t="s">
        <v>3857</v>
      </c>
      <c r="K179" t="s">
        <v>74</v>
      </c>
      <c r="L179" t="s">
        <v>74</v>
      </c>
      <c r="M179" t="s">
        <v>78</v>
      </c>
      <c r="N179" t="s">
        <v>79</v>
      </c>
      <c r="O179" t="s">
        <v>74</v>
      </c>
      <c r="P179" t="s">
        <v>74</v>
      </c>
      <c r="Q179" t="s">
        <v>74</v>
      </c>
      <c r="R179" t="s">
        <v>74</v>
      </c>
      <c r="S179" t="s">
        <v>74</v>
      </c>
      <c r="T179" t="s">
        <v>3858</v>
      </c>
      <c r="U179" t="s">
        <v>3859</v>
      </c>
      <c r="V179" t="s">
        <v>3860</v>
      </c>
      <c r="W179" t="s">
        <v>3861</v>
      </c>
      <c r="X179" t="s">
        <v>3862</v>
      </c>
      <c r="Y179" t="s">
        <v>3863</v>
      </c>
      <c r="Z179" t="s">
        <v>3864</v>
      </c>
      <c r="AA179" t="s">
        <v>3865</v>
      </c>
      <c r="AB179" t="s">
        <v>3866</v>
      </c>
      <c r="AC179" t="s">
        <v>3867</v>
      </c>
      <c r="AD179" t="s">
        <v>3868</v>
      </c>
      <c r="AE179" t="s">
        <v>3869</v>
      </c>
      <c r="AF179" t="s">
        <v>74</v>
      </c>
      <c r="AG179">
        <v>25</v>
      </c>
      <c r="AH179">
        <v>3</v>
      </c>
      <c r="AI179">
        <v>3</v>
      </c>
      <c r="AJ179">
        <v>1</v>
      </c>
      <c r="AK179">
        <v>3</v>
      </c>
      <c r="AL179" t="s">
        <v>802</v>
      </c>
      <c r="AM179" t="s">
        <v>178</v>
      </c>
      <c r="AN179" t="s">
        <v>803</v>
      </c>
      <c r="AO179" t="s">
        <v>3870</v>
      </c>
      <c r="AP179" t="s">
        <v>3871</v>
      </c>
      <c r="AQ179" t="s">
        <v>74</v>
      </c>
      <c r="AR179" t="s">
        <v>3872</v>
      </c>
      <c r="AS179" t="s">
        <v>3873</v>
      </c>
      <c r="AT179" t="s">
        <v>347</v>
      </c>
      <c r="AU179">
        <v>2021</v>
      </c>
      <c r="AV179">
        <v>501</v>
      </c>
      <c r="AW179">
        <v>3</v>
      </c>
      <c r="AX179" t="s">
        <v>74</v>
      </c>
      <c r="AY179" t="s">
        <v>74</v>
      </c>
      <c r="AZ179" t="s">
        <v>74</v>
      </c>
      <c r="BA179" t="s">
        <v>74</v>
      </c>
      <c r="BB179">
        <v>3614</v>
      </c>
      <c r="BC179">
        <v>3620</v>
      </c>
      <c r="BD179" t="s">
        <v>74</v>
      </c>
      <c r="BE179" t="s">
        <v>3874</v>
      </c>
      <c r="BF179" t="str">
        <f>HYPERLINK("http://dx.doi.org/10.1093/mnras/staa3824","http://dx.doi.org/10.1093/mnras/staa3824")</f>
        <v>http://dx.doi.org/10.1093/mnras/staa3824</v>
      </c>
      <c r="BG179" t="s">
        <v>74</v>
      </c>
      <c r="BH179" t="s">
        <v>101</v>
      </c>
      <c r="BI179">
        <v>7</v>
      </c>
      <c r="BJ179" t="s">
        <v>3258</v>
      </c>
      <c r="BK179" t="s">
        <v>103</v>
      </c>
      <c r="BL179" t="s">
        <v>3258</v>
      </c>
      <c r="BM179" t="s">
        <v>3875</v>
      </c>
      <c r="BN179" t="s">
        <v>74</v>
      </c>
      <c r="BO179" t="s">
        <v>1220</v>
      </c>
      <c r="BP179" t="s">
        <v>74</v>
      </c>
      <c r="BQ179" t="s">
        <v>74</v>
      </c>
      <c r="BR179" t="s">
        <v>106</v>
      </c>
      <c r="BS179" t="s">
        <v>3876</v>
      </c>
      <c r="BT179" t="str">
        <f>HYPERLINK("https%3A%2F%2Fwww.webofscience.com%2Fwos%2Fwoscc%2Ffull-record%2FWOS:000694016700001","View Full Record in Web of Science")</f>
        <v>View Full Record in Web of Science</v>
      </c>
    </row>
    <row r="180" spans="1:72" x14ac:dyDescent="0.15">
      <c r="A180" t="s">
        <v>72</v>
      </c>
      <c r="B180" t="s">
        <v>3877</v>
      </c>
      <c r="C180" t="s">
        <v>74</v>
      </c>
      <c r="D180" t="s">
        <v>74</v>
      </c>
      <c r="E180" t="s">
        <v>74</v>
      </c>
      <c r="F180" t="s">
        <v>3878</v>
      </c>
      <c r="G180" t="s">
        <v>74</v>
      </c>
      <c r="H180" t="s">
        <v>74</v>
      </c>
      <c r="I180" t="s">
        <v>3879</v>
      </c>
      <c r="J180" t="s">
        <v>3880</v>
      </c>
      <c r="K180" t="s">
        <v>74</v>
      </c>
      <c r="L180" t="s">
        <v>74</v>
      </c>
      <c r="M180" t="s">
        <v>78</v>
      </c>
      <c r="N180" t="s">
        <v>79</v>
      </c>
      <c r="O180" t="s">
        <v>74</v>
      </c>
      <c r="P180" t="s">
        <v>74</v>
      </c>
      <c r="Q180" t="s">
        <v>74</v>
      </c>
      <c r="R180" t="s">
        <v>74</v>
      </c>
      <c r="S180" t="s">
        <v>74</v>
      </c>
      <c r="T180" t="s">
        <v>3881</v>
      </c>
      <c r="U180" t="s">
        <v>3882</v>
      </c>
      <c r="V180" t="s">
        <v>3883</v>
      </c>
      <c r="W180" t="s">
        <v>3884</v>
      </c>
      <c r="X180" t="s">
        <v>3885</v>
      </c>
      <c r="Y180" t="s">
        <v>3886</v>
      </c>
      <c r="Z180" t="s">
        <v>3887</v>
      </c>
      <c r="AA180" t="s">
        <v>74</v>
      </c>
      <c r="AB180" t="s">
        <v>3888</v>
      </c>
      <c r="AC180" t="s">
        <v>3889</v>
      </c>
      <c r="AD180" t="s">
        <v>3890</v>
      </c>
      <c r="AE180" t="s">
        <v>3891</v>
      </c>
      <c r="AF180" t="s">
        <v>74</v>
      </c>
      <c r="AG180">
        <v>60</v>
      </c>
      <c r="AH180">
        <v>0</v>
      </c>
      <c r="AI180">
        <v>0</v>
      </c>
      <c r="AJ180">
        <v>0</v>
      </c>
      <c r="AK180">
        <v>4</v>
      </c>
      <c r="AL180" t="s">
        <v>2630</v>
      </c>
      <c r="AM180" t="s">
        <v>2631</v>
      </c>
      <c r="AN180" t="s">
        <v>2632</v>
      </c>
      <c r="AO180" t="s">
        <v>3892</v>
      </c>
      <c r="AP180" t="s">
        <v>3893</v>
      </c>
      <c r="AQ180" t="s">
        <v>74</v>
      </c>
      <c r="AR180" t="s">
        <v>3894</v>
      </c>
      <c r="AS180" t="s">
        <v>3895</v>
      </c>
      <c r="AT180" t="s">
        <v>3896</v>
      </c>
      <c r="AU180">
        <v>2021</v>
      </c>
      <c r="AV180">
        <v>53</v>
      </c>
      <c r="AW180">
        <v>1</v>
      </c>
      <c r="AX180" t="s">
        <v>74</v>
      </c>
      <c r="AY180" t="s">
        <v>74</v>
      </c>
      <c r="AZ180" t="s">
        <v>74</v>
      </c>
      <c r="BA180" t="s">
        <v>74</v>
      </c>
      <c r="BB180">
        <v>352</v>
      </c>
      <c r="BC180">
        <v>371</v>
      </c>
      <c r="BD180" t="s">
        <v>74</v>
      </c>
      <c r="BE180" t="s">
        <v>3897</v>
      </c>
      <c r="BF180" t="str">
        <f>HYPERLINK("http://dx.doi.org/10.1080/15230430.2021.2001899","http://dx.doi.org/10.1080/15230430.2021.2001899")</f>
        <v>http://dx.doi.org/10.1080/15230430.2021.2001899</v>
      </c>
      <c r="BG180" t="s">
        <v>74</v>
      </c>
      <c r="BH180" t="s">
        <v>74</v>
      </c>
      <c r="BI180">
        <v>20</v>
      </c>
      <c r="BJ180" t="s">
        <v>3898</v>
      </c>
      <c r="BK180" t="s">
        <v>103</v>
      </c>
      <c r="BL180" t="s">
        <v>3899</v>
      </c>
      <c r="BM180" t="s">
        <v>3900</v>
      </c>
      <c r="BN180" t="s">
        <v>74</v>
      </c>
      <c r="BO180" t="s">
        <v>326</v>
      </c>
      <c r="BP180" t="s">
        <v>74</v>
      </c>
      <c r="BQ180" t="s">
        <v>74</v>
      </c>
      <c r="BR180" t="s">
        <v>106</v>
      </c>
      <c r="BS180" t="s">
        <v>3901</v>
      </c>
      <c r="BT180" t="str">
        <f>HYPERLINK("https%3A%2F%2Fwww.webofscience.com%2Fwos%2Fwoscc%2Ffull-record%2FWOS:000732460900001","View Full Record in Web of Science")</f>
        <v>View Full Record in Web of Science</v>
      </c>
    </row>
    <row r="181" spans="1:72" x14ac:dyDescent="0.15">
      <c r="A181" t="s">
        <v>72</v>
      </c>
      <c r="B181" t="s">
        <v>3902</v>
      </c>
      <c r="C181" t="s">
        <v>74</v>
      </c>
      <c r="D181" t="s">
        <v>74</v>
      </c>
      <c r="E181" t="s">
        <v>74</v>
      </c>
      <c r="F181" t="s">
        <v>3903</v>
      </c>
      <c r="G181" t="s">
        <v>74</v>
      </c>
      <c r="H181" t="s">
        <v>74</v>
      </c>
      <c r="I181" t="s">
        <v>3904</v>
      </c>
      <c r="J181" t="s">
        <v>3880</v>
      </c>
      <c r="K181" t="s">
        <v>74</v>
      </c>
      <c r="L181" t="s">
        <v>74</v>
      </c>
      <c r="M181" t="s">
        <v>78</v>
      </c>
      <c r="N181" t="s">
        <v>79</v>
      </c>
      <c r="O181" t="s">
        <v>74</v>
      </c>
      <c r="P181" t="s">
        <v>74</v>
      </c>
      <c r="Q181" t="s">
        <v>74</v>
      </c>
      <c r="R181" t="s">
        <v>74</v>
      </c>
      <c r="S181" t="s">
        <v>74</v>
      </c>
      <c r="T181" t="s">
        <v>3905</v>
      </c>
      <c r="U181" t="s">
        <v>3906</v>
      </c>
      <c r="V181" t="s">
        <v>3907</v>
      </c>
      <c r="W181" t="s">
        <v>3908</v>
      </c>
      <c r="X181" t="s">
        <v>3909</v>
      </c>
      <c r="Y181" t="s">
        <v>3910</v>
      </c>
      <c r="Z181" t="s">
        <v>3911</v>
      </c>
      <c r="AA181" t="s">
        <v>3912</v>
      </c>
      <c r="AB181" t="s">
        <v>3913</v>
      </c>
      <c r="AC181" t="s">
        <v>3914</v>
      </c>
      <c r="AD181" t="s">
        <v>3915</v>
      </c>
      <c r="AE181" t="s">
        <v>3916</v>
      </c>
      <c r="AF181" t="s">
        <v>74</v>
      </c>
      <c r="AG181">
        <v>78</v>
      </c>
      <c r="AH181">
        <v>4</v>
      </c>
      <c r="AI181">
        <v>4</v>
      </c>
      <c r="AJ181">
        <v>3</v>
      </c>
      <c r="AK181">
        <v>12</v>
      </c>
      <c r="AL181" t="s">
        <v>2630</v>
      </c>
      <c r="AM181" t="s">
        <v>2631</v>
      </c>
      <c r="AN181" t="s">
        <v>2632</v>
      </c>
      <c r="AO181" t="s">
        <v>3892</v>
      </c>
      <c r="AP181" t="s">
        <v>3893</v>
      </c>
      <c r="AQ181" t="s">
        <v>74</v>
      </c>
      <c r="AR181" t="s">
        <v>3894</v>
      </c>
      <c r="AS181" t="s">
        <v>3895</v>
      </c>
      <c r="AT181" t="s">
        <v>3896</v>
      </c>
      <c r="AU181">
        <v>2021</v>
      </c>
      <c r="AV181">
        <v>53</v>
      </c>
      <c r="AW181">
        <v>1</v>
      </c>
      <c r="AX181" t="s">
        <v>74</v>
      </c>
      <c r="AY181" t="s">
        <v>74</v>
      </c>
      <c r="AZ181" t="s">
        <v>74</v>
      </c>
      <c r="BA181" t="s">
        <v>74</v>
      </c>
      <c r="BB181">
        <v>340</v>
      </c>
      <c r="BC181">
        <v>351</v>
      </c>
      <c r="BD181" t="s">
        <v>74</v>
      </c>
      <c r="BE181" t="s">
        <v>3917</v>
      </c>
      <c r="BF181" t="str">
        <f>HYPERLINK("http://dx.doi.org/10.1080/15230430.2021.2000567","http://dx.doi.org/10.1080/15230430.2021.2000567")</f>
        <v>http://dx.doi.org/10.1080/15230430.2021.2000567</v>
      </c>
      <c r="BG181" t="s">
        <v>74</v>
      </c>
      <c r="BH181" t="s">
        <v>74</v>
      </c>
      <c r="BI181">
        <v>12</v>
      </c>
      <c r="BJ181" t="s">
        <v>3898</v>
      </c>
      <c r="BK181" t="s">
        <v>103</v>
      </c>
      <c r="BL181" t="s">
        <v>3899</v>
      </c>
      <c r="BM181" t="s">
        <v>3918</v>
      </c>
      <c r="BN181" t="s">
        <v>74</v>
      </c>
      <c r="BO181" t="s">
        <v>246</v>
      </c>
      <c r="BP181" t="s">
        <v>74</v>
      </c>
      <c r="BQ181" t="s">
        <v>74</v>
      </c>
      <c r="BR181" t="s">
        <v>106</v>
      </c>
      <c r="BS181" t="s">
        <v>3919</v>
      </c>
      <c r="BT181" t="str">
        <f>HYPERLINK("https%3A%2F%2Fwww.webofscience.com%2Fwos%2Fwoscc%2Ffull-record%2FWOS:000731765200001","View Full Record in Web of Science")</f>
        <v>View Full Record in Web of Science</v>
      </c>
    </row>
    <row r="182" spans="1:72" x14ac:dyDescent="0.15">
      <c r="A182" t="s">
        <v>72</v>
      </c>
      <c r="B182" t="s">
        <v>3920</v>
      </c>
      <c r="C182" t="s">
        <v>74</v>
      </c>
      <c r="D182" t="s">
        <v>74</v>
      </c>
      <c r="E182" t="s">
        <v>74</v>
      </c>
      <c r="F182" t="s">
        <v>3921</v>
      </c>
      <c r="G182" t="s">
        <v>74</v>
      </c>
      <c r="H182" t="s">
        <v>74</v>
      </c>
      <c r="I182" t="s">
        <v>3922</v>
      </c>
      <c r="J182" t="s">
        <v>3880</v>
      </c>
      <c r="K182" t="s">
        <v>74</v>
      </c>
      <c r="L182" t="s">
        <v>74</v>
      </c>
      <c r="M182" t="s">
        <v>78</v>
      </c>
      <c r="N182" t="s">
        <v>79</v>
      </c>
      <c r="O182" t="s">
        <v>74</v>
      </c>
      <c r="P182" t="s">
        <v>74</v>
      </c>
      <c r="Q182" t="s">
        <v>74</v>
      </c>
      <c r="R182" t="s">
        <v>74</v>
      </c>
      <c r="S182" t="s">
        <v>74</v>
      </c>
      <c r="T182" t="s">
        <v>3923</v>
      </c>
      <c r="U182" t="s">
        <v>3924</v>
      </c>
      <c r="V182" t="s">
        <v>3925</v>
      </c>
      <c r="W182" t="s">
        <v>3926</v>
      </c>
      <c r="X182" t="s">
        <v>3927</v>
      </c>
      <c r="Y182" t="s">
        <v>3928</v>
      </c>
      <c r="Z182" t="s">
        <v>3929</v>
      </c>
      <c r="AA182" t="s">
        <v>74</v>
      </c>
      <c r="AB182" t="s">
        <v>3930</v>
      </c>
      <c r="AC182" t="s">
        <v>3931</v>
      </c>
      <c r="AD182" t="s">
        <v>3932</v>
      </c>
      <c r="AE182" t="s">
        <v>3933</v>
      </c>
      <c r="AF182" t="s">
        <v>74</v>
      </c>
      <c r="AG182">
        <v>74</v>
      </c>
      <c r="AH182">
        <v>1</v>
      </c>
      <c r="AI182">
        <v>1</v>
      </c>
      <c r="AJ182">
        <v>3</v>
      </c>
      <c r="AK182">
        <v>11</v>
      </c>
      <c r="AL182" t="s">
        <v>2630</v>
      </c>
      <c r="AM182" t="s">
        <v>2631</v>
      </c>
      <c r="AN182" t="s">
        <v>2632</v>
      </c>
      <c r="AO182" t="s">
        <v>3892</v>
      </c>
      <c r="AP182" t="s">
        <v>3893</v>
      </c>
      <c r="AQ182" t="s">
        <v>74</v>
      </c>
      <c r="AR182" t="s">
        <v>3894</v>
      </c>
      <c r="AS182" t="s">
        <v>3895</v>
      </c>
      <c r="AT182" t="s">
        <v>3896</v>
      </c>
      <c r="AU182">
        <v>2021</v>
      </c>
      <c r="AV182">
        <v>53</v>
      </c>
      <c r="AW182">
        <v>1</v>
      </c>
      <c r="AX182" t="s">
        <v>74</v>
      </c>
      <c r="AY182" t="s">
        <v>74</v>
      </c>
      <c r="AZ182" t="s">
        <v>74</v>
      </c>
      <c r="BA182" t="s">
        <v>74</v>
      </c>
      <c r="BB182">
        <v>324</v>
      </c>
      <c r="BC182">
        <v>339</v>
      </c>
      <c r="BD182" t="s">
        <v>74</v>
      </c>
      <c r="BE182" t="s">
        <v>3934</v>
      </c>
      <c r="BF182" t="str">
        <f>HYPERLINK("http://dx.doi.org/10.1080/15230430.2021.2000566","http://dx.doi.org/10.1080/15230430.2021.2000566")</f>
        <v>http://dx.doi.org/10.1080/15230430.2021.2000566</v>
      </c>
      <c r="BG182" t="s">
        <v>74</v>
      </c>
      <c r="BH182" t="s">
        <v>74</v>
      </c>
      <c r="BI182">
        <v>16</v>
      </c>
      <c r="BJ182" t="s">
        <v>3898</v>
      </c>
      <c r="BK182" t="s">
        <v>103</v>
      </c>
      <c r="BL182" t="s">
        <v>3899</v>
      </c>
      <c r="BM182" t="s">
        <v>3935</v>
      </c>
      <c r="BN182" t="s">
        <v>74</v>
      </c>
      <c r="BO182" t="s">
        <v>326</v>
      </c>
      <c r="BP182" t="s">
        <v>74</v>
      </c>
      <c r="BQ182" t="s">
        <v>74</v>
      </c>
      <c r="BR182" t="s">
        <v>106</v>
      </c>
      <c r="BS182" t="s">
        <v>3936</v>
      </c>
      <c r="BT182" t="str">
        <f>HYPERLINK("https%3A%2F%2Fwww.webofscience.com%2Fwos%2Fwoscc%2Ffull-record%2FWOS:000728727400001","View Full Record in Web of Science")</f>
        <v>View Full Record in Web of Science</v>
      </c>
    </row>
    <row r="183" spans="1:72" x14ac:dyDescent="0.15">
      <c r="A183" t="s">
        <v>72</v>
      </c>
      <c r="B183" t="s">
        <v>3937</v>
      </c>
      <c r="C183" t="s">
        <v>74</v>
      </c>
      <c r="D183" t="s">
        <v>74</v>
      </c>
      <c r="E183" t="s">
        <v>74</v>
      </c>
      <c r="F183" t="s">
        <v>3938</v>
      </c>
      <c r="G183" t="s">
        <v>74</v>
      </c>
      <c r="H183" t="s">
        <v>74</v>
      </c>
      <c r="I183" t="s">
        <v>3939</v>
      </c>
      <c r="J183" t="s">
        <v>3880</v>
      </c>
      <c r="K183" t="s">
        <v>74</v>
      </c>
      <c r="L183" t="s">
        <v>74</v>
      </c>
      <c r="M183" t="s">
        <v>78</v>
      </c>
      <c r="N183" t="s">
        <v>79</v>
      </c>
      <c r="O183" t="s">
        <v>74</v>
      </c>
      <c r="P183" t="s">
        <v>74</v>
      </c>
      <c r="Q183" t="s">
        <v>74</v>
      </c>
      <c r="R183" t="s">
        <v>74</v>
      </c>
      <c r="S183" t="s">
        <v>74</v>
      </c>
      <c r="T183" t="s">
        <v>3940</v>
      </c>
      <c r="U183" t="s">
        <v>3941</v>
      </c>
      <c r="V183" t="s">
        <v>3942</v>
      </c>
      <c r="W183" t="s">
        <v>3943</v>
      </c>
      <c r="X183" t="s">
        <v>3944</v>
      </c>
      <c r="Y183" t="s">
        <v>3945</v>
      </c>
      <c r="Z183" t="s">
        <v>3946</v>
      </c>
      <c r="AA183" t="s">
        <v>3947</v>
      </c>
      <c r="AB183" t="s">
        <v>3948</v>
      </c>
      <c r="AC183" t="s">
        <v>3949</v>
      </c>
      <c r="AD183" t="s">
        <v>3950</v>
      </c>
      <c r="AE183" t="s">
        <v>3951</v>
      </c>
      <c r="AF183" t="s">
        <v>74</v>
      </c>
      <c r="AG183">
        <v>45</v>
      </c>
      <c r="AH183">
        <v>6</v>
      </c>
      <c r="AI183">
        <v>6</v>
      </c>
      <c r="AJ183">
        <v>0</v>
      </c>
      <c r="AK183">
        <v>2</v>
      </c>
      <c r="AL183" t="s">
        <v>2630</v>
      </c>
      <c r="AM183" t="s">
        <v>2631</v>
      </c>
      <c r="AN183" t="s">
        <v>2632</v>
      </c>
      <c r="AO183" t="s">
        <v>3892</v>
      </c>
      <c r="AP183" t="s">
        <v>3893</v>
      </c>
      <c r="AQ183" t="s">
        <v>74</v>
      </c>
      <c r="AR183" t="s">
        <v>3894</v>
      </c>
      <c r="AS183" t="s">
        <v>3895</v>
      </c>
      <c r="AT183" t="s">
        <v>3896</v>
      </c>
      <c r="AU183">
        <v>2021</v>
      </c>
      <c r="AV183">
        <v>53</v>
      </c>
      <c r="AW183">
        <v>1</v>
      </c>
      <c r="AX183" t="s">
        <v>74</v>
      </c>
      <c r="AY183" t="s">
        <v>74</v>
      </c>
      <c r="AZ183" t="s">
        <v>74</v>
      </c>
      <c r="BA183" t="s">
        <v>74</v>
      </c>
      <c r="BB183">
        <v>309</v>
      </c>
      <c r="BC183">
        <v>323</v>
      </c>
      <c r="BD183" t="s">
        <v>74</v>
      </c>
      <c r="BE183" t="s">
        <v>3952</v>
      </c>
      <c r="BF183" t="str">
        <f>HYPERLINK("http://dx.doi.org/10.1080/15230430.2021.1988356","http://dx.doi.org/10.1080/15230430.2021.1988356")</f>
        <v>http://dx.doi.org/10.1080/15230430.2021.1988356</v>
      </c>
      <c r="BG183" t="s">
        <v>74</v>
      </c>
      <c r="BH183" t="s">
        <v>74</v>
      </c>
      <c r="BI183">
        <v>15</v>
      </c>
      <c r="BJ183" t="s">
        <v>3898</v>
      </c>
      <c r="BK183" t="s">
        <v>103</v>
      </c>
      <c r="BL183" t="s">
        <v>3899</v>
      </c>
      <c r="BM183" t="s">
        <v>3953</v>
      </c>
      <c r="BN183" t="s">
        <v>74</v>
      </c>
      <c r="BO183" t="s">
        <v>326</v>
      </c>
      <c r="BP183" t="s">
        <v>74</v>
      </c>
      <c r="BQ183" t="s">
        <v>74</v>
      </c>
      <c r="BR183" t="s">
        <v>106</v>
      </c>
      <c r="BS183" t="s">
        <v>3954</v>
      </c>
      <c r="BT183" t="str">
        <f>HYPERLINK("https%3A%2F%2Fwww.webofscience.com%2Fwos%2Fwoscc%2Ffull-record%2FWOS:000724552300001","View Full Record in Web of Science")</f>
        <v>View Full Record in Web of Science</v>
      </c>
    </row>
    <row r="184" spans="1:72" x14ac:dyDescent="0.15">
      <c r="A184" t="s">
        <v>72</v>
      </c>
      <c r="B184" t="s">
        <v>3955</v>
      </c>
      <c r="C184" t="s">
        <v>74</v>
      </c>
      <c r="D184" t="s">
        <v>74</v>
      </c>
      <c r="E184" t="s">
        <v>74</v>
      </c>
      <c r="F184" t="s">
        <v>3956</v>
      </c>
      <c r="G184" t="s">
        <v>74</v>
      </c>
      <c r="H184" t="s">
        <v>74</v>
      </c>
      <c r="I184" t="s">
        <v>3957</v>
      </c>
      <c r="J184" t="s">
        <v>3880</v>
      </c>
      <c r="K184" t="s">
        <v>74</v>
      </c>
      <c r="L184" t="s">
        <v>74</v>
      </c>
      <c r="M184" t="s">
        <v>78</v>
      </c>
      <c r="N184" t="s">
        <v>79</v>
      </c>
      <c r="O184" t="s">
        <v>74</v>
      </c>
      <c r="P184" t="s">
        <v>74</v>
      </c>
      <c r="Q184" t="s">
        <v>74</v>
      </c>
      <c r="R184" t="s">
        <v>74</v>
      </c>
      <c r="S184" t="s">
        <v>74</v>
      </c>
      <c r="T184" t="s">
        <v>3958</v>
      </c>
      <c r="U184" t="s">
        <v>3959</v>
      </c>
      <c r="V184" t="s">
        <v>3960</v>
      </c>
      <c r="W184" t="s">
        <v>3961</v>
      </c>
      <c r="X184" t="s">
        <v>3962</v>
      </c>
      <c r="Y184" t="s">
        <v>3963</v>
      </c>
      <c r="Z184" t="s">
        <v>3964</v>
      </c>
      <c r="AA184" t="s">
        <v>3965</v>
      </c>
      <c r="AB184" t="s">
        <v>3966</v>
      </c>
      <c r="AC184" t="s">
        <v>3967</v>
      </c>
      <c r="AD184" t="s">
        <v>3968</v>
      </c>
      <c r="AE184" t="s">
        <v>3969</v>
      </c>
      <c r="AF184" t="s">
        <v>74</v>
      </c>
      <c r="AG184">
        <v>70</v>
      </c>
      <c r="AH184">
        <v>6</v>
      </c>
      <c r="AI184">
        <v>6</v>
      </c>
      <c r="AJ184">
        <v>1</v>
      </c>
      <c r="AK184">
        <v>4</v>
      </c>
      <c r="AL184" t="s">
        <v>2630</v>
      </c>
      <c r="AM184" t="s">
        <v>2631</v>
      </c>
      <c r="AN184" t="s">
        <v>2632</v>
      </c>
      <c r="AO184" t="s">
        <v>3892</v>
      </c>
      <c r="AP184" t="s">
        <v>3893</v>
      </c>
      <c r="AQ184" t="s">
        <v>74</v>
      </c>
      <c r="AR184" t="s">
        <v>3894</v>
      </c>
      <c r="AS184" t="s">
        <v>3895</v>
      </c>
      <c r="AT184" t="s">
        <v>3896</v>
      </c>
      <c r="AU184">
        <v>2021</v>
      </c>
      <c r="AV184">
        <v>53</v>
      </c>
      <c r="AW184">
        <v>1</v>
      </c>
      <c r="AX184" t="s">
        <v>74</v>
      </c>
      <c r="AY184" t="s">
        <v>74</v>
      </c>
      <c r="AZ184" t="s">
        <v>74</v>
      </c>
      <c r="BA184" t="s">
        <v>74</v>
      </c>
      <c r="BB184">
        <v>300</v>
      </c>
      <c r="BC184">
        <v>308</v>
      </c>
      <c r="BD184" t="s">
        <v>74</v>
      </c>
      <c r="BE184" t="s">
        <v>3970</v>
      </c>
      <c r="BF184" t="str">
        <f>HYPERLINK("http://dx.doi.org/10.1080/15230430.2021.1994103","http://dx.doi.org/10.1080/15230430.2021.1994103")</f>
        <v>http://dx.doi.org/10.1080/15230430.2021.1994103</v>
      </c>
      <c r="BG184" t="s">
        <v>74</v>
      </c>
      <c r="BH184" t="s">
        <v>74</v>
      </c>
      <c r="BI184">
        <v>9</v>
      </c>
      <c r="BJ184" t="s">
        <v>3898</v>
      </c>
      <c r="BK184" t="s">
        <v>103</v>
      </c>
      <c r="BL184" t="s">
        <v>3899</v>
      </c>
      <c r="BM184" t="s">
        <v>3971</v>
      </c>
      <c r="BN184" t="s">
        <v>74</v>
      </c>
      <c r="BO184" t="s">
        <v>326</v>
      </c>
      <c r="BP184" t="s">
        <v>74</v>
      </c>
      <c r="BQ184" t="s">
        <v>74</v>
      </c>
      <c r="BR184" t="s">
        <v>106</v>
      </c>
      <c r="BS184" t="s">
        <v>3972</v>
      </c>
      <c r="BT184" t="str">
        <f>HYPERLINK("https%3A%2F%2Fwww.webofscience.com%2Fwos%2Fwoscc%2Ffull-record%2FWOS:000721603200001","View Full Record in Web of Science")</f>
        <v>View Full Record in Web of Science</v>
      </c>
    </row>
    <row r="185" spans="1:72" x14ac:dyDescent="0.15">
      <c r="A185" t="s">
        <v>72</v>
      </c>
      <c r="B185" t="s">
        <v>3973</v>
      </c>
      <c r="C185" t="s">
        <v>74</v>
      </c>
      <c r="D185" t="s">
        <v>74</v>
      </c>
      <c r="E185" t="s">
        <v>74</v>
      </c>
      <c r="F185" t="s">
        <v>3974</v>
      </c>
      <c r="G185" t="s">
        <v>74</v>
      </c>
      <c r="H185" t="s">
        <v>74</v>
      </c>
      <c r="I185" t="s">
        <v>3975</v>
      </c>
      <c r="J185" t="s">
        <v>3880</v>
      </c>
      <c r="K185" t="s">
        <v>74</v>
      </c>
      <c r="L185" t="s">
        <v>74</v>
      </c>
      <c r="M185" t="s">
        <v>78</v>
      </c>
      <c r="N185" t="s">
        <v>3976</v>
      </c>
      <c r="O185" t="s">
        <v>74</v>
      </c>
      <c r="P185" t="s">
        <v>74</v>
      </c>
      <c r="Q185" t="s">
        <v>74</v>
      </c>
      <c r="R185" t="s">
        <v>74</v>
      </c>
      <c r="S185" t="s">
        <v>74</v>
      </c>
      <c r="T185" t="s">
        <v>74</v>
      </c>
      <c r="U185" t="s">
        <v>74</v>
      </c>
      <c r="V185" t="s">
        <v>74</v>
      </c>
      <c r="W185" t="s">
        <v>3977</v>
      </c>
      <c r="X185" t="s">
        <v>3978</v>
      </c>
      <c r="Y185" t="s">
        <v>3979</v>
      </c>
      <c r="Z185" t="s">
        <v>3980</v>
      </c>
      <c r="AA185" t="s">
        <v>74</v>
      </c>
      <c r="AB185" t="s">
        <v>3981</v>
      </c>
      <c r="AC185" t="s">
        <v>3982</v>
      </c>
      <c r="AD185" t="s">
        <v>3983</v>
      </c>
      <c r="AE185" t="s">
        <v>3984</v>
      </c>
      <c r="AF185" t="s">
        <v>74</v>
      </c>
      <c r="AG185">
        <v>6</v>
      </c>
      <c r="AH185">
        <v>0</v>
      </c>
      <c r="AI185">
        <v>0</v>
      </c>
      <c r="AJ185">
        <v>0</v>
      </c>
      <c r="AK185">
        <v>1</v>
      </c>
      <c r="AL185" t="s">
        <v>2630</v>
      </c>
      <c r="AM185" t="s">
        <v>2631</v>
      </c>
      <c r="AN185" t="s">
        <v>2632</v>
      </c>
      <c r="AO185" t="s">
        <v>3892</v>
      </c>
      <c r="AP185" t="s">
        <v>3893</v>
      </c>
      <c r="AQ185" t="s">
        <v>74</v>
      </c>
      <c r="AR185" t="s">
        <v>3894</v>
      </c>
      <c r="AS185" t="s">
        <v>3895</v>
      </c>
      <c r="AT185" t="s">
        <v>3896</v>
      </c>
      <c r="AU185">
        <v>2021</v>
      </c>
      <c r="AV185">
        <v>53</v>
      </c>
      <c r="AW185">
        <v>1</v>
      </c>
      <c r="AX185" t="s">
        <v>74</v>
      </c>
      <c r="AY185" t="s">
        <v>74</v>
      </c>
      <c r="AZ185" t="s">
        <v>74</v>
      </c>
      <c r="BA185" t="s">
        <v>74</v>
      </c>
      <c r="BB185">
        <v>286</v>
      </c>
      <c r="BC185">
        <v>287</v>
      </c>
      <c r="BD185" t="s">
        <v>74</v>
      </c>
      <c r="BE185" t="s">
        <v>3985</v>
      </c>
      <c r="BF185" t="str">
        <f>HYPERLINK("http://dx.doi.org/10.1080/15230430.2021.1989143","http://dx.doi.org/10.1080/15230430.2021.1989143")</f>
        <v>http://dx.doi.org/10.1080/15230430.2021.1989143</v>
      </c>
      <c r="BG185" t="s">
        <v>74</v>
      </c>
      <c r="BH185" t="s">
        <v>74</v>
      </c>
      <c r="BI185">
        <v>2</v>
      </c>
      <c r="BJ185" t="s">
        <v>3898</v>
      </c>
      <c r="BK185" t="s">
        <v>103</v>
      </c>
      <c r="BL185" t="s">
        <v>3899</v>
      </c>
      <c r="BM185" t="s">
        <v>3986</v>
      </c>
      <c r="BN185" t="s">
        <v>74</v>
      </c>
      <c r="BO185" t="s">
        <v>326</v>
      </c>
      <c r="BP185" t="s">
        <v>74</v>
      </c>
      <c r="BQ185" t="s">
        <v>74</v>
      </c>
      <c r="BR185" t="s">
        <v>106</v>
      </c>
      <c r="BS185" t="s">
        <v>3987</v>
      </c>
      <c r="BT185" t="str">
        <f>HYPERLINK("https%3A%2F%2Fwww.webofscience.com%2Fwos%2Fwoscc%2Ffull-record%2FWOS:000716154700001","View Full Record in Web of Science")</f>
        <v>View Full Record in Web of Science</v>
      </c>
    </row>
    <row r="186" spans="1:72" x14ac:dyDescent="0.15">
      <c r="A186" t="s">
        <v>72</v>
      </c>
      <c r="B186" t="s">
        <v>3988</v>
      </c>
      <c r="C186" t="s">
        <v>74</v>
      </c>
      <c r="D186" t="s">
        <v>74</v>
      </c>
      <c r="E186" t="s">
        <v>74</v>
      </c>
      <c r="F186" t="s">
        <v>3989</v>
      </c>
      <c r="G186" t="s">
        <v>74</v>
      </c>
      <c r="H186" t="s">
        <v>74</v>
      </c>
      <c r="I186" t="s">
        <v>3990</v>
      </c>
      <c r="J186" t="s">
        <v>3880</v>
      </c>
      <c r="K186" t="s">
        <v>74</v>
      </c>
      <c r="L186" t="s">
        <v>74</v>
      </c>
      <c r="M186" t="s">
        <v>78</v>
      </c>
      <c r="N186" t="s">
        <v>79</v>
      </c>
      <c r="O186" t="s">
        <v>74</v>
      </c>
      <c r="P186" t="s">
        <v>74</v>
      </c>
      <c r="Q186" t="s">
        <v>74</v>
      </c>
      <c r="R186" t="s">
        <v>74</v>
      </c>
      <c r="S186" t="s">
        <v>74</v>
      </c>
      <c r="T186" t="s">
        <v>3991</v>
      </c>
      <c r="U186" t="s">
        <v>3992</v>
      </c>
      <c r="V186" t="s">
        <v>3993</v>
      </c>
      <c r="W186" t="s">
        <v>3994</v>
      </c>
      <c r="X186" t="s">
        <v>3995</v>
      </c>
      <c r="Y186" t="s">
        <v>3996</v>
      </c>
      <c r="Z186" t="s">
        <v>3997</v>
      </c>
      <c r="AA186" t="s">
        <v>74</v>
      </c>
      <c r="AB186" t="s">
        <v>3998</v>
      </c>
      <c r="AC186" t="s">
        <v>3999</v>
      </c>
      <c r="AD186" t="s">
        <v>3999</v>
      </c>
      <c r="AE186" t="s">
        <v>4000</v>
      </c>
      <c r="AF186" t="s">
        <v>74</v>
      </c>
      <c r="AG186">
        <v>66</v>
      </c>
      <c r="AH186">
        <v>3</v>
      </c>
      <c r="AI186">
        <v>3</v>
      </c>
      <c r="AJ186">
        <v>3</v>
      </c>
      <c r="AK186">
        <v>11</v>
      </c>
      <c r="AL186" t="s">
        <v>2630</v>
      </c>
      <c r="AM186" t="s">
        <v>2631</v>
      </c>
      <c r="AN186" t="s">
        <v>2632</v>
      </c>
      <c r="AO186" t="s">
        <v>3892</v>
      </c>
      <c r="AP186" t="s">
        <v>3893</v>
      </c>
      <c r="AQ186" t="s">
        <v>74</v>
      </c>
      <c r="AR186" t="s">
        <v>3894</v>
      </c>
      <c r="AS186" t="s">
        <v>3895</v>
      </c>
      <c r="AT186" t="s">
        <v>3896</v>
      </c>
      <c r="AU186">
        <v>2021</v>
      </c>
      <c r="AV186">
        <v>53</v>
      </c>
      <c r="AW186">
        <v>1</v>
      </c>
      <c r="AX186" t="s">
        <v>74</v>
      </c>
      <c r="AY186" t="s">
        <v>74</v>
      </c>
      <c r="AZ186" t="s">
        <v>74</v>
      </c>
      <c r="BA186" t="s">
        <v>74</v>
      </c>
      <c r="BB186">
        <v>271</v>
      </c>
      <c r="BC186">
        <v>285</v>
      </c>
      <c r="BD186" t="s">
        <v>74</v>
      </c>
      <c r="BE186" t="s">
        <v>4001</v>
      </c>
      <c r="BF186" t="str">
        <f>HYPERLINK("http://dx.doi.org/10.1080/15230430.2021.1970340","http://dx.doi.org/10.1080/15230430.2021.1970340")</f>
        <v>http://dx.doi.org/10.1080/15230430.2021.1970340</v>
      </c>
      <c r="BG186" t="s">
        <v>74</v>
      </c>
      <c r="BH186" t="s">
        <v>74</v>
      </c>
      <c r="BI186">
        <v>15</v>
      </c>
      <c r="BJ186" t="s">
        <v>3898</v>
      </c>
      <c r="BK186" t="s">
        <v>103</v>
      </c>
      <c r="BL186" t="s">
        <v>3899</v>
      </c>
      <c r="BM186" t="s">
        <v>4002</v>
      </c>
      <c r="BN186" t="s">
        <v>74</v>
      </c>
      <c r="BO186" t="s">
        <v>326</v>
      </c>
      <c r="BP186" t="s">
        <v>74</v>
      </c>
      <c r="BQ186" t="s">
        <v>74</v>
      </c>
      <c r="BR186" t="s">
        <v>106</v>
      </c>
      <c r="BS186" t="s">
        <v>4003</v>
      </c>
      <c r="BT186" t="str">
        <f>HYPERLINK("https%3A%2F%2Fwww.webofscience.com%2Fwos%2Fwoscc%2Ffull-record%2FWOS:000715544900001","View Full Record in Web of Science")</f>
        <v>View Full Record in Web of Science</v>
      </c>
    </row>
    <row r="187" spans="1:72" x14ac:dyDescent="0.15">
      <c r="A187" t="s">
        <v>72</v>
      </c>
      <c r="B187" t="s">
        <v>4004</v>
      </c>
      <c r="C187" t="s">
        <v>74</v>
      </c>
      <c r="D187" t="s">
        <v>74</v>
      </c>
      <c r="E187" t="s">
        <v>74</v>
      </c>
      <c r="F187" t="s">
        <v>4005</v>
      </c>
      <c r="G187" t="s">
        <v>74</v>
      </c>
      <c r="H187" t="s">
        <v>74</v>
      </c>
      <c r="I187" t="s">
        <v>4006</v>
      </c>
      <c r="J187" t="s">
        <v>3880</v>
      </c>
      <c r="K187" t="s">
        <v>74</v>
      </c>
      <c r="L187" t="s">
        <v>74</v>
      </c>
      <c r="M187" t="s">
        <v>78</v>
      </c>
      <c r="N187" t="s">
        <v>79</v>
      </c>
      <c r="O187" t="s">
        <v>74</v>
      </c>
      <c r="P187" t="s">
        <v>74</v>
      </c>
      <c r="Q187" t="s">
        <v>74</v>
      </c>
      <c r="R187" t="s">
        <v>74</v>
      </c>
      <c r="S187" t="s">
        <v>74</v>
      </c>
      <c r="T187" t="s">
        <v>4007</v>
      </c>
      <c r="U187" t="s">
        <v>4008</v>
      </c>
      <c r="V187" t="s">
        <v>4009</v>
      </c>
      <c r="W187" t="s">
        <v>4010</v>
      </c>
      <c r="X187" t="s">
        <v>4011</v>
      </c>
      <c r="Y187" t="s">
        <v>4012</v>
      </c>
      <c r="Z187" t="s">
        <v>4013</v>
      </c>
      <c r="AA187" t="s">
        <v>74</v>
      </c>
      <c r="AB187" t="s">
        <v>4014</v>
      </c>
      <c r="AC187" t="s">
        <v>4015</v>
      </c>
      <c r="AD187" t="s">
        <v>4016</v>
      </c>
      <c r="AE187" t="s">
        <v>4017</v>
      </c>
      <c r="AF187" t="s">
        <v>74</v>
      </c>
      <c r="AG187">
        <v>114</v>
      </c>
      <c r="AH187">
        <v>4</v>
      </c>
      <c r="AI187">
        <v>4</v>
      </c>
      <c r="AJ187">
        <v>0</v>
      </c>
      <c r="AK187">
        <v>10</v>
      </c>
      <c r="AL187" t="s">
        <v>2630</v>
      </c>
      <c r="AM187" t="s">
        <v>2631</v>
      </c>
      <c r="AN187" t="s">
        <v>2632</v>
      </c>
      <c r="AO187" t="s">
        <v>3892</v>
      </c>
      <c r="AP187" t="s">
        <v>3893</v>
      </c>
      <c r="AQ187" t="s">
        <v>74</v>
      </c>
      <c r="AR187" t="s">
        <v>3894</v>
      </c>
      <c r="AS187" t="s">
        <v>3895</v>
      </c>
      <c r="AT187" t="s">
        <v>3896</v>
      </c>
      <c r="AU187">
        <v>2021</v>
      </c>
      <c r="AV187">
        <v>53</v>
      </c>
      <c r="AW187">
        <v>1</v>
      </c>
      <c r="AX187" t="s">
        <v>74</v>
      </c>
      <c r="AY187" t="s">
        <v>74</v>
      </c>
      <c r="AZ187" t="s">
        <v>74</v>
      </c>
      <c r="BA187" t="s">
        <v>74</v>
      </c>
      <c r="BB187">
        <v>237</v>
      </c>
      <c r="BC187">
        <v>251</v>
      </c>
      <c r="BD187" t="s">
        <v>74</v>
      </c>
      <c r="BE187" t="s">
        <v>4018</v>
      </c>
      <c r="BF187" t="str">
        <f>HYPERLINK("http://dx.doi.org/10.1080/15230430.2021.1976711","http://dx.doi.org/10.1080/15230430.2021.1976711")</f>
        <v>http://dx.doi.org/10.1080/15230430.2021.1976711</v>
      </c>
      <c r="BG187" t="s">
        <v>74</v>
      </c>
      <c r="BH187" t="s">
        <v>74</v>
      </c>
      <c r="BI187">
        <v>15</v>
      </c>
      <c r="BJ187" t="s">
        <v>3898</v>
      </c>
      <c r="BK187" t="s">
        <v>103</v>
      </c>
      <c r="BL187" t="s">
        <v>3899</v>
      </c>
      <c r="BM187" t="s">
        <v>4019</v>
      </c>
      <c r="BN187" t="s">
        <v>74</v>
      </c>
      <c r="BO187" t="s">
        <v>159</v>
      </c>
      <c r="BP187" t="s">
        <v>74</v>
      </c>
      <c r="BQ187" t="s">
        <v>74</v>
      </c>
      <c r="BR187" t="s">
        <v>106</v>
      </c>
      <c r="BS187" t="s">
        <v>4020</v>
      </c>
      <c r="BT187" t="str">
        <f>HYPERLINK("https%3A%2F%2Fwww.webofscience.com%2Fwos%2Fwoscc%2Ffull-record%2FWOS:000713432700001","View Full Record in Web of Science")</f>
        <v>View Full Record in Web of Science</v>
      </c>
    </row>
    <row r="188" spans="1:72" x14ac:dyDescent="0.15">
      <c r="A188" t="s">
        <v>72</v>
      </c>
      <c r="B188" t="s">
        <v>4021</v>
      </c>
      <c r="C188" t="s">
        <v>74</v>
      </c>
      <c r="D188" t="s">
        <v>74</v>
      </c>
      <c r="E188" t="s">
        <v>74</v>
      </c>
      <c r="F188" t="s">
        <v>4022</v>
      </c>
      <c r="G188" t="s">
        <v>74</v>
      </c>
      <c r="H188" t="s">
        <v>74</v>
      </c>
      <c r="I188" t="s">
        <v>4023</v>
      </c>
      <c r="J188" t="s">
        <v>3880</v>
      </c>
      <c r="K188" t="s">
        <v>74</v>
      </c>
      <c r="L188" t="s">
        <v>74</v>
      </c>
      <c r="M188" t="s">
        <v>78</v>
      </c>
      <c r="N188" t="s">
        <v>3976</v>
      </c>
      <c r="O188" t="s">
        <v>74</v>
      </c>
      <c r="P188" t="s">
        <v>74</v>
      </c>
      <c r="Q188" t="s">
        <v>74</v>
      </c>
      <c r="R188" t="s">
        <v>74</v>
      </c>
      <c r="S188" t="s">
        <v>74</v>
      </c>
      <c r="T188" t="s">
        <v>74</v>
      </c>
      <c r="U188" t="s">
        <v>74</v>
      </c>
      <c r="V188" t="s">
        <v>74</v>
      </c>
      <c r="W188" t="s">
        <v>4024</v>
      </c>
      <c r="X188" t="s">
        <v>4025</v>
      </c>
      <c r="Y188" t="s">
        <v>4026</v>
      </c>
      <c r="Z188" t="s">
        <v>4027</v>
      </c>
      <c r="AA188" t="s">
        <v>74</v>
      </c>
      <c r="AB188" t="s">
        <v>74</v>
      </c>
      <c r="AC188" t="s">
        <v>74</v>
      </c>
      <c r="AD188" t="s">
        <v>74</v>
      </c>
      <c r="AE188" t="s">
        <v>74</v>
      </c>
      <c r="AF188" t="s">
        <v>74</v>
      </c>
      <c r="AG188">
        <v>4</v>
      </c>
      <c r="AH188">
        <v>2</v>
      </c>
      <c r="AI188">
        <v>2</v>
      </c>
      <c r="AJ188">
        <v>0</v>
      </c>
      <c r="AK188">
        <v>1</v>
      </c>
      <c r="AL188" t="s">
        <v>2630</v>
      </c>
      <c r="AM188" t="s">
        <v>2631</v>
      </c>
      <c r="AN188" t="s">
        <v>2632</v>
      </c>
      <c r="AO188" t="s">
        <v>3892</v>
      </c>
      <c r="AP188" t="s">
        <v>3893</v>
      </c>
      <c r="AQ188" t="s">
        <v>74</v>
      </c>
      <c r="AR188" t="s">
        <v>3894</v>
      </c>
      <c r="AS188" t="s">
        <v>3895</v>
      </c>
      <c r="AT188" t="s">
        <v>3896</v>
      </c>
      <c r="AU188">
        <v>2021</v>
      </c>
      <c r="AV188">
        <v>53</v>
      </c>
      <c r="AW188">
        <v>1</v>
      </c>
      <c r="AX188" t="s">
        <v>74</v>
      </c>
      <c r="AY188" t="s">
        <v>74</v>
      </c>
      <c r="AZ188" t="s">
        <v>74</v>
      </c>
      <c r="BA188" t="s">
        <v>74</v>
      </c>
      <c r="BB188">
        <v>269</v>
      </c>
      <c r="BC188">
        <v>270</v>
      </c>
      <c r="BD188" t="s">
        <v>74</v>
      </c>
      <c r="BE188" t="s">
        <v>4028</v>
      </c>
      <c r="BF188" t="str">
        <f>HYPERLINK("http://dx.doi.org/10.1080/15230430.2021.1974668","http://dx.doi.org/10.1080/15230430.2021.1974668")</f>
        <v>http://dx.doi.org/10.1080/15230430.2021.1974668</v>
      </c>
      <c r="BG188" t="s">
        <v>74</v>
      </c>
      <c r="BH188" t="s">
        <v>74</v>
      </c>
      <c r="BI188">
        <v>2</v>
      </c>
      <c r="BJ188" t="s">
        <v>3898</v>
      </c>
      <c r="BK188" t="s">
        <v>103</v>
      </c>
      <c r="BL188" t="s">
        <v>3899</v>
      </c>
      <c r="BM188" t="s">
        <v>4029</v>
      </c>
      <c r="BN188" t="s">
        <v>74</v>
      </c>
      <c r="BO188" t="s">
        <v>1105</v>
      </c>
      <c r="BP188" t="s">
        <v>74</v>
      </c>
      <c r="BQ188" t="s">
        <v>74</v>
      </c>
      <c r="BR188" t="s">
        <v>106</v>
      </c>
      <c r="BS188" t="s">
        <v>4030</v>
      </c>
      <c r="BT188" t="str">
        <f>HYPERLINK("https%3A%2F%2Fwww.webofscience.com%2Fwos%2Fwoscc%2Ffull-record%2FWOS:000714747800001","View Full Record in Web of Science")</f>
        <v>View Full Record in Web of Science</v>
      </c>
    </row>
    <row r="189" spans="1:72" x14ac:dyDescent="0.15">
      <c r="A189" t="s">
        <v>72</v>
      </c>
      <c r="B189" t="s">
        <v>4031</v>
      </c>
      <c r="C189" t="s">
        <v>74</v>
      </c>
      <c r="D189" t="s">
        <v>74</v>
      </c>
      <c r="E189" t="s">
        <v>74</v>
      </c>
      <c r="F189" t="s">
        <v>4032</v>
      </c>
      <c r="G189" t="s">
        <v>74</v>
      </c>
      <c r="H189" t="s">
        <v>74</v>
      </c>
      <c r="I189" t="s">
        <v>4033</v>
      </c>
      <c r="J189" t="s">
        <v>3880</v>
      </c>
      <c r="K189" t="s">
        <v>74</v>
      </c>
      <c r="L189" t="s">
        <v>74</v>
      </c>
      <c r="M189" t="s">
        <v>78</v>
      </c>
      <c r="N189" t="s">
        <v>79</v>
      </c>
      <c r="O189" t="s">
        <v>74</v>
      </c>
      <c r="P189" t="s">
        <v>74</v>
      </c>
      <c r="Q189" t="s">
        <v>74</v>
      </c>
      <c r="R189" t="s">
        <v>74</v>
      </c>
      <c r="S189" t="s">
        <v>74</v>
      </c>
      <c r="T189" t="s">
        <v>4034</v>
      </c>
      <c r="U189" t="s">
        <v>4035</v>
      </c>
      <c r="V189" t="s">
        <v>4036</v>
      </c>
      <c r="W189" t="s">
        <v>4037</v>
      </c>
      <c r="X189" t="s">
        <v>4038</v>
      </c>
      <c r="Y189" t="s">
        <v>4039</v>
      </c>
      <c r="Z189" t="s">
        <v>4040</v>
      </c>
      <c r="AA189" t="s">
        <v>74</v>
      </c>
      <c r="AB189" t="s">
        <v>4041</v>
      </c>
      <c r="AC189" t="s">
        <v>4042</v>
      </c>
      <c r="AD189" t="s">
        <v>4043</v>
      </c>
      <c r="AE189" t="s">
        <v>4044</v>
      </c>
      <c r="AF189" t="s">
        <v>74</v>
      </c>
      <c r="AG189">
        <v>35</v>
      </c>
      <c r="AH189">
        <v>1</v>
      </c>
      <c r="AI189">
        <v>3</v>
      </c>
      <c r="AJ189">
        <v>0</v>
      </c>
      <c r="AK189">
        <v>16</v>
      </c>
      <c r="AL189" t="s">
        <v>2630</v>
      </c>
      <c r="AM189" t="s">
        <v>2631</v>
      </c>
      <c r="AN189" t="s">
        <v>2632</v>
      </c>
      <c r="AO189" t="s">
        <v>3892</v>
      </c>
      <c r="AP189" t="s">
        <v>3893</v>
      </c>
      <c r="AQ189" t="s">
        <v>74</v>
      </c>
      <c r="AR189" t="s">
        <v>3894</v>
      </c>
      <c r="AS189" t="s">
        <v>3895</v>
      </c>
      <c r="AT189" t="s">
        <v>3896</v>
      </c>
      <c r="AU189">
        <v>2021</v>
      </c>
      <c r="AV189">
        <v>53</v>
      </c>
      <c r="AW189">
        <v>1</v>
      </c>
      <c r="AX189" t="s">
        <v>74</v>
      </c>
      <c r="AY189" t="s">
        <v>74</v>
      </c>
      <c r="AZ189" t="s">
        <v>74</v>
      </c>
      <c r="BA189" t="s">
        <v>74</v>
      </c>
      <c r="BB189">
        <v>227</v>
      </c>
      <c r="BC189">
        <v>236</v>
      </c>
      <c r="BD189" t="s">
        <v>74</v>
      </c>
      <c r="BE189" t="s">
        <v>4045</v>
      </c>
      <c r="BF189" t="str">
        <f>HYPERLINK("http://dx.doi.org/10.1080/15230430.2021.1974667","http://dx.doi.org/10.1080/15230430.2021.1974667")</f>
        <v>http://dx.doi.org/10.1080/15230430.2021.1974667</v>
      </c>
      <c r="BG189" t="s">
        <v>74</v>
      </c>
      <c r="BH189" t="s">
        <v>74</v>
      </c>
      <c r="BI189">
        <v>10</v>
      </c>
      <c r="BJ189" t="s">
        <v>3898</v>
      </c>
      <c r="BK189" t="s">
        <v>103</v>
      </c>
      <c r="BL189" t="s">
        <v>3899</v>
      </c>
      <c r="BM189" t="s">
        <v>4046</v>
      </c>
      <c r="BN189" t="s">
        <v>74</v>
      </c>
      <c r="BO189" t="s">
        <v>326</v>
      </c>
      <c r="BP189" t="s">
        <v>74</v>
      </c>
      <c r="BQ189" t="s">
        <v>74</v>
      </c>
      <c r="BR189" t="s">
        <v>106</v>
      </c>
      <c r="BS189" t="s">
        <v>4047</v>
      </c>
      <c r="BT189" t="str">
        <f>HYPERLINK("https%3A%2F%2Fwww.webofscience.com%2Fwos%2Fwoscc%2Ffull-record%2FWOS:000712067500001","View Full Record in Web of Science")</f>
        <v>View Full Record in Web of Science</v>
      </c>
    </row>
    <row r="190" spans="1:72" x14ac:dyDescent="0.15">
      <c r="A190" t="s">
        <v>72</v>
      </c>
      <c r="B190" t="s">
        <v>4048</v>
      </c>
      <c r="C190" t="s">
        <v>74</v>
      </c>
      <c r="D190" t="s">
        <v>74</v>
      </c>
      <c r="E190" t="s">
        <v>74</v>
      </c>
      <c r="F190" t="s">
        <v>4049</v>
      </c>
      <c r="G190" t="s">
        <v>74</v>
      </c>
      <c r="H190" t="s">
        <v>74</v>
      </c>
      <c r="I190" t="s">
        <v>4050</v>
      </c>
      <c r="J190" t="s">
        <v>3880</v>
      </c>
      <c r="K190" t="s">
        <v>74</v>
      </c>
      <c r="L190" t="s">
        <v>74</v>
      </c>
      <c r="M190" t="s">
        <v>78</v>
      </c>
      <c r="N190" t="s">
        <v>3976</v>
      </c>
      <c r="O190" t="s">
        <v>74</v>
      </c>
      <c r="P190" t="s">
        <v>74</v>
      </c>
      <c r="Q190" t="s">
        <v>74</v>
      </c>
      <c r="R190" t="s">
        <v>74</v>
      </c>
      <c r="S190" t="s">
        <v>74</v>
      </c>
      <c r="T190" t="s">
        <v>74</v>
      </c>
      <c r="U190" t="s">
        <v>74</v>
      </c>
      <c r="V190" t="s">
        <v>74</v>
      </c>
      <c r="W190" t="s">
        <v>4051</v>
      </c>
      <c r="X190" t="s">
        <v>4052</v>
      </c>
      <c r="Y190" t="s">
        <v>4053</v>
      </c>
      <c r="Z190" t="s">
        <v>4054</v>
      </c>
      <c r="AA190" t="s">
        <v>4055</v>
      </c>
      <c r="AB190" t="s">
        <v>74</v>
      </c>
      <c r="AC190" t="s">
        <v>4056</v>
      </c>
      <c r="AD190" t="s">
        <v>4057</v>
      </c>
      <c r="AE190" t="s">
        <v>4058</v>
      </c>
      <c r="AF190" t="s">
        <v>74</v>
      </c>
      <c r="AG190">
        <v>6</v>
      </c>
      <c r="AH190">
        <v>3</v>
      </c>
      <c r="AI190">
        <v>3</v>
      </c>
      <c r="AJ190">
        <v>0</v>
      </c>
      <c r="AK190">
        <v>5</v>
      </c>
      <c r="AL190" t="s">
        <v>2630</v>
      </c>
      <c r="AM190" t="s">
        <v>2631</v>
      </c>
      <c r="AN190" t="s">
        <v>2632</v>
      </c>
      <c r="AO190" t="s">
        <v>3892</v>
      </c>
      <c r="AP190" t="s">
        <v>3893</v>
      </c>
      <c r="AQ190" t="s">
        <v>74</v>
      </c>
      <c r="AR190" t="s">
        <v>3894</v>
      </c>
      <c r="AS190" t="s">
        <v>3895</v>
      </c>
      <c r="AT190" t="s">
        <v>3896</v>
      </c>
      <c r="AU190">
        <v>2021</v>
      </c>
      <c r="AV190">
        <v>53</v>
      </c>
      <c r="AW190">
        <v>1</v>
      </c>
      <c r="AX190" t="s">
        <v>74</v>
      </c>
      <c r="AY190" t="s">
        <v>74</v>
      </c>
      <c r="AZ190" t="s">
        <v>74</v>
      </c>
      <c r="BA190" t="s">
        <v>74</v>
      </c>
      <c r="BB190">
        <v>219</v>
      </c>
      <c r="BC190">
        <v>220</v>
      </c>
      <c r="BD190" t="s">
        <v>74</v>
      </c>
      <c r="BE190" t="s">
        <v>4059</v>
      </c>
      <c r="BF190" t="str">
        <f>HYPERLINK("http://dx.doi.org/10.1080/15230430.2021.1942400","http://dx.doi.org/10.1080/15230430.2021.1942400")</f>
        <v>http://dx.doi.org/10.1080/15230430.2021.1942400</v>
      </c>
      <c r="BG190" t="s">
        <v>74</v>
      </c>
      <c r="BH190" t="s">
        <v>74</v>
      </c>
      <c r="BI190">
        <v>2</v>
      </c>
      <c r="BJ190" t="s">
        <v>3898</v>
      </c>
      <c r="BK190" t="s">
        <v>103</v>
      </c>
      <c r="BL190" t="s">
        <v>3899</v>
      </c>
      <c r="BM190" t="s">
        <v>4060</v>
      </c>
      <c r="BN190" t="s">
        <v>74</v>
      </c>
      <c r="BO190" t="s">
        <v>326</v>
      </c>
      <c r="BP190" t="s">
        <v>74</v>
      </c>
      <c r="BQ190" t="s">
        <v>74</v>
      </c>
      <c r="BR190" t="s">
        <v>106</v>
      </c>
      <c r="BS190" t="s">
        <v>4061</v>
      </c>
      <c r="BT190" t="str">
        <f>HYPERLINK("https%3A%2F%2Fwww.webofscience.com%2Fwos%2Fwoscc%2Ffull-record%2FWOS:000706949400001","View Full Record in Web of Science")</f>
        <v>View Full Record in Web of Science</v>
      </c>
    </row>
    <row r="191" spans="1:72" x14ac:dyDescent="0.15">
      <c r="A191" t="s">
        <v>72</v>
      </c>
      <c r="B191" t="s">
        <v>4062</v>
      </c>
      <c r="C191" t="s">
        <v>74</v>
      </c>
      <c r="D191" t="s">
        <v>74</v>
      </c>
      <c r="E191" t="s">
        <v>74</v>
      </c>
      <c r="F191" t="s">
        <v>4063</v>
      </c>
      <c r="G191" t="s">
        <v>74</v>
      </c>
      <c r="H191" t="s">
        <v>74</v>
      </c>
      <c r="I191" t="s">
        <v>4064</v>
      </c>
      <c r="J191" t="s">
        <v>3880</v>
      </c>
      <c r="K191" t="s">
        <v>74</v>
      </c>
      <c r="L191" t="s">
        <v>74</v>
      </c>
      <c r="M191" t="s">
        <v>78</v>
      </c>
      <c r="N191" t="s">
        <v>3976</v>
      </c>
      <c r="O191" t="s">
        <v>74</v>
      </c>
      <c r="P191" t="s">
        <v>74</v>
      </c>
      <c r="Q191" t="s">
        <v>74</v>
      </c>
      <c r="R191" t="s">
        <v>74</v>
      </c>
      <c r="S191" t="s">
        <v>74</v>
      </c>
      <c r="T191" t="s">
        <v>74</v>
      </c>
      <c r="U191" t="s">
        <v>74</v>
      </c>
      <c r="V191" t="s">
        <v>74</v>
      </c>
      <c r="W191" t="s">
        <v>4065</v>
      </c>
      <c r="X191" t="s">
        <v>74</v>
      </c>
      <c r="Y191" t="s">
        <v>4053</v>
      </c>
      <c r="Z191" t="s">
        <v>4066</v>
      </c>
      <c r="AA191" t="s">
        <v>4055</v>
      </c>
      <c r="AB191" t="s">
        <v>74</v>
      </c>
      <c r="AC191" t="s">
        <v>4067</v>
      </c>
      <c r="AD191" t="s">
        <v>4068</v>
      </c>
      <c r="AE191" t="s">
        <v>4069</v>
      </c>
      <c r="AF191" t="s">
        <v>74</v>
      </c>
      <c r="AG191">
        <v>6</v>
      </c>
      <c r="AH191">
        <v>2</v>
      </c>
      <c r="AI191">
        <v>2</v>
      </c>
      <c r="AJ191">
        <v>1</v>
      </c>
      <c r="AK191">
        <v>1</v>
      </c>
      <c r="AL191" t="s">
        <v>2630</v>
      </c>
      <c r="AM191" t="s">
        <v>2631</v>
      </c>
      <c r="AN191" t="s">
        <v>2632</v>
      </c>
      <c r="AO191" t="s">
        <v>3892</v>
      </c>
      <c r="AP191" t="s">
        <v>3893</v>
      </c>
      <c r="AQ191" t="s">
        <v>74</v>
      </c>
      <c r="AR191" t="s">
        <v>3894</v>
      </c>
      <c r="AS191" t="s">
        <v>3895</v>
      </c>
      <c r="AT191" t="s">
        <v>3896</v>
      </c>
      <c r="AU191">
        <v>2021</v>
      </c>
      <c r="AV191">
        <v>53</v>
      </c>
      <c r="AW191">
        <v>1</v>
      </c>
      <c r="AX191" t="s">
        <v>74</v>
      </c>
      <c r="AY191" t="s">
        <v>74</v>
      </c>
      <c r="AZ191" t="s">
        <v>74</v>
      </c>
      <c r="BA191" t="s">
        <v>74</v>
      </c>
      <c r="BB191">
        <v>223</v>
      </c>
      <c r="BC191">
        <v>224</v>
      </c>
      <c r="BD191" t="s">
        <v>74</v>
      </c>
      <c r="BE191" t="s">
        <v>4070</v>
      </c>
      <c r="BF191" t="str">
        <f>HYPERLINK("http://dx.doi.org/10.1080/15230430.2021.1946242","http://dx.doi.org/10.1080/15230430.2021.1946242")</f>
        <v>http://dx.doi.org/10.1080/15230430.2021.1946242</v>
      </c>
      <c r="BG191" t="s">
        <v>74</v>
      </c>
      <c r="BH191" t="s">
        <v>74</v>
      </c>
      <c r="BI191">
        <v>2</v>
      </c>
      <c r="BJ191" t="s">
        <v>3898</v>
      </c>
      <c r="BK191" t="s">
        <v>103</v>
      </c>
      <c r="BL191" t="s">
        <v>3899</v>
      </c>
      <c r="BM191" t="s">
        <v>4071</v>
      </c>
      <c r="BN191" t="s">
        <v>74</v>
      </c>
      <c r="BO191" t="s">
        <v>326</v>
      </c>
      <c r="BP191" t="s">
        <v>74</v>
      </c>
      <c r="BQ191" t="s">
        <v>74</v>
      </c>
      <c r="BR191" t="s">
        <v>106</v>
      </c>
      <c r="BS191" t="s">
        <v>4072</v>
      </c>
      <c r="BT191" t="str">
        <f>HYPERLINK("https%3A%2F%2Fwww.webofscience.com%2Fwos%2Fwoscc%2Ffull-record%2FWOS:000706947900001","View Full Record in Web of Science")</f>
        <v>View Full Record in Web of Science</v>
      </c>
    </row>
    <row r="192" spans="1:72" x14ac:dyDescent="0.15">
      <c r="A192" t="s">
        <v>72</v>
      </c>
      <c r="B192" t="s">
        <v>4073</v>
      </c>
      <c r="C192" t="s">
        <v>74</v>
      </c>
      <c r="D192" t="s">
        <v>74</v>
      </c>
      <c r="E192" t="s">
        <v>74</v>
      </c>
      <c r="F192" t="s">
        <v>4074</v>
      </c>
      <c r="G192" t="s">
        <v>74</v>
      </c>
      <c r="H192" t="s">
        <v>74</v>
      </c>
      <c r="I192" t="s">
        <v>4075</v>
      </c>
      <c r="J192" t="s">
        <v>3880</v>
      </c>
      <c r="K192" t="s">
        <v>74</v>
      </c>
      <c r="L192" t="s">
        <v>74</v>
      </c>
      <c r="M192" t="s">
        <v>78</v>
      </c>
      <c r="N192" t="s">
        <v>3976</v>
      </c>
      <c r="O192" t="s">
        <v>74</v>
      </c>
      <c r="P192" t="s">
        <v>74</v>
      </c>
      <c r="Q192" t="s">
        <v>74</v>
      </c>
      <c r="R192" t="s">
        <v>74</v>
      </c>
      <c r="S192" t="s">
        <v>74</v>
      </c>
      <c r="T192" t="s">
        <v>74</v>
      </c>
      <c r="U192" t="s">
        <v>74</v>
      </c>
      <c r="V192" t="s">
        <v>74</v>
      </c>
      <c r="W192" t="s">
        <v>4076</v>
      </c>
      <c r="X192" t="s">
        <v>4077</v>
      </c>
      <c r="Y192" t="s">
        <v>4053</v>
      </c>
      <c r="Z192" t="s">
        <v>4078</v>
      </c>
      <c r="AA192" t="s">
        <v>4055</v>
      </c>
      <c r="AB192" t="s">
        <v>4079</v>
      </c>
      <c r="AC192" t="s">
        <v>4067</v>
      </c>
      <c r="AD192" t="s">
        <v>4068</v>
      </c>
      <c r="AE192" t="s">
        <v>4069</v>
      </c>
      <c r="AF192" t="s">
        <v>74</v>
      </c>
      <c r="AG192">
        <v>6</v>
      </c>
      <c r="AH192">
        <v>2</v>
      </c>
      <c r="AI192">
        <v>2</v>
      </c>
      <c r="AJ192">
        <v>0</v>
      </c>
      <c r="AK192">
        <v>1</v>
      </c>
      <c r="AL192" t="s">
        <v>2630</v>
      </c>
      <c r="AM192" t="s">
        <v>2631</v>
      </c>
      <c r="AN192" t="s">
        <v>2632</v>
      </c>
      <c r="AO192" t="s">
        <v>3892</v>
      </c>
      <c r="AP192" t="s">
        <v>3893</v>
      </c>
      <c r="AQ192" t="s">
        <v>74</v>
      </c>
      <c r="AR192" t="s">
        <v>3894</v>
      </c>
      <c r="AS192" t="s">
        <v>3895</v>
      </c>
      <c r="AT192" t="s">
        <v>3896</v>
      </c>
      <c r="AU192">
        <v>2021</v>
      </c>
      <c r="AV192">
        <v>53</v>
      </c>
      <c r="AW192">
        <v>1</v>
      </c>
      <c r="AX192" t="s">
        <v>74</v>
      </c>
      <c r="AY192" t="s">
        <v>74</v>
      </c>
      <c r="AZ192" t="s">
        <v>74</v>
      </c>
      <c r="BA192" t="s">
        <v>74</v>
      </c>
      <c r="BB192">
        <v>225</v>
      </c>
      <c r="BC192">
        <v>226</v>
      </c>
      <c r="BD192" t="s">
        <v>74</v>
      </c>
      <c r="BE192" t="s">
        <v>4080</v>
      </c>
      <c r="BF192" t="str">
        <f>HYPERLINK("http://dx.doi.org/10.1080/15230430.2021.1946243","http://dx.doi.org/10.1080/15230430.2021.1946243")</f>
        <v>http://dx.doi.org/10.1080/15230430.2021.1946243</v>
      </c>
      <c r="BG192" t="s">
        <v>74</v>
      </c>
      <c r="BH192" t="s">
        <v>74</v>
      </c>
      <c r="BI192">
        <v>2</v>
      </c>
      <c r="BJ192" t="s">
        <v>3898</v>
      </c>
      <c r="BK192" t="s">
        <v>103</v>
      </c>
      <c r="BL192" t="s">
        <v>3899</v>
      </c>
      <c r="BM192" t="s">
        <v>4081</v>
      </c>
      <c r="BN192" t="s">
        <v>74</v>
      </c>
      <c r="BO192" t="s">
        <v>326</v>
      </c>
      <c r="BP192" t="s">
        <v>74</v>
      </c>
      <c r="BQ192" t="s">
        <v>74</v>
      </c>
      <c r="BR192" t="s">
        <v>106</v>
      </c>
      <c r="BS192" t="s">
        <v>4082</v>
      </c>
      <c r="BT192" t="str">
        <f>HYPERLINK("https%3A%2F%2Fwww.webofscience.com%2Fwos%2Fwoscc%2Ffull-record%2FWOS:000706949000001","View Full Record in Web of Science")</f>
        <v>View Full Record in Web of Science</v>
      </c>
    </row>
    <row r="193" spans="1:72" x14ac:dyDescent="0.15">
      <c r="A193" t="s">
        <v>72</v>
      </c>
      <c r="B193" t="s">
        <v>4083</v>
      </c>
      <c r="C193" t="s">
        <v>74</v>
      </c>
      <c r="D193" t="s">
        <v>74</v>
      </c>
      <c r="E193" t="s">
        <v>74</v>
      </c>
      <c r="F193" t="s">
        <v>4084</v>
      </c>
      <c r="G193" t="s">
        <v>74</v>
      </c>
      <c r="H193" t="s">
        <v>74</v>
      </c>
      <c r="I193" t="s">
        <v>4085</v>
      </c>
      <c r="J193" t="s">
        <v>3880</v>
      </c>
      <c r="K193" t="s">
        <v>74</v>
      </c>
      <c r="L193" t="s">
        <v>74</v>
      </c>
      <c r="M193" t="s">
        <v>78</v>
      </c>
      <c r="N193" t="s">
        <v>3976</v>
      </c>
      <c r="O193" t="s">
        <v>74</v>
      </c>
      <c r="P193" t="s">
        <v>74</v>
      </c>
      <c r="Q193" t="s">
        <v>74</v>
      </c>
      <c r="R193" t="s">
        <v>74</v>
      </c>
      <c r="S193" t="s">
        <v>74</v>
      </c>
      <c r="T193" t="s">
        <v>74</v>
      </c>
      <c r="U193" t="s">
        <v>74</v>
      </c>
      <c r="V193" t="s">
        <v>74</v>
      </c>
      <c r="W193" t="s">
        <v>74</v>
      </c>
      <c r="X193" t="s">
        <v>74</v>
      </c>
      <c r="Y193" t="s">
        <v>74</v>
      </c>
      <c r="Z193" t="s">
        <v>4086</v>
      </c>
      <c r="AA193" t="s">
        <v>74</v>
      </c>
      <c r="AB193" t="s">
        <v>74</v>
      </c>
      <c r="AC193" t="s">
        <v>4087</v>
      </c>
      <c r="AD193" t="s">
        <v>4087</v>
      </c>
      <c r="AE193" t="s">
        <v>4088</v>
      </c>
      <c r="AF193" t="s">
        <v>74</v>
      </c>
      <c r="AG193">
        <v>6</v>
      </c>
      <c r="AH193">
        <v>5</v>
      </c>
      <c r="AI193">
        <v>5</v>
      </c>
      <c r="AJ193">
        <v>0</v>
      </c>
      <c r="AK193">
        <v>3</v>
      </c>
      <c r="AL193" t="s">
        <v>2630</v>
      </c>
      <c r="AM193" t="s">
        <v>2631</v>
      </c>
      <c r="AN193" t="s">
        <v>2632</v>
      </c>
      <c r="AO193" t="s">
        <v>3892</v>
      </c>
      <c r="AP193" t="s">
        <v>3893</v>
      </c>
      <c r="AQ193" t="s">
        <v>74</v>
      </c>
      <c r="AR193" t="s">
        <v>3894</v>
      </c>
      <c r="AS193" t="s">
        <v>3895</v>
      </c>
      <c r="AT193" t="s">
        <v>3896</v>
      </c>
      <c r="AU193">
        <v>2021</v>
      </c>
      <c r="AV193">
        <v>53</v>
      </c>
      <c r="AW193">
        <v>1</v>
      </c>
      <c r="AX193" t="s">
        <v>74</v>
      </c>
      <c r="AY193" t="s">
        <v>74</v>
      </c>
      <c r="AZ193" t="s">
        <v>74</v>
      </c>
      <c r="BA193" t="s">
        <v>74</v>
      </c>
      <c r="BB193">
        <v>217</v>
      </c>
      <c r="BC193">
        <v>218</v>
      </c>
      <c r="BD193" t="s">
        <v>74</v>
      </c>
      <c r="BE193" t="s">
        <v>4089</v>
      </c>
      <c r="BF193" t="str">
        <f>HYPERLINK("http://dx.doi.org/10.1080/15230430.2021.1941578","http://dx.doi.org/10.1080/15230430.2021.1941578")</f>
        <v>http://dx.doi.org/10.1080/15230430.2021.1941578</v>
      </c>
      <c r="BG193" t="s">
        <v>74</v>
      </c>
      <c r="BH193" t="s">
        <v>74</v>
      </c>
      <c r="BI193">
        <v>2</v>
      </c>
      <c r="BJ193" t="s">
        <v>3898</v>
      </c>
      <c r="BK193" t="s">
        <v>103</v>
      </c>
      <c r="BL193" t="s">
        <v>3899</v>
      </c>
      <c r="BM193" t="s">
        <v>4090</v>
      </c>
      <c r="BN193" t="s">
        <v>74</v>
      </c>
      <c r="BO193" t="s">
        <v>326</v>
      </c>
      <c r="BP193" t="s">
        <v>74</v>
      </c>
      <c r="BQ193" t="s">
        <v>74</v>
      </c>
      <c r="BR193" t="s">
        <v>106</v>
      </c>
      <c r="BS193" t="s">
        <v>4091</v>
      </c>
      <c r="BT193" t="str">
        <f>HYPERLINK("https%3A%2F%2Fwww.webofscience.com%2Fwos%2Fwoscc%2Ffull-record%2FWOS:000706923600001","View Full Record in Web of Science")</f>
        <v>View Full Record in Web of Science</v>
      </c>
    </row>
    <row r="194" spans="1:72" x14ac:dyDescent="0.15">
      <c r="A194" t="s">
        <v>72</v>
      </c>
      <c r="B194" t="s">
        <v>4092</v>
      </c>
      <c r="C194" t="s">
        <v>74</v>
      </c>
      <c r="D194" t="s">
        <v>74</v>
      </c>
      <c r="E194" t="s">
        <v>74</v>
      </c>
      <c r="F194" t="s">
        <v>4093</v>
      </c>
      <c r="G194" t="s">
        <v>74</v>
      </c>
      <c r="H194" t="s">
        <v>74</v>
      </c>
      <c r="I194" t="s">
        <v>4094</v>
      </c>
      <c r="J194" t="s">
        <v>3880</v>
      </c>
      <c r="K194" t="s">
        <v>74</v>
      </c>
      <c r="L194" t="s">
        <v>74</v>
      </c>
      <c r="M194" t="s">
        <v>78</v>
      </c>
      <c r="N194" t="s">
        <v>3976</v>
      </c>
      <c r="O194" t="s">
        <v>74</v>
      </c>
      <c r="P194" t="s">
        <v>74</v>
      </c>
      <c r="Q194" t="s">
        <v>74</v>
      </c>
      <c r="R194" t="s">
        <v>74</v>
      </c>
      <c r="S194" t="s">
        <v>74</v>
      </c>
      <c r="T194" t="s">
        <v>74</v>
      </c>
      <c r="U194" t="s">
        <v>74</v>
      </c>
      <c r="V194" t="s">
        <v>74</v>
      </c>
      <c r="W194" t="s">
        <v>4095</v>
      </c>
      <c r="X194" t="s">
        <v>4096</v>
      </c>
      <c r="Y194" t="s">
        <v>4097</v>
      </c>
      <c r="Z194" t="s">
        <v>4098</v>
      </c>
      <c r="AA194" t="s">
        <v>74</v>
      </c>
      <c r="AB194" t="s">
        <v>4099</v>
      </c>
      <c r="AC194" t="s">
        <v>4100</v>
      </c>
      <c r="AD194" t="s">
        <v>4101</v>
      </c>
      <c r="AE194" t="s">
        <v>4102</v>
      </c>
      <c r="AF194" t="s">
        <v>74</v>
      </c>
      <c r="AG194">
        <v>6</v>
      </c>
      <c r="AH194">
        <v>2</v>
      </c>
      <c r="AI194">
        <v>2</v>
      </c>
      <c r="AJ194">
        <v>0</v>
      </c>
      <c r="AK194">
        <v>3</v>
      </c>
      <c r="AL194" t="s">
        <v>2630</v>
      </c>
      <c r="AM194" t="s">
        <v>2631</v>
      </c>
      <c r="AN194" t="s">
        <v>2632</v>
      </c>
      <c r="AO194" t="s">
        <v>3892</v>
      </c>
      <c r="AP194" t="s">
        <v>3893</v>
      </c>
      <c r="AQ194" t="s">
        <v>74</v>
      </c>
      <c r="AR194" t="s">
        <v>3894</v>
      </c>
      <c r="AS194" t="s">
        <v>3895</v>
      </c>
      <c r="AT194" t="s">
        <v>3896</v>
      </c>
      <c r="AU194">
        <v>2021</v>
      </c>
      <c r="AV194">
        <v>53</v>
      </c>
      <c r="AW194">
        <v>1</v>
      </c>
      <c r="AX194" t="s">
        <v>74</v>
      </c>
      <c r="AY194" t="s">
        <v>74</v>
      </c>
      <c r="AZ194" t="s">
        <v>74</v>
      </c>
      <c r="BA194" t="s">
        <v>74</v>
      </c>
      <c r="BB194">
        <v>221</v>
      </c>
      <c r="BC194">
        <v>222</v>
      </c>
      <c r="BD194" t="s">
        <v>74</v>
      </c>
      <c r="BE194" t="s">
        <v>4103</v>
      </c>
      <c r="BF194" t="str">
        <f>HYPERLINK("http://dx.doi.org/10.1080/15230430.2021.1946241","http://dx.doi.org/10.1080/15230430.2021.1946241")</f>
        <v>http://dx.doi.org/10.1080/15230430.2021.1946241</v>
      </c>
      <c r="BG194" t="s">
        <v>74</v>
      </c>
      <c r="BH194" t="s">
        <v>74</v>
      </c>
      <c r="BI194">
        <v>2</v>
      </c>
      <c r="BJ194" t="s">
        <v>3898</v>
      </c>
      <c r="BK194" t="s">
        <v>103</v>
      </c>
      <c r="BL194" t="s">
        <v>3899</v>
      </c>
      <c r="BM194" t="s">
        <v>4104</v>
      </c>
      <c r="BN194" t="s">
        <v>74</v>
      </c>
      <c r="BO194" t="s">
        <v>246</v>
      </c>
      <c r="BP194" t="s">
        <v>74</v>
      </c>
      <c r="BQ194" t="s">
        <v>74</v>
      </c>
      <c r="BR194" t="s">
        <v>106</v>
      </c>
      <c r="BS194" t="s">
        <v>4105</v>
      </c>
      <c r="BT194" t="str">
        <f>HYPERLINK("https%3A%2F%2Fwww.webofscience.com%2Fwos%2Fwoscc%2Ffull-record%2FWOS:000706937600001","View Full Record in Web of Science")</f>
        <v>View Full Record in Web of Science</v>
      </c>
    </row>
    <row r="195" spans="1:72" x14ac:dyDescent="0.15">
      <c r="A195" t="s">
        <v>72</v>
      </c>
      <c r="B195" t="s">
        <v>4106</v>
      </c>
      <c r="C195" t="s">
        <v>74</v>
      </c>
      <c r="D195" t="s">
        <v>74</v>
      </c>
      <c r="E195" t="s">
        <v>74</v>
      </c>
      <c r="F195" t="s">
        <v>4107</v>
      </c>
      <c r="G195" t="s">
        <v>74</v>
      </c>
      <c r="H195" t="s">
        <v>74</v>
      </c>
      <c r="I195" t="s">
        <v>4108</v>
      </c>
      <c r="J195" t="s">
        <v>3880</v>
      </c>
      <c r="K195" t="s">
        <v>74</v>
      </c>
      <c r="L195" t="s">
        <v>74</v>
      </c>
      <c r="M195" t="s">
        <v>78</v>
      </c>
      <c r="N195" t="s">
        <v>4109</v>
      </c>
      <c r="O195" t="s">
        <v>74</v>
      </c>
      <c r="P195" t="s">
        <v>74</v>
      </c>
      <c r="Q195" t="s">
        <v>74</v>
      </c>
      <c r="R195" t="s">
        <v>74</v>
      </c>
      <c r="S195" t="s">
        <v>74</v>
      </c>
      <c r="T195" t="s">
        <v>74</v>
      </c>
      <c r="U195" t="s">
        <v>4110</v>
      </c>
      <c r="V195" t="s">
        <v>74</v>
      </c>
      <c r="W195" t="s">
        <v>4111</v>
      </c>
      <c r="X195" t="s">
        <v>4112</v>
      </c>
      <c r="Y195" t="s">
        <v>4113</v>
      </c>
      <c r="Z195" t="s">
        <v>4114</v>
      </c>
      <c r="AA195" t="s">
        <v>74</v>
      </c>
      <c r="AB195" t="s">
        <v>74</v>
      </c>
      <c r="AC195" t="s">
        <v>74</v>
      </c>
      <c r="AD195" t="s">
        <v>74</v>
      </c>
      <c r="AE195" t="s">
        <v>74</v>
      </c>
      <c r="AF195" t="s">
        <v>74</v>
      </c>
      <c r="AG195">
        <v>13</v>
      </c>
      <c r="AH195">
        <v>0</v>
      </c>
      <c r="AI195">
        <v>0</v>
      </c>
      <c r="AJ195">
        <v>0</v>
      </c>
      <c r="AK195">
        <v>1</v>
      </c>
      <c r="AL195" t="s">
        <v>2630</v>
      </c>
      <c r="AM195" t="s">
        <v>2631</v>
      </c>
      <c r="AN195" t="s">
        <v>2632</v>
      </c>
      <c r="AO195" t="s">
        <v>3892</v>
      </c>
      <c r="AP195" t="s">
        <v>3893</v>
      </c>
      <c r="AQ195" t="s">
        <v>74</v>
      </c>
      <c r="AR195" t="s">
        <v>3894</v>
      </c>
      <c r="AS195" t="s">
        <v>3895</v>
      </c>
      <c r="AT195" t="s">
        <v>3896</v>
      </c>
      <c r="AU195">
        <v>2021</v>
      </c>
      <c r="AV195">
        <v>53</v>
      </c>
      <c r="AW195">
        <v>1</v>
      </c>
      <c r="AX195" t="s">
        <v>74</v>
      </c>
      <c r="AY195" t="s">
        <v>74</v>
      </c>
      <c r="AZ195" t="s">
        <v>74</v>
      </c>
      <c r="BA195" t="s">
        <v>74</v>
      </c>
      <c r="BB195">
        <v>212</v>
      </c>
      <c r="BC195">
        <v>216</v>
      </c>
      <c r="BD195" t="s">
        <v>74</v>
      </c>
      <c r="BE195" t="s">
        <v>4115</v>
      </c>
      <c r="BF195" t="str">
        <f>HYPERLINK("http://dx.doi.org/10.1080/15230430.2021.1957289","http://dx.doi.org/10.1080/15230430.2021.1957289")</f>
        <v>http://dx.doi.org/10.1080/15230430.2021.1957289</v>
      </c>
      <c r="BG195" t="s">
        <v>74</v>
      </c>
      <c r="BH195" t="s">
        <v>74</v>
      </c>
      <c r="BI195">
        <v>5</v>
      </c>
      <c r="BJ195" t="s">
        <v>3898</v>
      </c>
      <c r="BK195" t="s">
        <v>103</v>
      </c>
      <c r="BL195" t="s">
        <v>3899</v>
      </c>
      <c r="BM195" t="s">
        <v>4116</v>
      </c>
      <c r="BN195" t="s">
        <v>74</v>
      </c>
      <c r="BO195" t="s">
        <v>326</v>
      </c>
      <c r="BP195" t="s">
        <v>74</v>
      </c>
      <c r="BQ195" t="s">
        <v>74</v>
      </c>
      <c r="BR195" t="s">
        <v>106</v>
      </c>
      <c r="BS195" t="s">
        <v>4117</v>
      </c>
      <c r="BT195" t="str">
        <f>HYPERLINK("https%3A%2F%2Fwww.webofscience.com%2Fwos%2Fwoscc%2Ffull-record%2FWOS:000695317700001","View Full Record in Web of Science")</f>
        <v>View Full Record in Web of Science</v>
      </c>
    </row>
    <row r="196" spans="1:72" x14ac:dyDescent="0.15">
      <c r="A196" t="s">
        <v>72</v>
      </c>
      <c r="B196" t="s">
        <v>4118</v>
      </c>
      <c r="C196" t="s">
        <v>74</v>
      </c>
      <c r="D196" t="s">
        <v>74</v>
      </c>
      <c r="E196" t="s">
        <v>74</v>
      </c>
      <c r="F196" t="s">
        <v>4119</v>
      </c>
      <c r="G196" t="s">
        <v>74</v>
      </c>
      <c r="H196" t="s">
        <v>74</v>
      </c>
      <c r="I196" t="s">
        <v>4120</v>
      </c>
      <c r="J196" t="s">
        <v>3880</v>
      </c>
      <c r="K196" t="s">
        <v>74</v>
      </c>
      <c r="L196" t="s">
        <v>74</v>
      </c>
      <c r="M196" t="s">
        <v>78</v>
      </c>
      <c r="N196" t="s">
        <v>79</v>
      </c>
      <c r="O196" t="s">
        <v>74</v>
      </c>
      <c r="P196" t="s">
        <v>74</v>
      </c>
      <c r="Q196" t="s">
        <v>74</v>
      </c>
      <c r="R196" t="s">
        <v>74</v>
      </c>
      <c r="S196" t="s">
        <v>74</v>
      </c>
      <c r="T196" t="s">
        <v>4121</v>
      </c>
      <c r="U196" t="s">
        <v>4122</v>
      </c>
      <c r="V196" t="s">
        <v>4123</v>
      </c>
      <c r="W196" t="s">
        <v>4124</v>
      </c>
      <c r="X196" t="s">
        <v>4125</v>
      </c>
      <c r="Y196" t="s">
        <v>4126</v>
      </c>
      <c r="Z196" t="s">
        <v>4127</v>
      </c>
      <c r="AA196" t="s">
        <v>4128</v>
      </c>
      <c r="AB196" t="s">
        <v>4129</v>
      </c>
      <c r="AC196" t="s">
        <v>4130</v>
      </c>
      <c r="AD196" t="s">
        <v>4131</v>
      </c>
      <c r="AE196" t="s">
        <v>4132</v>
      </c>
      <c r="AF196" t="s">
        <v>74</v>
      </c>
      <c r="AG196">
        <v>63</v>
      </c>
      <c r="AH196">
        <v>2</v>
      </c>
      <c r="AI196">
        <v>2</v>
      </c>
      <c r="AJ196">
        <v>3</v>
      </c>
      <c r="AK196">
        <v>42</v>
      </c>
      <c r="AL196" t="s">
        <v>2630</v>
      </c>
      <c r="AM196" t="s">
        <v>2631</v>
      </c>
      <c r="AN196" t="s">
        <v>2632</v>
      </c>
      <c r="AO196" t="s">
        <v>3892</v>
      </c>
      <c r="AP196" t="s">
        <v>3893</v>
      </c>
      <c r="AQ196" t="s">
        <v>74</v>
      </c>
      <c r="AR196" t="s">
        <v>3894</v>
      </c>
      <c r="AS196" t="s">
        <v>3895</v>
      </c>
      <c r="AT196" t="s">
        <v>3896</v>
      </c>
      <c r="AU196">
        <v>2021</v>
      </c>
      <c r="AV196">
        <v>53</v>
      </c>
      <c r="AW196">
        <v>1</v>
      </c>
      <c r="AX196" t="s">
        <v>74</v>
      </c>
      <c r="AY196" t="s">
        <v>74</v>
      </c>
      <c r="AZ196" t="s">
        <v>74</v>
      </c>
      <c r="BA196" t="s">
        <v>74</v>
      </c>
      <c r="BB196">
        <v>196</v>
      </c>
      <c r="BC196">
        <v>211</v>
      </c>
      <c r="BD196" t="s">
        <v>74</v>
      </c>
      <c r="BE196" t="s">
        <v>4133</v>
      </c>
      <c r="BF196" t="str">
        <f>HYPERLINK("http://dx.doi.org/10.1080/15230430.2021.1951949","http://dx.doi.org/10.1080/15230430.2021.1951949")</f>
        <v>http://dx.doi.org/10.1080/15230430.2021.1951949</v>
      </c>
      <c r="BG196" t="s">
        <v>74</v>
      </c>
      <c r="BH196" t="s">
        <v>74</v>
      </c>
      <c r="BI196">
        <v>16</v>
      </c>
      <c r="BJ196" t="s">
        <v>3898</v>
      </c>
      <c r="BK196" t="s">
        <v>103</v>
      </c>
      <c r="BL196" t="s">
        <v>3899</v>
      </c>
      <c r="BM196" t="s">
        <v>4134</v>
      </c>
      <c r="BN196" t="s">
        <v>74</v>
      </c>
      <c r="BO196" t="s">
        <v>326</v>
      </c>
      <c r="BP196" t="s">
        <v>74</v>
      </c>
      <c r="BQ196" t="s">
        <v>74</v>
      </c>
      <c r="BR196" t="s">
        <v>106</v>
      </c>
      <c r="BS196" t="s">
        <v>4135</v>
      </c>
      <c r="BT196" t="str">
        <f>HYPERLINK("https%3A%2F%2Fwww.webofscience.com%2Fwos%2Fwoscc%2Ffull-record%2FWOS:000683588900001","View Full Record in Web of Science")</f>
        <v>View Full Record in Web of Science</v>
      </c>
    </row>
    <row r="197" spans="1:72" x14ac:dyDescent="0.15">
      <c r="A197" t="s">
        <v>72</v>
      </c>
      <c r="B197" t="s">
        <v>4136</v>
      </c>
      <c r="C197" t="s">
        <v>74</v>
      </c>
      <c r="D197" t="s">
        <v>74</v>
      </c>
      <c r="E197" t="s">
        <v>74</v>
      </c>
      <c r="F197" t="s">
        <v>4137</v>
      </c>
      <c r="G197" t="s">
        <v>74</v>
      </c>
      <c r="H197" t="s">
        <v>74</v>
      </c>
      <c r="I197" t="s">
        <v>4138</v>
      </c>
      <c r="J197" t="s">
        <v>3880</v>
      </c>
      <c r="K197" t="s">
        <v>74</v>
      </c>
      <c r="L197" t="s">
        <v>74</v>
      </c>
      <c r="M197" t="s">
        <v>78</v>
      </c>
      <c r="N197" t="s">
        <v>79</v>
      </c>
      <c r="O197" t="s">
        <v>74</v>
      </c>
      <c r="P197" t="s">
        <v>74</v>
      </c>
      <c r="Q197" t="s">
        <v>74</v>
      </c>
      <c r="R197" t="s">
        <v>74</v>
      </c>
      <c r="S197" t="s">
        <v>74</v>
      </c>
      <c r="T197" t="s">
        <v>4139</v>
      </c>
      <c r="U197" t="s">
        <v>4140</v>
      </c>
      <c r="V197" t="s">
        <v>4141</v>
      </c>
      <c r="W197" t="s">
        <v>4142</v>
      </c>
      <c r="X197" t="s">
        <v>4143</v>
      </c>
      <c r="Y197" t="s">
        <v>4144</v>
      </c>
      <c r="Z197" t="s">
        <v>4145</v>
      </c>
      <c r="AA197" t="s">
        <v>74</v>
      </c>
      <c r="AB197" t="s">
        <v>4146</v>
      </c>
      <c r="AC197" t="s">
        <v>4147</v>
      </c>
      <c r="AD197" t="s">
        <v>4148</v>
      </c>
      <c r="AE197" t="s">
        <v>4149</v>
      </c>
      <c r="AF197" t="s">
        <v>74</v>
      </c>
      <c r="AG197">
        <v>86</v>
      </c>
      <c r="AH197">
        <v>0</v>
      </c>
      <c r="AI197">
        <v>0</v>
      </c>
      <c r="AJ197">
        <v>5</v>
      </c>
      <c r="AK197">
        <v>18</v>
      </c>
      <c r="AL197" t="s">
        <v>2630</v>
      </c>
      <c r="AM197" t="s">
        <v>2631</v>
      </c>
      <c r="AN197" t="s">
        <v>2632</v>
      </c>
      <c r="AO197" t="s">
        <v>3892</v>
      </c>
      <c r="AP197" t="s">
        <v>3893</v>
      </c>
      <c r="AQ197" t="s">
        <v>74</v>
      </c>
      <c r="AR197" t="s">
        <v>3894</v>
      </c>
      <c r="AS197" t="s">
        <v>3895</v>
      </c>
      <c r="AT197" t="s">
        <v>3896</v>
      </c>
      <c r="AU197">
        <v>2021</v>
      </c>
      <c r="AV197">
        <v>53</v>
      </c>
      <c r="AW197">
        <v>1</v>
      </c>
      <c r="AX197" t="s">
        <v>74</v>
      </c>
      <c r="AY197" t="s">
        <v>74</v>
      </c>
      <c r="AZ197" t="s">
        <v>74</v>
      </c>
      <c r="BA197" t="s">
        <v>74</v>
      </c>
      <c r="BB197">
        <v>179</v>
      </c>
      <c r="BC197">
        <v>195</v>
      </c>
      <c r="BD197" t="s">
        <v>74</v>
      </c>
      <c r="BE197" t="s">
        <v>4150</v>
      </c>
      <c r="BF197" t="str">
        <f>HYPERLINK("http://dx.doi.org/10.1080/15230430.2021.1940790","http://dx.doi.org/10.1080/15230430.2021.1940790")</f>
        <v>http://dx.doi.org/10.1080/15230430.2021.1940790</v>
      </c>
      <c r="BG197" t="s">
        <v>74</v>
      </c>
      <c r="BH197" t="s">
        <v>74</v>
      </c>
      <c r="BI197">
        <v>17</v>
      </c>
      <c r="BJ197" t="s">
        <v>3898</v>
      </c>
      <c r="BK197" t="s">
        <v>103</v>
      </c>
      <c r="BL197" t="s">
        <v>3899</v>
      </c>
      <c r="BM197" t="s">
        <v>4151</v>
      </c>
      <c r="BN197" t="s">
        <v>74</v>
      </c>
      <c r="BO197" t="s">
        <v>326</v>
      </c>
      <c r="BP197" t="s">
        <v>74</v>
      </c>
      <c r="BQ197" t="s">
        <v>74</v>
      </c>
      <c r="BR197" t="s">
        <v>106</v>
      </c>
      <c r="BS197" t="s">
        <v>4152</v>
      </c>
      <c r="BT197" t="str">
        <f>HYPERLINK("https%3A%2F%2Fwww.webofscience.com%2Fwos%2Fwoscc%2Ffull-record%2FWOS:000675227700001","View Full Record in Web of Science")</f>
        <v>View Full Record in Web of Science</v>
      </c>
    </row>
    <row r="198" spans="1:72" x14ac:dyDescent="0.15">
      <c r="A198" t="s">
        <v>72</v>
      </c>
      <c r="B198" t="s">
        <v>4153</v>
      </c>
      <c r="C198" t="s">
        <v>74</v>
      </c>
      <c r="D198" t="s">
        <v>74</v>
      </c>
      <c r="E198" t="s">
        <v>74</v>
      </c>
      <c r="F198" t="s">
        <v>4154</v>
      </c>
      <c r="G198" t="s">
        <v>74</v>
      </c>
      <c r="H198" t="s">
        <v>74</v>
      </c>
      <c r="I198" t="s">
        <v>4155</v>
      </c>
      <c r="J198" t="s">
        <v>3880</v>
      </c>
      <c r="K198" t="s">
        <v>74</v>
      </c>
      <c r="L198" t="s">
        <v>74</v>
      </c>
      <c r="M198" t="s">
        <v>78</v>
      </c>
      <c r="N198" t="s">
        <v>4156</v>
      </c>
      <c r="O198" t="s">
        <v>74</v>
      </c>
      <c r="P198" t="s">
        <v>74</v>
      </c>
      <c r="Q198" t="s">
        <v>74</v>
      </c>
      <c r="R198" t="s">
        <v>74</v>
      </c>
      <c r="S198" t="s">
        <v>74</v>
      </c>
      <c r="T198" t="s">
        <v>74</v>
      </c>
      <c r="U198" t="s">
        <v>74</v>
      </c>
      <c r="V198" t="s">
        <v>74</v>
      </c>
      <c r="W198" t="s">
        <v>4157</v>
      </c>
      <c r="X198" t="s">
        <v>4158</v>
      </c>
      <c r="Y198" t="s">
        <v>4159</v>
      </c>
      <c r="Z198" t="s">
        <v>4160</v>
      </c>
      <c r="AA198" t="s">
        <v>74</v>
      </c>
      <c r="AB198" t="s">
        <v>4161</v>
      </c>
      <c r="AC198" t="s">
        <v>74</v>
      </c>
      <c r="AD198" t="s">
        <v>74</v>
      </c>
      <c r="AE198" t="s">
        <v>74</v>
      </c>
      <c r="AF198" t="s">
        <v>74</v>
      </c>
      <c r="AG198">
        <v>1</v>
      </c>
      <c r="AH198">
        <v>0</v>
      </c>
      <c r="AI198">
        <v>0</v>
      </c>
      <c r="AJ198">
        <v>0</v>
      </c>
      <c r="AK198">
        <v>4</v>
      </c>
      <c r="AL198" t="s">
        <v>2630</v>
      </c>
      <c r="AM198" t="s">
        <v>2631</v>
      </c>
      <c r="AN198" t="s">
        <v>2632</v>
      </c>
      <c r="AO198" t="s">
        <v>3892</v>
      </c>
      <c r="AP198" t="s">
        <v>3893</v>
      </c>
      <c r="AQ198" t="s">
        <v>74</v>
      </c>
      <c r="AR198" t="s">
        <v>3894</v>
      </c>
      <c r="AS198" t="s">
        <v>3895</v>
      </c>
      <c r="AT198" t="s">
        <v>3896</v>
      </c>
      <c r="AU198">
        <v>2021</v>
      </c>
      <c r="AV198">
        <v>53</v>
      </c>
      <c r="AW198">
        <v>1</v>
      </c>
      <c r="AX198" t="s">
        <v>74</v>
      </c>
      <c r="AY198" t="s">
        <v>74</v>
      </c>
      <c r="AZ198" t="s">
        <v>74</v>
      </c>
      <c r="BA198" t="s">
        <v>74</v>
      </c>
      <c r="BB198">
        <v>177</v>
      </c>
      <c r="BC198">
        <v>178</v>
      </c>
      <c r="BD198" t="s">
        <v>74</v>
      </c>
      <c r="BE198" t="s">
        <v>4162</v>
      </c>
      <c r="BF198" t="str">
        <f>HYPERLINK("http://dx.doi.org/10.1080/15230430.2021.1935812","http://dx.doi.org/10.1080/15230430.2021.1935812")</f>
        <v>http://dx.doi.org/10.1080/15230430.2021.1935812</v>
      </c>
      <c r="BG198" t="s">
        <v>74</v>
      </c>
      <c r="BH198" t="s">
        <v>74</v>
      </c>
      <c r="BI198">
        <v>2</v>
      </c>
      <c r="BJ198" t="s">
        <v>3898</v>
      </c>
      <c r="BK198" t="s">
        <v>103</v>
      </c>
      <c r="BL198" t="s">
        <v>3899</v>
      </c>
      <c r="BM198" t="s">
        <v>4163</v>
      </c>
      <c r="BN198" t="s">
        <v>74</v>
      </c>
      <c r="BO198" t="s">
        <v>326</v>
      </c>
      <c r="BP198" t="s">
        <v>74</v>
      </c>
      <c r="BQ198" t="s">
        <v>74</v>
      </c>
      <c r="BR198" t="s">
        <v>106</v>
      </c>
      <c r="BS198" t="s">
        <v>4164</v>
      </c>
      <c r="BT198" t="str">
        <f>HYPERLINK("https%3A%2F%2Fwww.webofscience.com%2Fwos%2Fwoscc%2Ffull-record%2FWOS:000674483700001","View Full Record in Web of Science")</f>
        <v>View Full Record in Web of Science</v>
      </c>
    </row>
    <row r="199" spans="1:72" x14ac:dyDescent="0.15">
      <c r="A199" t="s">
        <v>72</v>
      </c>
      <c r="B199" t="s">
        <v>4165</v>
      </c>
      <c r="C199" t="s">
        <v>74</v>
      </c>
      <c r="D199" t="s">
        <v>74</v>
      </c>
      <c r="E199" t="s">
        <v>74</v>
      </c>
      <c r="F199" t="s">
        <v>4166</v>
      </c>
      <c r="G199" t="s">
        <v>74</v>
      </c>
      <c r="H199" t="s">
        <v>74</v>
      </c>
      <c r="I199" t="s">
        <v>4167</v>
      </c>
      <c r="J199" t="s">
        <v>3880</v>
      </c>
      <c r="K199" t="s">
        <v>74</v>
      </c>
      <c r="L199" t="s">
        <v>74</v>
      </c>
      <c r="M199" t="s">
        <v>78</v>
      </c>
      <c r="N199" t="s">
        <v>79</v>
      </c>
      <c r="O199" t="s">
        <v>74</v>
      </c>
      <c r="P199" t="s">
        <v>74</v>
      </c>
      <c r="Q199" t="s">
        <v>74</v>
      </c>
      <c r="R199" t="s">
        <v>74</v>
      </c>
      <c r="S199" t="s">
        <v>74</v>
      </c>
      <c r="T199" t="s">
        <v>4168</v>
      </c>
      <c r="U199" t="s">
        <v>4169</v>
      </c>
      <c r="V199" t="s">
        <v>4170</v>
      </c>
      <c r="W199" t="s">
        <v>4171</v>
      </c>
      <c r="X199" t="s">
        <v>4172</v>
      </c>
      <c r="Y199" t="s">
        <v>4173</v>
      </c>
      <c r="Z199" t="s">
        <v>4174</v>
      </c>
      <c r="AA199" t="s">
        <v>74</v>
      </c>
      <c r="AB199" t="s">
        <v>74</v>
      </c>
      <c r="AC199" t="s">
        <v>4175</v>
      </c>
      <c r="AD199" t="s">
        <v>4176</v>
      </c>
      <c r="AE199" t="s">
        <v>4177</v>
      </c>
      <c r="AF199" t="s">
        <v>74</v>
      </c>
      <c r="AG199">
        <v>69</v>
      </c>
      <c r="AH199">
        <v>0</v>
      </c>
      <c r="AI199">
        <v>0</v>
      </c>
      <c r="AJ199">
        <v>0</v>
      </c>
      <c r="AK199">
        <v>11</v>
      </c>
      <c r="AL199" t="s">
        <v>2630</v>
      </c>
      <c r="AM199" t="s">
        <v>2631</v>
      </c>
      <c r="AN199" t="s">
        <v>2632</v>
      </c>
      <c r="AO199" t="s">
        <v>3892</v>
      </c>
      <c r="AP199" t="s">
        <v>3893</v>
      </c>
      <c r="AQ199" t="s">
        <v>74</v>
      </c>
      <c r="AR199" t="s">
        <v>3894</v>
      </c>
      <c r="AS199" t="s">
        <v>3895</v>
      </c>
      <c r="AT199" t="s">
        <v>3896</v>
      </c>
      <c r="AU199">
        <v>2021</v>
      </c>
      <c r="AV199">
        <v>53</v>
      </c>
      <c r="AW199">
        <v>1</v>
      </c>
      <c r="AX199" t="s">
        <v>74</v>
      </c>
      <c r="AY199" t="s">
        <v>74</v>
      </c>
      <c r="AZ199" t="s">
        <v>74</v>
      </c>
      <c r="BA199" t="s">
        <v>74</v>
      </c>
      <c r="BB199">
        <v>148</v>
      </c>
      <c r="BC199">
        <v>176</v>
      </c>
      <c r="BD199" t="s">
        <v>74</v>
      </c>
      <c r="BE199" t="s">
        <v>4178</v>
      </c>
      <c r="BF199" t="str">
        <f>HYPERLINK("http://dx.doi.org/10.1080/15230430.2021.1917049","http://dx.doi.org/10.1080/15230430.2021.1917049")</f>
        <v>http://dx.doi.org/10.1080/15230430.2021.1917049</v>
      </c>
      <c r="BG199" t="s">
        <v>74</v>
      </c>
      <c r="BH199" t="s">
        <v>74</v>
      </c>
      <c r="BI199">
        <v>29</v>
      </c>
      <c r="BJ199" t="s">
        <v>3898</v>
      </c>
      <c r="BK199" t="s">
        <v>103</v>
      </c>
      <c r="BL199" t="s">
        <v>3899</v>
      </c>
      <c r="BM199" t="s">
        <v>4179</v>
      </c>
      <c r="BN199" t="s">
        <v>74</v>
      </c>
      <c r="BO199" t="s">
        <v>917</v>
      </c>
      <c r="BP199" t="s">
        <v>74</v>
      </c>
      <c r="BQ199" t="s">
        <v>74</v>
      </c>
      <c r="BR199" t="s">
        <v>106</v>
      </c>
      <c r="BS199" t="s">
        <v>4180</v>
      </c>
      <c r="BT199" t="str">
        <f>HYPERLINK("https%3A%2F%2Fwww.webofscience.com%2Fwos%2Fwoscc%2Ffull-record%2FWOS:000658511900001","View Full Record in Web of Science")</f>
        <v>View Full Record in Web of Science</v>
      </c>
    </row>
    <row r="200" spans="1:72" x14ac:dyDescent="0.15">
      <c r="A200" t="s">
        <v>72</v>
      </c>
      <c r="B200" t="s">
        <v>4181</v>
      </c>
      <c r="C200" t="s">
        <v>74</v>
      </c>
      <c r="D200" t="s">
        <v>74</v>
      </c>
      <c r="E200" t="s">
        <v>74</v>
      </c>
      <c r="F200" t="s">
        <v>4182</v>
      </c>
      <c r="G200" t="s">
        <v>74</v>
      </c>
      <c r="H200" t="s">
        <v>74</v>
      </c>
      <c r="I200" t="s">
        <v>4183</v>
      </c>
      <c r="J200" t="s">
        <v>3880</v>
      </c>
      <c r="K200" t="s">
        <v>74</v>
      </c>
      <c r="L200" t="s">
        <v>74</v>
      </c>
      <c r="M200" t="s">
        <v>78</v>
      </c>
      <c r="N200" t="s">
        <v>79</v>
      </c>
      <c r="O200" t="s">
        <v>74</v>
      </c>
      <c r="P200" t="s">
        <v>74</v>
      </c>
      <c r="Q200" t="s">
        <v>74</v>
      </c>
      <c r="R200" t="s">
        <v>74</v>
      </c>
      <c r="S200" t="s">
        <v>74</v>
      </c>
      <c r="T200" t="s">
        <v>4184</v>
      </c>
      <c r="U200" t="s">
        <v>4185</v>
      </c>
      <c r="V200" t="s">
        <v>4186</v>
      </c>
      <c r="W200" t="s">
        <v>4187</v>
      </c>
      <c r="X200" t="s">
        <v>4188</v>
      </c>
      <c r="Y200" t="s">
        <v>4189</v>
      </c>
      <c r="Z200" t="s">
        <v>4190</v>
      </c>
      <c r="AA200" t="s">
        <v>74</v>
      </c>
      <c r="AB200" t="s">
        <v>4191</v>
      </c>
      <c r="AC200" t="s">
        <v>4192</v>
      </c>
      <c r="AD200" t="s">
        <v>4192</v>
      </c>
      <c r="AE200" t="s">
        <v>4193</v>
      </c>
      <c r="AF200" t="s">
        <v>74</v>
      </c>
      <c r="AG200">
        <v>72</v>
      </c>
      <c r="AH200">
        <v>1</v>
      </c>
      <c r="AI200">
        <v>2</v>
      </c>
      <c r="AJ200">
        <v>3</v>
      </c>
      <c r="AK200">
        <v>16</v>
      </c>
      <c r="AL200" t="s">
        <v>2630</v>
      </c>
      <c r="AM200" t="s">
        <v>2631</v>
      </c>
      <c r="AN200" t="s">
        <v>2632</v>
      </c>
      <c r="AO200" t="s">
        <v>3892</v>
      </c>
      <c r="AP200" t="s">
        <v>3893</v>
      </c>
      <c r="AQ200" t="s">
        <v>74</v>
      </c>
      <c r="AR200" t="s">
        <v>3894</v>
      </c>
      <c r="AS200" t="s">
        <v>3895</v>
      </c>
      <c r="AT200" t="s">
        <v>3896</v>
      </c>
      <c r="AU200">
        <v>2021</v>
      </c>
      <c r="AV200">
        <v>53</v>
      </c>
      <c r="AW200">
        <v>1</v>
      </c>
      <c r="AX200" t="s">
        <v>74</v>
      </c>
      <c r="AY200" t="s">
        <v>74</v>
      </c>
      <c r="AZ200" t="s">
        <v>74</v>
      </c>
      <c r="BA200" t="s">
        <v>74</v>
      </c>
      <c r="BB200">
        <v>110</v>
      </c>
      <c r="BC200">
        <v>126</v>
      </c>
      <c r="BD200" t="s">
        <v>74</v>
      </c>
      <c r="BE200" t="s">
        <v>4194</v>
      </c>
      <c r="BF200" t="str">
        <f>HYPERLINK("http://dx.doi.org/10.1080/15230430.2021.1902249","http://dx.doi.org/10.1080/15230430.2021.1902249")</f>
        <v>http://dx.doi.org/10.1080/15230430.2021.1902249</v>
      </c>
      <c r="BG200" t="s">
        <v>74</v>
      </c>
      <c r="BH200" t="s">
        <v>74</v>
      </c>
      <c r="BI200">
        <v>17</v>
      </c>
      <c r="BJ200" t="s">
        <v>3898</v>
      </c>
      <c r="BK200" t="s">
        <v>103</v>
      </c>
      <c r="BL200" t="s">
        <v>3899</v>
      </c>
      <c r="BM200" t="s">
        <v>4195</v>
      </c>
      <c r="BN200" t="s">
        <v>74</v>
      </c>
      <c r="BO200" t="s">
        <v>326</v>
      </c>
      <c r="BP200" t="s">
        <v>74</v>
      </c>
      <c r="BQ200" t="s">
        <v>74</v>
      </c>
      <c r="BR200" t="s">
        <v>106</v>
      </c>
      <c r="BS200" t="s">
        <v>4196</v>
      </c>
      <c r="BT200" t="str">
        <f>HYPERLINK("https%3A%2F%2Fwww.webofscience.com%2Fwos%2Fwoscc%2Ffull-record%2FWOS:000644910300001","View Full Record in Web of Science")</f>
        <v>View Full Record in Web of Science</v>
      </c>
    </row>
    <row r="201" spans="1:72" x14ac:dyDescent="0.15">
      <c r="A201" t="s">
        <v>72</v>
      </c>
      <c r="B201" t="s">
        <v>4197</v>
      </c>
      <c r="C201" t="s">
        <v>74</v>
      </c>
      <c r="D201" t="s">
        <v>74</v>
      </c>
      <c r="E201" t="s">
        <v>74</v>
      </c>
      <c r="F201" t="s">
        <v>4198</v>
      </c>
      <c r="G201" t="s">
        <v>74</v>
      </c>
      <c r="H201" t="s">
        <v>74</v>
      </c>
      <c r="I201" t="s">
        <v>4199</v>
      </c>
      <c r="J201" t="s">
        <v>3880</v>
      </c>
      <c r="K201" t="s">
        <v>74</v>
      </c>
      <c r="L201" t="s">
        <v>74</v>
      </c>
      <c r="M201" t="s">
        <v>78</v>
      </c>
      <c r="N201" t="s">
        <v>79</v>
      </c>
      <c r="O201" t="s">
        <v>74</v>
      </c>
      <c r="P201" t="s">
        <v>74</v>
      </c>
      <c r="Q201" t="s">
        <v>74</v>
      </c>
      <c r="R201" t="s">
        <v>74</v>
      </c>
      <c r="S201" t="s">
        <v>74</v>
      </c>
      <c r="T201" t="s">
        <v>4200</v>
      </c>
      <c r="U201" t="s">
        <v>4201</v>
      </c>
      <c r="V201" t="s">
        <v>4202</v>
      </c>
      <c r="W201" t="s">
        <v>4203</v>
      </c>
      <c r="X201" t="s">
        <v>4204</v>
      </c>
      <c r="Y201" t="s">
        <v>4205</v>
      </c>
      <c r="Z201" t="s">
        <v>4206</v>
      </c>
      <c r="AA201" t="s">
        <v>74</v>
      </c>
      <c r="AB201" t="s">
        <v>4207</v>
      </c>
      <c r="AC201" t="s">
        <v>4208</v>
      </c>
      <c r="AD201" t="s">
        <v>4209</v>
      </c>
      <c r="AE201" t="s">
        <v>4210</v>
      </c>
      <c r="AF201" t="s">
        <v>74</v>
      </c>
      <c r="AG201">
        <v>83</v>
      </c>
      <c r="AH201">
        <v>6</v>
      </c>
      <c r="AI201">
        <v>8</v>
      </c>
      <c r="AJ201">
        <v>2</v>
      </c>
      <c r="AK201">
        <v>15</v>
      </c>
      <c r="AL201" t="s">
        <v>2630</v>
      </c>
      <c r="AM201" t="s">
        <v>2631</v>
      </c>
      <c r="AN201" t="s">
        <v>2632</v>
      </c>
      <c r="AO201" t="s">
        <v>3892</v>
      </c>
      <c r="AP201" t="s">
        <v>3893</v>
      </c>
      <c r="AQ201" t="s">
        <v>74</v>
      </c>
      <c r="AR201" t="s">
        <v>3894</v>
      </c>
      <c r="AS201" t="s">
        <v>3895</v>
      </c>
      <c r="AT201" t="s">
        <v>3896</v>
      </c>
      <c r="AU201">
        <v>2021</v>
      </c>
      <c r="AV201">
        <v>53</v>
      </c>
      <c r="AW201">
        <v>1</v>
      </c>
      <c r="AX201" t="s">
        <v>74</v>
      </c>
      <c r="AY201" t="s">
        <v>74</v>
      </c>
      <c r="AZ201" t="s">
        <v>74</v>
      </c>
      <c r="BA201" t="s">
        <v>74</v>
      </c>
      <c r="BB201">
        <v>93</v>
      </c>
      <c r="BC201">
        <v>109</v>
      </c>
      <c r="BD201" t="s">
        <v>74</v>
      </c>
      <c r="BE201" t="s">
        <v>4211</v>
      </c>
      <c r="BF201" t="str">
        <f>HYPERLINK("http://dx.doi.org/10.1080/15230430.2021.1899562","http://dx.doi.org/10.1080/15230430.2021.1899562")</f>
        <v>http://dx.doi.org/10.1080/15230430.2021.1899562</v>
      </c>
      <c r="BG201" t="s">
        <v>74</v>
      </c>
      <c r="BH201" t="s">
        <v>74</v>
      </c>
      <c r="BI201">
        <v>17</v>
      </c>
      <c r="BJ201" t="s">
        <v>3898</v>
      </c>
      <c r="BK201" t="s">
        <v>103</v>
      </c>
      <c r="BL201" t="s">
        <v>3899</v>
      </c>
      <c r="BM201" t="s">
        <v>4212</v>
      </c>
      <c r="BN201" t="s">
        <v>74</v>
      </c>
      <c r="BO201" t="s">
        <v>326</v>
      </c>
      <c r="BP201" t="s">
        <v>74</v>
      </c>
      <c r="BQ201" t="s">
        <v>74</v>
      </c>
      <c r="BR201" t="s">
        <v>106</v>
      </c>
      <c r="BS201" t="s">
        <v>4213</v>
      </c>
      <c r="BT201" t="str">
        <f>HYPERLINK("https%3A%2F%2Fwww.webofscience.com%2Fwos%2Fwoscc%2Ffull-record%2FWOS:000644570000001","View Full Record in Web of Science")</f>
        <v>View Full Record in Web of Science</v>
      </c>
    </row>
    <row r="202" spans="1:72" x14ac:dyDescent="0.15">
      <c r="A202" t="s">
        <v>72</v>
      </c>
      <c r="B202" t="s">
        <v>4214</v>
      </c>
      <c r="C202" t="s">
        <v>74</v>
      </c>
      <c r="D202" t="s">
        <v>74</v>
      </c>
      <c r="E202" t="s">
        <v>74</v>
      </c>
      <c r="F202" t="s">
        <v>4215</v>
      </c>
      <c r="G202" t="s">
        <v>74</v>
      </c>
      <c r="H202" t="s">
        <v>74</v>
      </c>
      <c r="I202" t="s">
        <v>4216</v>
      </c>
      <c r="J202" t="s">
        <v>3880</v>
      </c>
      <c r="K202" t="s">
        <v>74</v>
      </c>
      <c r="L202" t="s">
        <v>74</v>
      </c>
      <c r="M202" t="s">
        <v>78</v>
      </c>
      <c r="N202" t="s">
        <v>79</v>
      </c>
      <c r="O202" t="s">
        <v>74</v>
      </c>
      <c r="P202" t="s">
        <v>74</v>
      </c>
      <c r="Q202" t="s">
        <v>74</v>
      </c>
      <c r="R202" t="s">
        <v>74</v>
      </c>
      <c r="S202" t="s">
        <v>74</v>
      </c>
      <c r="T202" t="s">
        <v>4217</v>
      </c>
      <c r="U202" t="s">
        <v>4218</v>
      </c>
      <c r="V202" t="s">
        <v>4219</v>
      </c>
      <c r="W202" t="s">
        <v>4220</v>
      </c>
      <c r="X202" t="s">
        <v>4221</v>
      </c>
      <c r="Y202" t="s">
        <v>4222</v>
      </c>
      <c r="Z202" t="s">
        <v>4223</v>
      </c>
      <c r="AA202" t="s">
        <v>74</v>
      </c>
      <c r="AB202" t="s">
        <v>4224</v>
      </c>
      <c r="AC202" t="s">
        <v>4225</v>
      </c>
      <c r="AD202" t="s">
        <v>4226</v>
      </c>
      <c r="AE202" t="s">
        <v>4227</v>
      </c>
      <c r="AF202" t="s">
        <v>74</v>
      </c>
      <c r="AG202">
        <v>37</v>
      </c>
      <c r="AH202">
        <v>5</v>
      </c>
      <c r="AI202">
        <v>5</v>
      </c>
      <c r="AJ202">
        <v>1</v>
      </c>
      <c r="AK202">
        <v>8</v>
      </c>
      <c r="AL202" t="s">
        <v>2630</v>
      </c>
      <c r="AM202" t="s">
        <v>2631</v>
      </c>
      <c r="AN202" t="s">
        <v>2632</v>
      </c>
      <c r="AO202" t="s">
        <v>3892</v>
      </c>
      <c r="AP202" t="s">
        <v>3893</v>
      </c>
      <c r="AQ202" t="s">
        <v>74</v>
      </c>
      <c r="AR202" t="s">
        <v>3894</v>
      </c>
      <c r="AS202" t="s">
        <v>3895</v>
      </c>
      <c r="AT202" t="s">
        <v>3896</v>
      </c>
      <c r="AU202">
        <v>2021</v>
      </c>
      <c r="AV202">
        <v>53</v>
      </c>
      <c r="AW202">
        <v>1</v>
      </c>
      <c r="AX202" t="s">
        <v>74</v>
      </c>
      <c r="AY202" t="s">
        <v>74</v>
      </c>
      <c r="AZ202" t="s">
        <v>74</v>
      </c>
      <c r="BA202" t="s">
        <v>74</v>
      </c>
      <c r="BB202">
        <v>127</v>
      </c>
      <c r="BC202">
        <v>145</v>
      </c>
      <c r="BD202" t="s">
        <v>74</v>
      </c>
      <c r="BE202" t="s">
        <v>4228</v>
      </c>
      <c r="BF202" t="str">
        <f>HYPERLINK("http://dx.doi.org/10.1080/15230430.2021.1903375","http://dx.doi.org/10.1080/15230430.2021.1903375")</f>
        <v>http://dx.doi.org/10.1080/15230430.2021.1903375</v>
      </c>
      <c r="BG202" t="s">
        <v>74</v>
      </c>
      <c r="BH202" t="s">
        <v>74</v>
      </c>
      <c r="BI202">
        <v>19</v>
      </c>
      <c r="BJ202" t="s">
        <v>3898</v>
      </c>
      <c r="BK202" t="s">
        <v>103</v>
      </c>
      <c r="BL202" t="s">
        <v>3899</v>
      </c>
      <c r="BM202" t="s">
        <v>4229</v>
      </c>
      <c r="BN202" t="s">
        <v>74</v>
      </c>
      <c r="BO202" t="s">
        <v>1105</v>
      </c>
      <c r="BP202" t="s">
        <v>74</v>
      </c>
      <c r="BQ202" t="s">
        <v>74</v>
      </c>
      <c r="BR202" t="s">
        <v>106</v>
      </c>
      <c r="BS202" t="s">
        <v>4230</v>
      </c>
      <c r="BT202" t="str">
        <f>HYPERLINK("https%3A%2F%2Fwww.webofscience.com%2Fwos%2Fwoscc%2Ffull-record%2FWOS:000645017500001","View Full Record in Web of Science")</f>
        <v>View Full Record in Web of Science</v>
      </c>
    </row>
    <row r="203" spans="1:72" x14ac:dyDescent="0.15">
      <c r="A203" t="s">
        <v>72</v>
      </c>
      <c r="B203" t="s">
        <v>4231</v>
      </c>
      <c r="C203" t="s">
        <v>74</v>
      </c>
      <c r="D203" t="s">
        <v>74</v>
      </c>
      <c r="E203" t="s">
        <v>74</v>
      </c>
      <c r="F203" t="s">
        <v>4232</v>
      </c>
      <c r="G203" t="s">
        <v>74</v>
      </c>
      <c r="H203" t="s">
        <v>74</v>
      </c>
      <c r="I203" t="s">
        <v>4233</v>
      </c>
      <c r="J203" t="s">
        <v>3880</v>
      </c>
      <c r="K203" t="s">
        <v>74</v>
      </c>
      <c r="L203" t="s">
        <v>74</v>
      </c>
      <c r="M203" t="s">
        <v>78</v>
      </c>
      <c r="N203" t="s">
        <v>4156</v>
      </c>
      <c r="O203" t="s">
        <v>74</v>
      </c>
      <c r="P203" t="s">
        <v>74</v>
      </c>
      <c r="Q203" t="s">
        <v>74</v>
      </c>
      <c r="R203" t="s">
        <v>74</v>
      </c>
      <c r="S203" t="s">
        <v>74</v>
      </c>
      <c r="T203" t="s">
        <v>74</v>
      </c>
      <c r="U203" t="s">
        <v>74</v>
      </c>
      <c r="V203" t="s">
        <v>74</v>
      </c>
      <c r="W203" t="s">
        <v>4234</v>
      </c>
      <c r="X203" t="s">
        <v>4158</v>
      </c>
      <c r="Y203" t="s">
        <v>4235</v>
      </c>
      <c r="Z203" t="s">
        <v>4236</v>
      </c>
      <c r="AA203" t="s">
        <v>74</v>
      </c>
      <c r="AB203" t="s">
        <v>74</v>
      </c>
      <c r="AC203" t="s">
        <v>74</v>
      </c>
      <c r="AD203" t="s">
        <v>74</v>
      </c>
      <c r="AE203" t="s">
        <v>74</v>
      </c>
      <c r="AF203" t="s">
        <v>74</v>
      </c>
      <c r="AG203">
        <v>1</v>
      </c>
      <c r="AH203">
        <v>0</v>
      </c>
      <c r="AI203">
        <v>0</v>
      </c>
      <c r="AJ203">
        <v>0</v>
      </c>
      <c r="AK203">
        <v>1</v>
      </c>
      <c r="AL203" t="s">
        <v>2630</v>
      </c>
      <c r="AM203" t="s">
        <v>2631</v>
      </c>
      <c r="AN203" t="s">
        <v>2632</v>
      </c>
      <c r="AO203" t="s">
        <v>3892</v>
      </c>
      <c r="AP203" t="s">
        <v>3893</v>
      </c>
      <c r="AQ203" t="s">
        <v>74</v>
      </c>
      <c r="AR203" t="s">
        <v>3894</v>
      </c>
      <c r="AS203" t="s">
        <v>3895</v>
      </c>
      <c r="AT203" t="s">
        <v>3896</v>
      </c>
      <c r="AU203">
        <v>2021</v>
      </c>
      <c r="AV203">
        <v>53</v>
      </c>
      <c r="AW203">
        <v>1</v>
      </c>
      <c r="AX203" t="s">
        <v>74</v>
      </c>
      <c r="AY203" t="s">
        <v>74</v>
      </c>
      <c r="AZ203" t="s">
        <v>74</v>
      </c>
      <c r="BA203" t="s">
        <v>74</v>
      </c>
      <c r="BB203">
        <v>146</v>
      </c>
      <c r="BC203">
        <v>147</v>
      </c>
      <c r="BD203" t="s">
        <v>74</v>
      </c>
      <c r="BE203" t="s">
        <v>4237</v>
      </c>
      <c r="BF203" t="str">
        <f>HYPERLINK("http://dx.doi.org/10.1080/15230430.2021.1914438","http://dx.doi.org/10.1080/15230430.2021.1914438")</f>
        <v>http://dx.doi.org/10.1080/15230430.2021.1914438</v>
      </c>
      <c r="BG203" t="s">
        <v>74</v>
      </c>
      <c r="BH203" t="s">
        <v>74</v>
      </c>
      <c r="BI203">
        <v>2</v>
      </c>
      <c r="BJ203" t="s">
        <v>3898</v>
      </c>
      <c r="BK203" t="s">
        <v>103</v>
      </c>
      <c r="BL203" t="s">
        <v>3899</v>
      </c>
      <c r="BM203" t="s">
        <v>4238</v>
      </c>
      <c r="BN203" t="s">
        <v>74</v>
      </c>
      <c r="BO203" t="s">
        <v>326</v>
      </c>
      <c r="BP203" t="s">
        <v>74</v>
      </c>
      <c r="BQ203" t="s">
        <v>74</v>
      </c>
      <c r="BR203" t="s">
        <v>106</v>
      </c>
      <c r="BS203" t="s">
        <v>4239</v>
      </c>
      <c r="BT203" t="str">
        <f>HYPERLINK("https%3A%2F%2Fwww.webofscience.com%2Fwos%2Fwoscc%2Ffull-record%2FWOS:000645421000001","View Full Record in Web of Science")</f>
        <v>View Full Record in Web of Science</v>
      </c>
    </row>
    <row r="204" spans="1:72" x14ac:dyDescent="0.15">
      <c r="A204" t="s">
        <v>72</v>
      </c>
      <c r="B204" t="s">
        <v>4240</v>
      </c>
      <c r="C204" t="s">
        <v>74</v>
      </c>
      <c r="D204" t="s">
        <v>74</v>
      </c>
      <c r="E204" t="s">
        <v>74</v>
      </c>
      <c r="F204" t="s">
        <v>4241</v>
      </c>
      <c r="G204" t="s">
        <v>74</v>
      </c>
      <c r="H204" t="s">
        <v>74</v>
      </c>
      <c r="I204" t="s">
        <v>4242</v>
      </c>
      <c r="J204" t="s">
        <v>3880</v>
      </c>
      <c r="K204" t="s">
        <v>74</v>
      </c>
      <c r="L204" t="s">
        <v>74</v>
      </c>
      <c r="M204" t="s">
        <v>78</v>
      </c>
      <c r="N204" t="s">
        <v>79</v>
      </c>
      <c r="O204" t="s">
        <v>74</v>
      </c>
      <c r="P204" t="s">
        <v>74</v>
      </c>
      <c r="Q204" t="s">
        <v>74</v>
      </c>
      <c r="R204" t="s">
        <v>74</v>
      </c>
      <c r="S204" t="s">
        <v>74</v>
      </c>
      <c r="T204" t="s">
        <v>4243</v>
      </c>
      <c r="U204" t="s">
        <v>4244</v>
      </c>
      <c r="V204" t="s">
        <v>4245</v>
      </c>
      <c r="W204" t="s">
        <v>4246</v>
      </c>
      <c r="X204" t="s">
        <v>4247</v>
      </c>
      <c r="Y204" t="s">
        <v>4248</v>
      </c>
      <c r="Z204" t="s">
        <v>4249</v>
      </c>
      <c r="AA204" t="s">
        <v>4250</v>
      </c>
      <c r="AB204" t="s">
        <v>4251</v>
      </c>
      <c r="AC204" t="s">
        <v>4252</v>
      </c>
      <c r="AD204" t="s">
        <v>4252</v>
      </c>
      <c r="AE204" t="s">
        <v>4253</v>
      </c>
      <c r="AF204" t="s">
        <v>74</v>
      </c>
      <c r="AG204">
        <v>44</v>
      </c>
      <c r="AH204">
        <v>4</v>
      </c>
      <c r="AI204">
        <v>4</v>
      </c>
      <c r="AJ204">
        <v>0</v>
      </c>
      <c r="AK204">
        <v>6</v>
      </c>
      <c r="AL204" t="s">
        <v>2630</v>
      </c>
      <c r="AM204" t="s">
        <v>2631</v>
      </c>
      <c r="AN204" t="s">
        <v>2632</v>
      </c>
      <c r="AO204" t="s">
        <v>3892</v>
      </c>
      <c r="AP204" t="s">
        <v>3893</v>
      </c>
      <c r="AQ204" t="s">
        <v>74</v>
      </c>
      <c r="AR204" t="s">
        <v>3894</v>
      </c>
      <c r="AS204" t="s">
        <v>3895</v>
      </c>
      <c r="AT204" t="s">
        <v>3896</v>
      </c>
      <c r="AU204">
        <v>2021</v>
      </c>
      <c r="AV204">
        <v>53</v>
      </c>
      <c r="AW204">
        <v>1</v>
      </c>
      <c r="AX204" t="s">
        <v>74</v>
      </c>
      <c r="AY204" t="s">
        <v>74</v>
      </c>
      <c r="AZ204" t="s">
        <v>74</v>
      </c>
      <c r="BA204" t="s">
        <v>74</v>
      </c>
      <c r="BB204">
        <v>69</v>
      </c>
      <c r="BC204">
        <v>79</v>
      </c>
      <c r="BD204" t="s">
        <v>74</v>
      </c>
      <c r="BE204" t="s">
        <v>4254</v>
      </c>
      <c r="BF204" t="str">
        <f>HYPERLINK("http://dx.doi.org/10.1080/15230430.2021.1886577","http://dx.doi.org/10.1080/15230430.2021.1886577")</f>
        <v>http://dx.doi.org/10.1080/15230430.2021.1886577</v>
      </c>
      <c r="BG204" t="s">
        <v>74</v>
      </c>
      <c r="BH204" t="s">
        <v>74</v>
      </c>
      <c r="BI204">
        <v>11</v>
      </c>
      <c r="BJ204" t="s">
        <v>3898</v>
      </c>
      <c r="BK204" t="s">
        <v>103</v>
      </c>
      <c r="BL204" t="s">
        <v>3899</v>
      </c>
      <c r="BM204" t="s">
        <v>4255</v>
      </c>
      <c r="BN204" t="s">
        <v>74</v>
      </c>
      <c r="BO204" t="s">
        <v>246</v>
      </c>
      <c r="BP204" t="s">
        <v>74</v>
      </c>
      <c r="BQ204" t="s">
        <v>74</v>
      </c>
      <c r="BR204" t="s">
        <v>106</v>
      </c>
      <c r="BS204" t="s">
        <v>4256</v>
      </c>
      <c r="BT204" t="str">
        <f>HYPERLINK("https%3A%2F%2Fwww.webofscience.com%2Fwos%2Fwoscc%2Ffull-record%2FWOS:000627321700001","View Full Record in Web of Science")</f>
        <v>View Full Record in Web of Science</v>
      </c>
    </row>
    <row r="205" spans="1:72" x14ac:dyDescent="0.15">
      <c r="A205" t="s">
        <v>72</v>
      </c>
      <c r="B205" t="s">
        <v>4257</v>
      </c>
      <c r="C205" t="s">
        <v>74</v>
      </c>
      <c r="D205" t="s">
        <v>74</v>
      </c>
      <c r="E205" t="s">
        <v>74</v>
      </c>
      <c r="F205" t="s">
        <v>4258</v>
      </c>
      <c r="G205" t="s">
        <v>74</v>
      </c>
      <c r="H205" t="s">
        <v>74</v>
      </c>
      <c r="I205" t="s">
        <v>4259</v>
      </c>
      <c r="J205" t="s">
        <v>3880</v>
      </c>
      <c r="K205" t="s">
        <v>74</v>
      </c>
      <c r="L205" t="s">
        <v>74</v>
      </c>
      <c r="M205" t="s">
        <v>78</v>
      </c>
      <c r="N205" t="s">
        <v>79</v>
      </c>
      <c r="O205" t="s">
        <v>74</v>
      </c>
      <c r="P205" t="s">
        <v>74</v>
      </c>
      <c r="Q205" t="s">
        <v>74</v>
      </c>
      <c r="R205" t="s">
        <v>74</v>
      </c>
      <c r="S205" t="s">
        <v>74</v>
      </c>
      <c r="T205" t="s">
        <v>4260</v>
      </c>
      <c r="U205" t="s">
        <v>4261</v>
      </c>
      <c r="V205" t="s">
        <v>4262</v>
      </c>
      <c r="W205" t="s">
        <v>4263</v>
      </c>
      <c r="X205" t="s">
        <v>4264</v>
      </c>
      <c r="Y205" t="s">
        <v>4265</v>
      </c>
      <c r="Z205" t="s">
        <v>4266</v>
      </c>
      <c r="AA205" t="s">
        <v>4267</v>
      </c>
      <c r="AB205" t="s">
        <v>4268</v>
      </c>
      <c r="AC205" t="s">
        <v>74</v>
      </c>
      <c r="AD205" t="s">
        <v>74</v>
      </c>
      <c r="AE205" t="s">
        <v>74</v>
      </c>
      <c r="AF205" t="s">
        <v>74</v>
      </c>
      <c r="AG205">
        <v>96</v>
      </c>
      <c r="AH205">
        <v>1</v>
      </c>
      <c r="AI205">
        <v>1</v>
      </c>
      <c r="AJ205">
        <v>1</v>
      </c>
      <c r="AK205">
        <v>14</v>
      </c>
      <c r="AL205" t="s">
        <v>2630</v>
      </c>
      <c r="AM205" t="s">
        <v>2631</v>
      </c>
      <c r="AN205" t="s">
        <v>2632</v>
      </c>
      <c r="AO205" t="s">
        <v>3892</v>
      </c>
      <c r="AP205" t="s">
        <v>3893</v>
      </c>
      <c r="AQ205" t="s">
        <v>74</v>
      </c>
      <c r="AR205" t="s">
        <v>3894</v>
      </c>
      <c r="AS205" t="s">
        <v>3895</v>
      </c>
      <c r="AT205" t="s">
        <v>3896</v>
      </c>
      <c r="AU205">
        <v>2021</v>
      </c>
      <c r="AV205">
        <v>53</v>
      </c>
      <c r="AW205">
        <v>1</v>
      </c>
      <c r="AX205" t="s">
        <v>74</v>
      </c>
      <c r="AY205" t="s">
        <v>74</v>
      </c>
      <c r="AZ205" t="s">
        <v>74</v>
      </c>
      <c r="BA205" t="s">
        <v>74</v>
      </c>
      <c r="BB205">
        <v>80</v>
      </c>
      <c r="BC205">
        <v>92</v>
      </c>
      <c r="BD205" t="s">
        <v>74</v>
      </c>
      <c r="BE205" t="s">
        <v>4269</v>
      </c>
      <c r="BF205" t="str">
        <f>HYPERLINK("http://dx.doi.org/10.1080/15230430.2021.1878738","http://dx.doi.org/10.1080/15230430.2021.1878738")</f>
        <v>http://dx.doi.org/10.1080/15230430.2021.1878738</v>
      </c>
      <c r="BG205" t="s">
        <v>74</v>
      </c>
      <c r="BH205" t="s">
        <v>74</v>
      </c>
      <c r="BI205">
        <v>13</v>
      </c>
      <c r="BJ205" t="s">
        <v>3898</v>
      </c>
      <c r="BK205" t="s">
        <v>103</v>
      </c>
      <c r="BL205" t="s">
        <v>3899</v>
      </c>
      <c r="BM205" t="s">
        <v>4270</v>
      </c>
      <c r="BN205" t="s">
        <v>74</v>
      </c>
      <c r="BO205" t="s">
        <v>246</v>
      </c>
      <c r="BP205" t="s">
        <v>74</v>
      </c>
      <c r="BQ205" t="s">
        <v>74</v>
      </c>
      <c r="BR205" t="s">
        <v>106</v>
      </c>
      <c r="BS205" t="s">
        <v>4271</v>
      </c>
      <c r="BT205" t="str">
        <f>HYPERLINK("https%3A%2F%2Fwww.webofscience.com%2Fwos%2Fwoscc%2Ffull-record%2FWOS:000627820100001","View Full Record in Web of Science")</f>
        <v>View Full Record in Web of Science</v>
      </c>
    </row>
    <row r="206" spans="1:72" x14ac:dyDescent="0.15">
      <c r="A206" t="s">
        <v>72</v>
      </c>
      <c r="B206" t="s">
        <v>4272</v>
      </c>
      <c r="C206" t="s">
        <v>74</v>
      </c>
      <c r="D206" t="s">
        <v>74</v>
      </c>
      <c r="E206" t="s">
        <v>74</v>
      </c>
      <c r="F206" t="s">
        <v>4273</v>
      </c>
      <c r="G206" t="s">
        <v>74</v>
      </c>
      <c r="H206" t="s">
        <v>74</v>
      </c>
      <c r="I206" t="s">
        <v>4274</v>
      </c>
      <c r="J206" t="s">
        <v>4275</v>
      </c>
      <c r="K206" t="s">
        <v>74</v>
      </c>
      <c r="L206" t="s">
        <v>74</v>
      </c>
      <c r="M206" t="s">
        <v>78</v>
      </c>
      <c r="N206" t="s">
        <v>79</v>
      </c>
      <c r="O206" t="s">
        <v>74</v>
      </c>
      <c r="P206" t="s">
        <v>74</v>
      </c>
      <c r="Q206" t="s">
        <v>74</v>
      </c>
      <c r="R206" t="s">
        <v>74</v>
      </c>
      <c r="S206" t="s">
        <v>74</v>
      </c>
      <c r="T206" t="s">
        <v>4276</v>
      </c>
      <c r="U206" t="s">
        <v>4277</v>
      </c>
      <c r="V206" t="s">
        <v>4278</v>
      </c>
      <c r="W206" t="s">
        <v>4279</v>
      </c>
      <c r="X206" t="s">
        <v>4280</v>
      </c>
      <c r="Y206" t="s">
        <v>4281</v>
      </c>
      <c r="Z206" t="s">
        <v>4282</v>
      </c>
      <c r="AA206" t="s">
        <v>4283</v>
      </c>
      <c r="AB206" t="s">
        <v>4284</v>
      </c>
      <c r="AC206" t="s">
        <v>74</v>
      </c>
      <c r="AD206" t="s">
        <v>74</v>
      </c>
      <c r="AE206" t="s">
        <v>74</v>
      </c>
      <c r="AF206" t="s">
        <v>74</v>
      </c>
      <c r="AG206">
        <v>72</v>
      </c>
      <c r="AH206">
        <v>7</v>
      </c>
      <c r="AI206">
        <v>7</v>
      </c>
      <c r="AJ206">
        <v>2</v>
      </c>
      <c r="AK206">
        <v>9</v>
      </c>
      <c r="AL206" t="s">
        <v>2630</v>
      </c>
      <c r="AM206" t="s">
        <v>2631</v>
      </c>
      <c r="AN206" t="s">
        <v>2632</v>
      </c>
      <c r="AO206" t="s">
        <v>4285</v>
      </c>
      <c r="AP206" t="s">
        <v>4286</v>
      </c>
      <c r="AQ206" t="s">
        <v>74</v>
      </c>
      <c r="AR206" t="s">
        <v>4287</v>
      </c>
      <c r="AS206" t="s">
        <v>4288</v>
      </c>
      <c r="AT206" t="s">
        <v>3896</v>
      </c>
      <c r="AU206">
        <v>2021</v>
      </c>
      <c r="AV206">
        <v>55</v>
      </c>
      <c r="AW206">
        <v>1</v>
      </c>
      <c r="AX206" t="s">
        <v>74</v>
      </c>
      <c r="AY206" t="s">
        <v>74</v>
      </c>
      <c r="AZ206" t="s">
        <v>582</v>
      </c>
      <c r="BA206" t="s">
        <v>74</v>
      </c>
      <c r="BB206">
        <v>199</v>
      </c>
      <c r="BC206">
        <v>222</v>
      </c>
      <c r="BD206" t="s">
        <v>74</v>
      </c>
      <c r="BE206" t="s">
        <v>4289</v>
      </c>
      <c r="BF206" t="str">
        <f>HYPERLINK("http://dx.doi.org/10.1080/00288330.2021.1875490","http://dx.doi.org/10.1080/00288330.2021.1875490")</f>
        <v>http://dx.doi.org/10.1080/00288330.2021.1875490</v>
      </c>
      <c r="BG206" t="s">
        <v>74</v>
      </c>
      <c r="BH206" t="s">
        <v>74</v>
      </c>
      <c r="BI206">
        <v>24</v>
      </c>
      <c r="BJ206" t="s">
        <v>833</v>
      </c>
      <c r="BK206" t="s">
        <v>103</v>
      </c>
      <c r="BL206" t="s">
        <v>833</v>
      </c>
      <c r="BM206" t="s">
        <v>4290</v>
      </c>
      <c r="BN206" t="s">
        <v>74</v>
      </c>
      <c r="BO206" t="s">
        <v>218</v>
      </c>
      <c r="BP206" t="s">
        <v>74</v>
      </c>
      <c r="BQ206" t="s">
        <v>74</v>
      </c>
      <c r="BR206" t="s">
        <v>106</v>
      </c>
      <c r="BS206" t="s">
        <v>4291</v>
      </c>
      <c r="BT206" t="str">
        <f>HYPERLINK("https%3A%2F%2Fwww.webofscience.com%2Fwos%2Fwoscc%2Ffull-record%2FWOS:000619315200004","View Full Record in Web of Science")</f>
        <v>View Full Record in Web of Science</v>
      </c>
    </row>
    <row r="207" spans="1:72" x14ac:dyDescent="0.15">
      <c r="A207" t="s">
        <v>72</v>
      </c>
      <c r="B207" t="s">
        <v>4292</v>
      </c>
      <c r="C207" t="s">
        <v>74</v>
      </c>
      <c r="D207" t="s">
        <v>74</v>
      </c>
      <c r="E207" t="s">
        <v>74</v>
      </c>
      <c r="F207" t="s">
        <v>4293</v>
      </c>
      <c r="G207" t="s">
        <v>74</v>
      </c>
      <c r="H207" t="s">
        <v>74</v>
      </c>
      <c r="I207" t="s">
        <v>4294</v>
      </c>
      <c r="J207" t="s">
        <v>3880</v>
      </c>
      <c r="K207" t="s">
        <v>74</v>
      </c>
      <c r="L207" t="s">
        <v>74</v>
      </c>
      <c r="M207" t="s">
        <v>78</v>
      </c>
      <c r="N207" t="s">
        <v>79</v>
      </c>
      <c r="O207" t="s">
        <v>74</v>
      </c>
      <c r="P207" t="s">
        <v>74</v>
      </c>
      <c r="Q207" t="s">
        <v>74</v>
      </c>
      <c r="R207" t="s">
        <v>74</v>
      </c>
      <c r="S207" t="s">
        <v>74</v>
      </c>
      <c r="T207" t="s">
        <v>4295</v>
      </c>
      <c r="U207" t="s">
        <v>4296</v>
      </c>
      <c r="V207" t="s">
        <v>4297</v>
      </c>
      <c r="W207" t="s">
        <v>4298</v>
      </c>
      <c r="X207" t="s">
        <v>4299</v>
      </c>
      <c r="Y207" t="s">
        <v>4300</v>
      </c>
      <c r="Z207" t="s">
        <v>4301</v>
      </c>
      <c r="AA207" t="s">
        <v>4302</v>
      </c>
      <c r="AB207" t="s">
        <v>4303</v>
      </c>
      <c r="AC207" t="s">
        <v>4304</v>
      </c>
      <c r="AD207" t="s">
        <v>4305</v>
      </c>
      <c r="AE207" t="s">
        <v>4306</v>
      </c>
      <c r="AF207" t="s">
        <v>74</v>
      </c>
      <c r="AG207">
        <v>58</v>
      </c>
      <c r="AH207">
        <v>10</v>
      </c>
      <c r="AI207">
        <v>10</v>
      </c>
      <c r="AJ207">
        <v>7</v>
      </c>
      <c r="AK207">
        <v>35</v>
      </c>
      <c r="AL207" t="s">
        <v>2630</v>
      </c>
      <c r="AM207" t="s">
        <v>2631</v>
      </c>
      <c r="AN207" t="s">
        <v>2632</v>
      </c>
      <c r="AO207" t="s">
        <v>3892</v>
      </c>
      <c r="AP207" t="s">
        <v>3893</v>
      </c>
      <c r="AQ207" t="s">
        <v>74</v>
      </c>
      <c r="AR207" t="s">
        <v>3894</v>
      </c>
      <c r="AS207" t="s">
        <v>3895</v>
      </c>
      <c r="AT207" t="s">
        <v>3896</v>
      </c>
      <c r="AU207">
        <v>2021</v>
      </c>
      <c r="AV207">
        <v>53</v>
      </c>
      <c r="AW207">
        <v>1</v>
      </c>
      <c r="AX207" t="s">
        <v>74</v>
      </c>
      <c r="AY207" t="s">
        <v>74</v>
      </c>
      <c r="AZ207" t="s">
        <v>74</v>
      </c>
      <c r="BA207" t="s">
        <v>74</v>
      </c>
      <c r="BB207">
        <v>48</v>
      </c>
      <c r="BC207">
        <v>59</v>
      </c>
      <c r="BD207" t="s">
        <v>74</v>
      </c>
      <c r="BE207" t="s">
        <v>4307</v>
      </c>
      <c r="BF207" t="str">
        <f>HYPERLINK("http://dx.doi.org/10.1080/15230430.2021.1873055","http://dx.doi.org/10.1080/15230430.2021.1873055")</f>
        <v>http://dx.doi.org/10.1080/15230430.2021.1873055</v>
      </c>
      <c r="BG207" t="s">
        <v>74</v>
      </c>
      <c r="BH207" t="s">
        <v>74</v>
      </c>
      <c r="BI207">
        <v>12</v>
      </c>
      <c r="BJ207" t="s">
        <v>3898</v>
      </c>
      <c r="BK207" t="s">
        <v>271</v>
      </c>
      <c r="BL207" t="s">
        <v>3899</v>
      </c>
      <c r="BM207" t="s">
        <v>4308</v>
      </c>
      <c r="BN207" t="s">
        <v>74</v>
      </c>
      <c r="BO207" t="s">
        <v>326</v>
      </c>
      <c r="BP207" t="s">
        <v>74</v>
      </c>
      <c r="BQ207" t="s">
        <v>74</v>
      </c>
      <c r="BR207" t="s">
        <v>106</v>
      </c>
      <c r="BS207" t="s">
        <v>4309</v>
      </c>
      <c r="BT207" t="str">
        <f>HYPERLINK("https%3A%2F%2Fwww.webofscience.com%2Fwos%2Fwoscc%2Ffull-record%2FWOS:000617452100001","View Full Record in Web of Science")</f>
        <v>View Full Record in Web of Science</v>
      </c>
    </row>
    <row r="208" spans="1:72" x14ac:dyDescent="0.15">
      <c r="A208" t="s">
        <v>72</v>
      </c>
      <c r="B208" t="s">
        <v>4310</v>
      </c>
      <c r="C208" t="s">
        <v>74</v>
      </c>
      <c r="D208" t="s">
        <v>74</v>
      </c>
      <c r="E208" t="s">
        <v>74</v>
      </c>
      <c r="F208" t="s">
        <v>4311</v>
      </c>
      <c r="G208" t="s">
        <v>74</v>
      </c>
      <c r="H208" t="s">
        <v>74</v>
      </c>
      <c r="I208" t="s">
        <v>4312</v>
      </c>
      <c r="J208" t="s">
        <v>3880</v>
      </c>
      <c r="K208" t="s">
        <v>74</v>
      </c>
      <c r="L208" t="s">
        <v>74</v>
      </c>
      <c r="M208" t="s">
        <v>78</v>
      </c>
      <c r="N208" t="s">
        <v>79</v>
      </c>
      <c r="O208" t="s">
        <v>74</v>
      </c>
      <c r="P208" t="s">
        <v>74</v>
      </c>
      <c r="Q208" t="s">
        <v>74</v>
      </c>
      <c r="R208" t="s">
        <v>74</v>
      </c>
      <c r="S208" t="s">
        <v>74</v>
      </c>
      <c r="T208" t="s">
        <v>4313</v>
      </c>
      <c r="U208" t="s">
        <v>74</v>
      </c>
      <c r="V208" t="s">
        <v>4314</v>
      </c>
      <c r="W208" t="s">
        <v>4315</v>
      </c>
      <c r="X208" t="s">
        <v>4316</v>
      </c>
      <c r="Y208" t="s">
        <v>4317</v>
      </c>
      <c r="Z208" t="s">
        <v>4318</v>
      </c>
      <c r="AA208" t="s">
        <v>4319</v>
      </c>
      <c r="AB208" t="s">
        <v>4320</v>
      </c>
      <c r="AC208" t="s">
        <v>4321</v>
      </c>
      <c r="AD208" t="s">
        <v>4321</v>
      </c>
      <c r="AE208" t="s">
        <v>4322</v>
      </c>
      <c r="AF208" t="s">
        <v>74</v>
      </c>
      <c r="AG208">
        <v>17</v>
      </c>
      <c r="AH208">
        <v>5</v>
      </c>
      <c r="AI208">
        <v>5</v>
      </c>
      <c r="AJ208">
        <v>0</v>
      </c>
      <c r="AK208">
        <v>4</v>
      </c>
      <c r="AL208" t="s">
        <v>2630</v>
      </c>
      <c r="AM208" t="s">
        <v>2631</v>
      </c>
      <c r="AN208" t="s">
        <v>2632</v>
      </c>
      <c r="AO208" t="s">
        <v>3892</v>
      </c>
      <c r="AP208" t="s">
        <v>3893</v>
      </c>
      <c r="AQ208" t="s">
        <v>74</v>
      </c>
      <c r="AR208" t="s">
        <v>3894</v>
      </c>
      <c r="AS208" t="s">
        <v>3895</v>
      </c>
      <c r="AT208" t="s">
        <v>3896</v>
      </c>
      <c r="AU208">
        <v>2021</v>
      </c>
      <c r="AV208">
        <v>53</v>
      </c>
      <c r="AW208">
        <v>1</v>
      </c>
      <c r="AX208" t="s">
        <v>74</v>
      </c>
      <c r="AY208" t="s">
        <v>74</v>
      </c>
      <c r="AZ208" t="s">
        <v>74</v>
      </c>
      <c r="BA208" t="s">
        <v>74</v>
      </c>
      <c r="BB208">
        <v>60</v>
      </c>
      <c r="BC208">
        <v>66</v>
      </c>
      <c r="BD208" t="s">
        <v>74</v>
      </c>
      <c r="BE208" t="s">
        <v>4323</v>
      </c>
      <c r="BF208" t="str">
        <f>HYPERLINK("http://dx.doi.org/10.1080/15230430.2021.1878739","http://dx.doi.org/10.1080/15230430.2021.1878739")</f>
        <v>http://dx.doi.org/10.1080/15230430.2021.1878739</v>
      </c>
      <c r="BG208" t="s">
        <v>74</v>
      </c>
      <c r="BH208" t="s">
        <v>74</v>
      </c>
      <c r="BI208">
        <v>7</v>
      </c>
      <c r="BJ208" t="s">
        <v>3898</v>
      </c>
      <c r="BK208" t="s">
        <v>103</v>
      </c>
      <c r="BL208" t="s">
        <v>3899</v>
      </c>
      <c r="BM208" t="s">
        <v>4324</v>
      </c>
      <c r="BN208" t="s">
        <v>74</v>
      </c>
      <c r="BO208" t="s">
        <v>326</v>
      </c>
      <c r="BP208" t="s">
        <v>74</v>
      </c>
      <c r="BQ208" t="s">
        <v>74</v>
      </c>
      <c r="BR208" t="s">
        <v>106</v>
      </c>
      <c r="BS208" t="s">
        <v>4325</v>
      </c>
      <c r="BT208" t="str">
        <f>HYPERLINK("https%3A%2F%2Fwww.webofscience.com%2Fwos%2Fwoscc%2Ffull-record%2FWOS:000617620600001","View Full Record in Web of Science")</f>
        <v>View Full Record in Web of Science</v>
      </c>
    </row>
    <row r="209" spans="1:72" x14ac:dyDescent="0.15">
      <c r="A209" t="s">
        <v>72</v>
      </c>
      <c r="B209" t="s">
        <v>4326</v>
      </c>
      <c r="C209" t="s">
        <v>74</v>
      </c>
      <c r="D209" t="s">
        <v>74</v>
      </c>
      <c r="E209" t="s">
        <v>74</v>
      </c>
      <c r="F209" t="s">
        <v>4327</v>
      </c>
      <c r="G209" t="s">
        <v>74</v>
      </c>
      <c r="H209" t="s">
        <v>74</v>
      </c>
      <c r="I209" t="s">
        <v>4328</v>
      </c>
      <c r="J209" t="s">
        <v>4329</v>
      </c>
      <c r="K209" t="s">
        <v>74</v>
      </c>
      <c r="L209" t="s">
        <v>74</v>
      </c>
      <c r="M209" t="s">
        <v>78</v>
      </c>
      <c r="N209" t="s">
        <v>79</v>
      </c>
      <c r="O209" t="s">
        <v>74</v>
      </c>
      <c r="P209" t="s">
        <v>74</v>
      </c>
      <c r="Q209" t="s">
        <v>74</v>
      </c>
      <c r="R209" t="s">
        <v>74</v>
      </c>
      <c r="S209" t="s">
        <v>74</v>
      </c>
      <c r="T209" t="s">
        <v>4330</v>
      </c>
      <c r="U209" t="s">
        <v>74</v>
      </c>
      <c r="V209" t="s">
        <v>4331</v>
      </c>
      <c r="W209" t="s">
        <v>4332</v>
      </c>
      <c r="X209" t="s">
        <v>74</v>
      </c>
      <c r="Y209" t="s">
        <v>4333</v>
      </c>
      <c r="Z209" t="s">
        <v>74</v>
      </c>
      <c r="AA209" t="s">
        <v>74</v>
      </c>
      <c r="AB209" t="s">
        <v>74</v>
      </c>
      <c r="AC209" t="s">
        <v>74</v>
      </c>
      <c r="AD209" t="s">
        <v>74</v>
      </c>
      <c r="AE209" t="s">
        <v>74</v>
      </c>
      <c r="AF209" t="s">
        <v>74</v>
      </c>
      <c r="AG209">
        <v>42</v>
      </c>
      <c r="AH209">
        <v>0</v>
      </c>
      <c r="AI209">
        <v>0</v>
      </c>
      <c r="AJ209">
        <v>0</v>
      </c>
      <c r="AK209">
        <v>2</v>
      </c>
      <c r="AL209" t="s">
        <v>2724</v>
      </c>
      <c r="AM209" t="s">
        <v>2631</v>
      </c>
      <c r="AN209" t="s">
        <v>2725</v>
      </c>
      <c r="AO209" t="s">
        <v>4334</v>
      </c>
      <c r="AP209" t="s">
        <v>4335</v>
      </c>
      <c r="AQ209" t="s">
        <v>74</v>
      </c>
      <c r="AR209" t="s">
        <v>4329</v>
      </c>
      <c r="AS209" t="s">
        <v>4336</v>
      </c>
      <c r="AT209" t="s">
        <v>3896</v>
      </c>
      <c r="AU209">
        <v>2021</v>
      </c>
      <c r="AV209">
        <v>107</v>
      </c>
      <c r="AW209">
        <v>1</v>
      </c>
      <c r="AX209" t="s">
        <v>74</v>
      </c>
      <c r="AY209" t="s">
        <v>74</v>
      </c>
      <c r="AZ209" t="s">
        <v>74</v>
      </c>
      <c r="BA209" t="s">
        <v>74</v>
      </c>
      <c r="BB209">
        <v>40</v>
      </c>
      <c r="BC209">
        <v>53</v>
      </c>
      <c r="BD209" t="s">
        <v>74</v>
      </c>
      <c r="BE209" t="s">
        <v>4337</v>
      </c>
      <c r="BF209" t="str">
        <f>HYPERLINK("http://dx.doi.org/10.1080/00253359.2021.1845511","http://dx.doi.org/10.1080/00253359.2021.1845511")</f>
        <v>http://dx.doi.org/10.1080/00253359.2021.1845511</v>
      </c>
      <c r="BG209" t="s">
        <v>74</v>
      </c>
      <c r="BH209" t="s">
        <v>74</v>
      </c>
      <c r="BI209">
        <v>14</v>
      </c>
      <c r="BJ209" t="s">
        <v>4338</v>
      </c>
      <c r="BK209" t="s">
        <v>4339</v>
      </c>
      <c r="BL209" t="s">
        <v>4338</v>
      </c>
      <c r="BM209" t="s">
        <v>4340</v>
      </c>
      <c r="BN209" t="s">
        <v>74</v>
      </c>
      <c r="BO209" t="s">
        <v>74</v>
      </c>
      <c r="BP209" t="s">
        <v>74</v>
      </c>
      <c r="BQ209" t="s">
        <v>74</v>
      </c>
      <c r="BR209" t="s">
        <v>106</v>
      </c>
      <c r="BS209" t="s">
        <v>4341</v>
      </c>
      <c r="BT209" t="str">
        <f>HYPERLINK("https%3A%2F%2Fwww.webofscience.com%2Fwos%2Fwoscc%2Ffull-record%2FWOS:000613832900005","View Full Record in Web of Science")</f>
        <v>View Full Record in Web of Science</v>
      </c>
    </row>
    <row r="210" spans="1:72" x14ac:dyDescent="0.15">
      <c r="A210" t="s">
        <v>72</v>
      </c>
      <c r="B210" t="s">
        <v>4342</v>
      </c>
      <c r="C210" t="s">
        <v>74</v>
      </c>
      <c r="D210" t="s">
        <v>74</v>
      </c>
      <c r="E210" t="s">
        <v>74</v>
      </c>
      <c r="F210" t="s">
        <v>4343</v>
      </c>
      <c r="G210" t="s">
        <v>74</v>
      </c>
      <c r="H210" t="s">
        <v>74</v>
      </c>
      <c r="I210" t="s">
        <v>4344</v>
      </c>
      <c r="J210" t="s">
        <v>3880</v>
      </c>
      <c r="K210" t="s">
        <v>74</v>
      </c>
      <c r="L210" t="s">
        <v>74</v>
      </c>
      <c r="M210" t="s">
        <v>78</v>
      </c>
      <c r="N210" t="s">
        <v>79</v>
      </c>
      <c r="O210" t="s">
        <v>74</v>
      </c>
      <c r="P210" t="s">
        <v>74</v>
      </c>
      <c r="Q210" t="s">
        <v>74</v>
      </c>
      <c r="R210" t="s">
        <v>74</v>
      </c>
      <c r="S210" t="s">
        <v>74</v>
      </c>
      <c r="T210" t="s">
        <v>4345</v>
      </c>
      <c r="U210" t="s">
        <v>4346</v>
      </c>
      <c r="V210" t="s">
        <v>4347</v>
      </c>
      <c r="W210" t="s">
        <v>4348</v>
      </c>
      <c r="X210" t="s">
        <v>4349</v>
      </c>
      <c r="Y210" t="s">
        <v>4350</v>
      </c>
      <c r="Z210" t="s">
        <v>4351</v>
      </c>
      <c r="AA210" t="s">
        <v>4352</v>
      </c>
      <c r="AB210" t="s">
        <v>4353</v>
      </c>
      <c r="AC210" t="s">
        <v>4354</v>
      </c>
      <c r="AD210" t="s">
        <v>4355</v>
      </c>
      <c r="AE210" t="s">
        <v>4356</v>
      </c>
      <c r="AF210" t="s">
        <v>74</v>
      </c>
      <c r="AG210">
        <v>87</v>
      </c>
      <c r="AH210">
        <v>10</v>
      </c>
      <c r="AI210">
        <v>10</v>
      </c>
      <c r="AJ210">
        <v>1</v>
      </c>
      <c r="AK210">
        <v>16</v>
      </c>
      <c r="AL210" t="s">
        <v>2630</v>
      </c>
      <c r="AM210" t="s">
        <v>2631</v>
      </c>
      <c r="AN210" t="s">
        <v>2632</v>
      </c>
      <c r="AO210" t="s">
        <v>3892</v>
      </c>
      <c r="AP210" t="s">
        <v>3893</v>
      </c>
      <c r="AQ210" t="s">
        <v>74</v>
      </c>
      <c r="AR210" t="s">
        <v>3894</v>
      </c>
      <c r="AS210" t="s">
        <v>3895</v>
      </c>
      <c r="AT210" t="s">
        <v>3896</v>
      </c>
      <c r="AU210">
        <v>2021</v>
      </c>
      <c r="AV210">
        <v>53</v>
      </c>
      <c r="AW210">
        <v>1</v>
      </c>
      <c r="AX210" t="s">
        <v>74</v>
      </c>
      <c r="AY210" t="s">
        <v>74</v>
      </c>
      <c r="AZ210" t="s">
        <v>74</v>
      </c>
      <c r="BA210" t="s">
        <v>74</v>
      </c>
      <c r="BB210">
        <v>20</v>
      </c>
      <c r="BC210">
        <v>34</v>
      </c>
      <c r="BD210" t="s">
        <v>74</v>
      </c>
      <c r="BE210" t="s">
        <v>4357</v>
      </c>
      <c r="BF210" t="str">
        <f>HYPERLINK("http://dx.doi.org/10.1080/15230430.2020.1859720","http://dx.doi.org/10.1080/15230430.2020.1859720")</f>
        <v>http://dx.doi.org/10.1080/15230430.2020.1859720</v>
      </c>
      <c r="BG210" t="s">
        <v>74</v>
      </c>
      <c r="BH210" t="s">
        <v>74</v>
      </c>
      <c r="BI210">
        <v>15</v>
      </c>
      <c r="BJ210" t="s">
        <v>3898</v>
      </c>
      <c r="BK210" t="s">
        <v>103</v>
      </c>
      <c r="BL210" t="s">
        <v>3899</v>
      </c>
      <c r="BM210" t="s">
        <v>4358</v>
      </c>
      <c r="BN210" t="s">
        <v>74</v>
      </c>
      <c r="BO210" t="s">
        <v>246</v>
      </c>
      <c r="BP210" t="s">
        <v>74</v>
      </c>
      <c r="BQ210" t="s">
        <v>74</v>
      </c>
      <c r="BR210" t="s">
        <v>106</v>
      </c>
      <c r="BS210" t="s">
        <v>4359</v>
      </c>
      <c r="BT210" t="str">
        <f>HYPERLINK("https%3A%2F%2Fwww.webofscience.com%2Fwos%2Fwoscc%2Ffull-record%2FWOS:000609443600001","View Full Record in Web of Science")</f>
        <v>View Full Record in Web of Science</v>
      </c>
    </row>
    <row r="211" spans="1:72" x14ac:dyDescent="0.15">
      <c r="A211" t="s">
        <v>72</v>
      </c>
      <c r="B211" t="s">
        <v>4360</v>
      </c>
      <c r="C211" t="s">
        <v>74</v>
      </c>
      <c r="D211" t="s">
        <v>74</v>
      </c>
      <c r="E211" t="s">
        <v>74</v>
      </c>
      <c r="F211" t="s">
        <v>4361</v>
      </c>
      <c r="G211" t="s">
        <v>74</v>
      </c>
      <c r="H211" t="s">
        <v>74</v>
      </c>
      <c r="I211" t="s">
        <v>4362</v>
      </c>
      <c r="J211" t="s">
        <v>3880</v>
      </c>
      <c r="K211" t="s">
        <v>74</v>
      </c>
      <c r="L211" t="s">
        <v>74</v>
      </c>
      <c r="M211" t="s">
        <v>78</v>
      </c>
      <c r="N211" t="s">
        <v>79</v>
      </c>
      <c r="O211" t="s">
        <v>74</v>
      </c>
      <c r="P211" t="s">
        <v>74</v>
      </c>
      <c r="Q211" t="s">
        <v>74</v>
      </c>
      <c r="R211" t="s">
        <v>74</v>
      </c>
      <c r="S211" t="s">
        <v>74</v>
      </c>
      <c r="T211" t="s">
        <v>4363</v>
      </c>
      <c r="U211" t="s">
        <v>74</v>
      </c>
      <c r="V211" t="s">
        <v>4364</v>
      </c>
      <c r="W211" t="s">
        <v>4365</v>
      </c>
      <c r="X211" t="s">
        <v>4366</v>
      </c>
      <c r="Y211" t="s">
        <v>4367</v>
      </c>
      <c r="Z211" t="s">
        <v>4368</v>
      </c>
      <c r="AA211" t="s">
        <v>4369</v>
      </c>
      <c r="AB211" t="s">
        <v>4370</v>
      </c>
      <c r="AC211" t="s">
        <v>74</v>
      </c>
      <c r="AD211" t="s">
        <v>74</v>
      </c>
      <c r="AE211" t="s">
        <v>74</v>
      </c>
      <c r="AF211" t="s">
        <v>74</v>
      </c>
      <c r="AG211">
        <v>76</v>
      </c>
      <c r="AH211">
        <v>9</v>
      </c>
      <c r="AI211">
        <v>10</v>
      </c>
      <c r="AJ211">
        <v>5</v>
      </c>
      <c r="AK211">
        <v>19</v>
      </c>
      <c r="AL211" t="s">
        <v>2630</v>
      </c>
      <c r="AM211" t="s">
        <v>2631</v>
      </c>
      <c r="AN211" t="s">
        <v>2632</v>
      </c>
      <c r="AO211" t="s">
        <v>3892</v>
      </c>
      <c r="AP211" t="s">
        <v>3893</v>
      </c>
      <c r="AQ211" t="s">
        <v>74</v>
      </c>
      <c r="AR211" t="s">
        <v>3894</v>
      </c>
      <c r="AS211" t="s">
        <v>3895</v>
      </c>
      <c r="AT211" t="s">
        <v>3896</v>
      </c>
      <c r="AU211">
        <v>2021</v>
      </c>
      <c r="AV211">
        <v>53</v>
      </c>
      <c r="AW211">
        <v>1</v>
      </c>
      <c r="AX211" t="s">
        <v>74</v>
      </c>
      <c r="AY211" t="s">
        <v>74</v>
      </c>
      <c r="AZ211" t="s">
        <v>74</v>
      </c>
      <c r="BA211" t="s">
        <v>74</v>
      </c>
      <c r="BB211">
        <v>35</v>
      </c>
      <c r="BC211">
        <v>47</v>
      </c>
      <c r="BD211" t="s">
        <v>74</v>
      </c>
      <c r="BE211" t="s">
        <v>4371</v>
      </c>
      <c r="BF211" t="str">
        <f>HYPERLINK("http://dx.doi.org/10.1080/15230430.2020.1859719","http://dx.doi.org/10.1080/15230430.2020.1859719")</f>
        <v>http://dx.doi.org/10.1080/15230430.2020.1859719</v>
      </c>
      <c r="BG211" t="s">
        <v>74</v>
      </c>
      <c r="BH211" t="s">
        <v>74</v>
      </c>
      <c r="BI211">
        <v>13</v>
      </c>
      <c r="BJ211" t="s">
        <v>3898</v>
      </c>
      <c r="BK211" t="s">
        <v>103</v>
      </c>
      <c r="BL211" t="s">
        <v>3899</v>
      </c>
      <c r="BM211" t="s">
        <v>4372</v>
      </c>
      <c r="BN211" t="s">
        <v>74</v>
      </c>
      <c r="BO211" t="s">
        <v>326</v>
      </c>
      <c r="BP211" t="s">
        <v>74</v>
      </c>
      <c r="BQ211" t="s">
        <v>74</v>
      </c>
      <c r="BR211" t="s">
        <v>106</v>
      </c>
      <c r="BS211" t="s">
        <v>4373</v>
      </c>
      <c r="BT211" t="str">
        <f>HYPERLINK("https%3A%2F%2Fwww.webofscience.com%2Fwos%2Fwoscc%2Ffull-record%2FWOS:000609451800001","View Full Record in Web of Science")</f>
        <v>View Full Record in Web of Science</v>
      </c>
    </row>
    <row r="212" spans="1:72" x14ac:dyDescent="0.15">
      <c r="A212" t="s">
        <v>72</v>
      </c>
      <c r="B212" t="s">
        <v>4374</v>
      </c>
      <c r="C212" t="s">
        <v>74</v>
      </c>
      <c r="D212" t="s">
        <v>74</v>
      </c>
      <c r="E212" t="s">
        <v>74</v>
      </c>
      <c r="F212" t="s">
        <v>4375</v>
      </c>
      <c r="G212" t="s">
        <v>74</v>
      </c>
      <c r="H212" t="s">
        <v>74</v>
      </c>
      <c r="I212" t="s">
        <v>4376</v>
      </c>
      <c r="J212" t="s">
        <v>4377</v>
      </c>
      <c r="K212" t="s">
        <v>74</v>
      </c>
      <c r="L212" t="s">
        <v>74</v>
      </c>
      <c r="M212" t="s">
        <v>78</v>
      </c>
      <c r="N212" t="s">
        <v>79</v>
      </c>
      <c r="O212" t="s">
        <v>74</v>
      </c>
      <c r="P212" t="s">
        <v>74</v>
      </c>
      <c r="Q212" t="s">
        <v>74</v>
      </c>
      <c r="R212" t="s">
        <v>74</v>
      </c>
      <c r="S212" t="s">
        <v>74</v>
      </c>
      <c r="T212" t="s">
        <v>4378</v>
      </c>
      <c r="U212" t="s">
        <v>4379</v>
      </c>
      <c r="V212" t="s">
        <v>4380</v>
      </c>
      <c r="W212" t="s">
        <v>4381</v>
      </c>
      <c r="X212" t="s">
        <v>4382</v>
      </c>
      <c r="Y212" t="s">
        <v>4383</v>
      </c>
      <c r="Z212" t="s">
        <v>4384</v>
      </c>
      <c r="AA212" t="s">
        <v>74</v>
      </c>
      <c r="AB212" t="s">
        <v>4385</v>
      </c>
      <c r="AC212" t="s">
        <v>4386</v>
      </c>
      <c r="AD212" t="s">
        <v>4386</v>
      </c>
      <c r="AE212" t="s">
        <v>4387</v>
      </c>
      <c r="AF212" t="s">
        <v>74</v>
      </c>
      <c r="AG212">
        <v>72</v>
      </c>
      <c r="AH212">
        <v>1</v>
      </c>
      <c r="AI212">
        <v>1</v>
      </c>
      <c r="AJ212">
        <v>1</v>
      </c>
      <c r="AK212">
        <v>11</v>
      </c>
      <c r="AL212" t="s">
        <v>207</v>
      </c>
      <c r="AM212" t="s">
        <v>473</v>
      </c>
      <c r="AN212" t="s">
        <v>474</v>
      </c>
      <c r="AO212" t="s">
        <v>4388</v>
      </c>
      <c r="AP212" t="s">
        <v>4389</v>
      </c>
      <c r="AQ212" t="s">
        <v>74</v>
      </c>
      <c r="AR212" t="s">
        <v>4390</v>
      </c>
      <c r="AS212" t="s">
        <v>4391</v>
      </c>
      <c r="AT212" t="s">
        <v>184</v>
      </c>
      <c r="AU212">
        <v>2021</v>
      </c>
      <c r="AV212">
        <v>56</v>
      </c>
      <c r="AW212" t="s">
        <v>3184</v>
      </c>
      <c r="AX212" t="s">
        <v>74</v>
      </c>
      <c r="AY212" t="s">
        <v>74</v>
      </c>
      <c r="AZ212" t="s">
        <v>74</v>
      </c>
      <c r="BA212" t="s">
        <v>74</v>
      </c>
      <c r="BB212">
        <v>1145</v>
      </c>
      <c r="BC212">
        <v>1162</v>
      </c>
      <c r="BD212" t="s">
        <v>74</v>
      </c>
      <c r="BE212" t="s">
        <v>4392</v>
      </c>
      <c r="BF212" t="str">
        <f>HYPERLINK("http://dx.doi.org/10.1007/s00382-020-05523-9","http://dx.doi.org/10.1007/s00382-020-05523-9")</f>
        <v>http://dx.doi.org/10.1007/s00382-020-05523-9</v>
      </c>
      <c r="BG212" t="s">
        <v>74</v>
      </c>
      <c r="BH212" t="s">
        <v>101</v>
      </c>
      <c r="BI212">
        <v>18</v>
      </c>
      <c r="BJ212" t="s">
        <v>687</v>
      </c>
      <c r="BK212" t="s">
        <v>103</v>
      </c>
      <c r="BL212" t="s">
        <v>687</v>
      </c>
      <c r="BM212" t="s">
        <v>4393</v>
      </c>
      <c r="BN212" t="s">
        <v>74</v>
      </c>
      <c r="BO212" t="s">
        <v>189</v>
      </c>
      <c r="BP212" t="s">
        <v>74</v>
      </c>
      <c r="BQ212" t="s">
        <v>74</v>
      </c>
      <c r="BR212" t="s">
        <v>106</v>
      </c>
      <c r="BS212" t="s">
        <v>4394</v>
      </c>
      <c r="BT212" t="str">
        <f>HYPERLINK("https%3A%2F%2Fwww.webofscience.com%2Fwos%2Fwoscc%2Ffull-record%2FWOS:000604235800013","View Full Record in Web of Science")</f>
        <v>View Full Record in Web of Science</v>
      </c>
    </row>
    <row r="213" spans="1:72" x14ac:dyDescent="0.15">
      <c r="A213" t="s">
        <v>72</v>
      </c>
      <c r="B213" t="s">
        <v>4395</v>
      </c>
      <c r="C213" t="s">
        <v>74</v>
      </c>
      <c r="D213" t="s">
        <v>74</v>
      </c>
      <c r="E213" t="s">
        <v>74</v>
      </c>
      <c r="F213" t="s">
        <v>4396</v>
      </c>
      <c r="G213" t="s">
        <v>74</v>
      </c>
      <c r="H213" t="s">
        <v>74</v>
      </c>
      <c r="I213" t="s">
        <v>4397</v>
      </c>
      <c r="J213" t="s">
        <v>4398</v>
      </c>
      <c r="K213" t="s">
        <v>74</v>
      </c>
      <c r="L213" t="s">
        <v>74</v>
      </c>
      <c r="M213" t="s">
        <v>78</v>
      </c>
      <c r="N213" t="s">
        <v>79</v>
      </c>
      <c r="O213" t="s">
        <v>74</v>
      </c>
      <c r="P213" t="s">
        <v>74</v>
      </c>
      <c r="Q213" t="s">
        <v>74</v>
      </c>
      <c r="R213" t="s">
        <v>74</v>
      </c>
      <c r="S213" t="s">
        <v>74</v>
      </c>
      <c r="T213" t="s">
        <v>4399</v>
      </c>
      <c r="U213" t="s">
        <v>4400</v>
      </c>
      <c r="V213" t="s">
        <v>4401</v>
      </c>
      <c r="W213" t="s">
        <v>4402</v>
      </c>
      <c r="X213" t="s">
        <v>4403</v>
      </c>
      <c r="Y213" t="s">
        <v>4404</v>
      </c>
      <c r="Z213" t="s">
        <v>4405</v>
      </c>
      <c r="AA213" t="s">
        <v>4406</v>
      </c>
      <c r="AB213" t="s">
        <v>4407</v>
      </c>
      <c r="AC213" t="s">
        <v>4408</v>
      </c>
      <c r="AD213" t="s">
        <v>4409</v>
      </c>
      <c r="AE213" t="s">
        <v>4410</v>
      </c>
      <c r="AF213" t="s">
        <v>74</v>
      </c>
      <c r="AG213">
        <v>39</v>
      </c>
      <c r="AH213">
        <v>9</v>
      </c>
      <c r="AI213">
        <v>9</v>
      </c>
      <c r="AJ213">
        <v>3</v>
      </c>
      <c r="AK213">
        <v>16</v>
      </c>
      <c r="AL213" t="s">
        <v>3177</v>
      </c>
      <c r="AM213" t="s">
        <v>3178</v>
      </c>
      <c r="AN213" t="s">
        <v>3179</v>
      </c>
      <c r="AO213" t="s">
        <v>4411</v>
      </c>
      <c r="AP213" t="s">
        <v>4412</v>
      </c>
      <c r="AQ213" t="s">
        <v>74</v>
      </c>
      <c r="AR213" t="s">
        <v>4413</v>
      </c>
      <c r="AS213" t="s">
        <v>4414</v>
      </c>
      <c r="AT213" t="s">
        <v>347</v>
      </c>
      <c r="AU213">
        <v>2021</v>
      </c>
      <c r="AV213">
        <v>194</v>
      </c>
      <c r="AW213">
        <v>3</v>
      </c>
      <c r="AX213" t="s">
        <v>74</v>
      </c>
      <c r="AY213" t="s">
        <v>74</v>
      </c>
      <c r="AZ213" t="s">
        <v>74</v>
      </c>
      <c r="BA213" t="s">
        <v>74</v>
      </c>
      <c r="BB213">
        <v>601</v>
      </c>
      <c r="BC213">
        <v>621</v>
      </c>
      <c r="BD213" t="s">
        <v>74</v>
      </c>
      <c r="BE213" t="s">
        <v>4415</v>
      </c>
      <c r="BF213" t="str">
        <f>HYPERLINK("http://dx.doi.org/10.1007/s00605-020-01493-6","http://dx.doi.org/10.1007/s00605-020-01493-6")</f>
        <v>http://dx.doi.org/10.1007/s00605-020-01493-6</v>
      </c>
      <c r="BG213" t="s">
        <v>74</v>
      </c>
      <c r="BH213" t="s">
        <v>101</v>
      </c>
      <c r="BI213">
        <v>21</v>
      </c>
      <c r="BJ213" t="s">
        <v>1193</v>
      </c>
      <c r="BK213" t="s">
        <v>103</v>
      </c>
      <c r="BL213" t="s">
        <v>1193</v>
      </c>
      <c r="BM213" t="s">
        <v>4416</v>
      </c>
      <c r="BN213" t="s">
        <v>74</v>
      </c>
      <c r="BO213" t="s">
        <v>74</v>
      </c>
      <c r="BP213" t="s">
        <v>74</v>
      </c>
      <c r="BQ213" t="s">
        <v>74</v>
      </c>
      <c r="BR213" t="s">
        <v>106</v>
      </c>
      <c r="BS213" t="s">
        <v>4417</v>
      </c>
      <c r="BT213" t="str">
        <f>HYPERLINK("https%3A%2F%2Fwww.webofscience.com%2Fwos%2Fwoscc%2Ffull-record%2FWOS:000604156300001","View Full Record in Web of Science")</f>
        <v>View Full Record in Web of Science</v>
      </c>
    </row>
    <row r="214" spans="1:72" x14ac:dyDescent="0.15">
      <c r="A214" t="s">
        <v>72</v>
      </c>
      <c r="B214" t="s">
        <v>4418</v>
      </c>
      <c r="C214" t="s">
        <v>74</v>
      </c>
      <c r="D214" t="s">
        <v>74</v>
      </c>
      <c r="E214" t="s">
        <v>74</v>
      </c>
      <c r="F214" t="s">
        <v>4419</v>
      </c>
      <c r="G214" t="s">
        <v>74</v>
      </c>
      <c r="H214" t="s">
        <v>74</v>
      </c>
      <c r="I214" t="s">
        <v>4420</v>
      </c>
      <c r="J214" t="s">
        <v>3880</v>
      </c>
      <c r="K214" t="s">
        <v>74</v>
      </c>
      <c r="L214" t="s">
        <v>74</v>
      </c>
      <c r="M214" t="s">
        <v>78</v>
      </c>
      <c r="N214" t="s">
        <v>79</v>
      </c>
      <c r="O214" t="s">
        <v>74</v>
      </c>
      <c r="P214" t="s">
        <v>74</v>
      </c>
      <c r="Q214" t="s">
        <v>74</v>
      </c>
      <c r="R214" t="s">
        <v>74</v>
      </c>
      <c r="S214" t="s">
        <v>74</v>
      </c>
      <c r="T214" t="s">
        <v>4421</v>
      </c>
      <c r="U214" t="s">
        <v>4422</v>
      </c>
      <c r="V214" t="s">
        <v>4423</v>
      </c>
      <c r="W214" t="s">
        <v>4424</v>
      </c>
      <c r="X214" t="s">
        <v>4425</v>
      </c>
      <c r="Y214" t="s">
        <v>4426</v>
      </c>
      <c r="Z214" t="s">
        <v>4427</v>
      </c>
      <c r="AA214" t="s">
        <v>74</v>
      </c>
      <c r="AB214" t="s">
        <v>4428</v>
      </c>
      <c r="AC214" t="s">
        <v>4429</v>
      </c>
      <c r="AD214" t="s">
        <v>4429</v>
      </c>
      <c r="AE214" t="s">
        <v>4430</v>
      </c>
      <c r="AF214" t="s">
        <v>74</v>
      </c>
      <c r="AG214">
        <v>76</v>
      </c>
      <c r="AH214">
        <v>0</v>
      </c>
      <c r="AI214">
        <v>0</v>
      </c>
      <c r="AJ214">
        <v>2</v>
      </c>
      <c r="AK214">
        <v>5</v>
      </c>
      <c r="AL214" t="s">
        <v>2630</v>
      </c>
      <c r="AM214" t="s">
        <v>2631</v>
      </c>
      <c r="AN214" t="s">
        <v>2632</v>
      </c>
      <c r="AO214" t="s">
        <v>3892</v>
      </c>
      <c r="AP214" t="s">
        <v>3893</v>
      </c>
      <c r="AQ214" t="s">
        <v>74</v>
      </c>
      <c r="AR214" t="s">
        <v>3894</v>
      </c>
      <c r="AS214" t="s">
        <v>3895</v>
      </c>
      <c r="AT214" t="s">
        <v>3896</v>
      </c>
      <c r="AU214">
        <v>2021</v>
      </c>
      <c r="AV214">
        <v>53</v>
      </c>
      <c r="AW214">
        <v>1</v>
      </c>
      <c r="AX214" t="s">
        <v>74</v>
      </c>
      <c r="AY214" t="s">
        <v>74</v>
      </c>
      <c r="AZ214" t="s">
        <v>74</v>
      </c>
      <c r="BA214" t="s">
        <v>74</v>
      </c>
      <c r="BB214">
        <v>252</v>
      </c>
      <c r="BC214">
        <v>268</v>
      </c>
      <c r="BD214" t="s">
        <v>74</v>
      </c>
      <c r="BE214" t="s">
        <v>4431</v>
      </c>
      <c r="BF214" t="str">
        <f>HYPERLINK("http://dx.doi.org/10.1080/15230430.2021.1979167","http://dx.doi.org/10.1080/15230430.2021.1979167")</f>
        <v>http://dx.doi.org/10.1080/15230430.2021.1979167</v>
      </c>
      <c r="BG214" t="s">
        <v>74</v>
      </c>
      <c r="BH214" t="s">
        <v>74</v>
      </c>
      <c r="BI214">
        <v>17</v>
      </c>
      <c r="BJ214" t="s">
        <v>3898</v>
      </c>
      <c r="BK214" t="s">
        <v>103</v>
      </c>
      <c r="BL214" t="s">
        <v>3899</v>
      </c>
      <c r="BM214" t="s">
        <v>4432</v>
      </c>
      <c r="BN214" t="s">
        <v>74</v>
      </c>
      <c r="BO214" t="s">
        <v>159</v>
      </c>
      <c r="BP214" t="s">
        <v>74</v>
      </c>
      <c r="BQ214" t="s">
        <v>74</v>
      </c>
      <c r="BR214" t="s">
        <v>106</v>
      </c>
      <c r="BS214" t="s">
        <v>4433</v>
      </c>
      <c r="BT214" t="str">
        <f>HYPERLINK("https%3A%2F%2Fwww.webofscience.com%2Fwos%2Fwoscc%2Ffull-record%2FWOS:000713822600001","View Full Record in Web of Science")</f>
        <v>View Full Record in Web of Science</v>
      </c>
    </row>
    <row r="215" spans="1:72" x14ac:dyDescent="0.15">
      <c r="A215" t="s">
        <v>72</v>
      </c>
      <c r="B215" t="s">
        <v>4434</v>
      </c>
      <c r="C215" t="s">
        <v>74</v>
      </c>
      <c r="D215" t="s">
        <v>74</v>
      </c>
      <c r="E215" t="s">
        <v>74</v>
      </c>
      <c r="F215" t="s">
        <v>4435</v>
      </c>
      <c r="G215" t="s">
        <v>74</v>
      </c>
      <c r="H215" t="s">
        <v>74</v>
      </c>
      <c r="I215" t="s">
        <v>4436</v>
      </c>
      <c r="J215" t="s">
        <v>3880</v>
      </c>
      <c r="K215" t="s">
        <v>74</v>
      </c>
      <c r="L215" t="s">
        <v>74</v>
      </c>
      <c r="M215" t="s">
        <v>78</v>
      </c>
      <c r="N215" t="s">
        <v>79</v>
      </c>
      <c r="O215" t="s">
        <v>74</v>
      </c>
      <c r="P215" t="s">
        <v>74</v>
      </c>
      <c r="Q215" t="s">
        <v>74</v>
      </c>
      <c r="R215" t="s">
        <v>74</v>
      </c>
      <c r="S215" t="s">
        <v>74</v>
      </c>
      <c r="T215" t="s">
        <v>4437</v>
      </c>
      <c r="U215" t="s">
        <v>4438</v>
      </c>
      <c r="V215" t="s">
        <v>4439</v>
      </c>
      <c r="W215" t="s">
        <v>4440</v>
      </c>
      <c r="X215" t="s">
        <v>4441</v>
      </c>
      <c r="Y215" t="s">
        <v>4442</v>
      </c>
      <c r="Z215" t="s">
        <v>4443</v>
      </c>
      <c r="AA215" t="s">
        <v>4444</v>
      </c>
      <c r="AB215" t="s">
        <v>4445</v>
      </c>
      <c r="AC215" t="s">
        <v>4446</v>
      </c>
      <c r="AD215" t="s">
        <v>4447</v>
      </c>
      <c r="AE215" t="s">
        <v>4448</v>
      </c>
      <c r="AF215" t="s">
        <v>74</v>
      </c>
      <c r="AG215">
        <v>71</v>
      </c>
      <c r="AH215">
        <v>5</v>
      </c>
      <c r="AI215">
        <v>6</v>
      </c>
      <c r="AJ215">
        <v>7</v>
      </c>
      <c r="AK215">
        <v>20</v>
      </c>
      <c r="AL215" t="s">
        <v>2630</v>
      </c>
      <c r="AM215" t="s">
        <v>2631</v>
      </c>
      <c r="AN215" t="s">
        <v>2632</v>
      </c>
      <c r="AO215" t="s">
        <v>3892</v>
      </c>
      <c r="AP215" t="s">
        <v>3893</v>
      </c>
      <c r="AQ215" t="s">
        <v>74</v>
      </c>
      <c r="AR215" t="s">
        <v>3894</v>
      </c>
      <c r="AS215" t="s">
        <v>3895</v>
      </c>
      <c r="AT215" t="s">
        <v>3896</v>
      </c>
      <c r="AU215">
        <v>2021</v>
      </c>
      <c r="AV215">
        <v>53</v>
      </c>
      <c r="AW215">
        <v>1</v>
      </c>
      <c r="AX215" t="s">
        <v>74</v>
      </c>
      <c r="AY215" t="s">
        <v>74</v>
      </c>
      <c r="AZ215" t="s">
        <v>74</v>
      </c>
      <c r="BA215" t="s">
        <v>74</v>
      </c>
      <c r="BB215">
        <v>288</v>
      </c>
      <c r="BC215">
        <v>299</v>
      </c>
      <c r="BD215" t="s">
        <v>74</v>
      </c>
      <c r="BE215" t="s">
        <v>4449</v>
      </c>
      <c r="BF215" t="str">
        <f>HYPERLINK("http://dx.doi.org/10.1080/15230430.2021.1982665","http://dx.doi.org/10.1080/15230430.2021.1982665")</f>
        <v>http://dx.doi.org/10.1080/15230430.2021.1982665</v>
      </c>
      <c r="BG215" t="s">
        <v>74</v>
      </c>
      <c r="BH215" t="s">
        <v>74</v>
      </c>
      <c r="BI215">
        <v>12</v>
      </c>
      <c r="BJ215" t="s">
        <v>3898</v>
      </c>
      <c r="BK215" t="s">
        <v>103</v>
      </c>
      <c r="BL215" t="s">
        <v>3899</v>
      </c>
      <c r="BM215" t="s">
        <v>4450</v>
      </c>
      <c r="BN215" t="s">
        <v>74</v>
      </c>
      <c r="BO215" t="s">
        <v>1105</v>
      </c>
      <c r="BP215" t="s">
        <v>74</v>
      </c>
      <c r="BQ215" t="s">
        <v>74</v>
      </c>
      <c r="BR215" t="s">
        <v>106</v>
      </c>
      <c r="BS215" t="s">
        <v>4451</v>
      </c>
      <c r="BT215" t="str">
        <f>HYPERLINK("https%3A%2F%2Fwww.webofscience.com%2Fwos%2Fwoscc%2Ffull-record%2FWOS:000721088800001","View Full Record in Web of Science")</f>
        <v>View Full Record in Web of Science</v>
      </c>
    </row>
    <row r="216" spans="1:72" x14ac:dyDescent="0.15">
      <c r="A216" t="s">
        <v>72</v>
      </c>
      <c r="B216" t="s">
        <v>4452</v>
      </c>
      <c r="C216" t="s">
        <v>74</v>
      </c>
      <c r="D216" t="s">
        <v>74</v>
      </c>
      <c r="E216" t="s">
        <v>74</v>
      </c>
      <c r="F216" t="s">
        <v>4453</v>
      </c>
      <c r="G216" t="s">
        <v>74</v>
      </c>
      <c r="H216" t="s">
        <v>74</v>
      </c>
      <c r="I216" t="s">
        <v>4454</v>
      </c>
      <c r="J216" t="s">
        <v>4455</v>
      </c>
      <c r="K216" t="s">
        <v>74</v>
      </c>
      <c r="L216" t="s">
        <v>74</v>
      </c>
      <c r="M216" t="s">
        <v>78</v>
      </c>
      <c r="N216" t="s">
        <v>3976</v>
      </c>
      <c r="O216" t="s">
        <v>74</v>
      </c>
      <c r="P216" t="s">
        <v>74</v>
      </c>
      <c r="Q216" t="s">
        <v>74</v>
      </c>
      <c r="R216" t="s">
        <v>74</v>
      </c>
      <c r="S216" t="s">
        <v>74</v>
      </c>
      <c r="T216" t="s">
        <v>74</v>
      </c>
      <c r="U216" t="s">
        <v>74</v>
      </c>
      <c r="V216" t="s">
        <v>74</v>
      </c>
      <c r="W216" t="s">
        <v>4456</v>
      </c>
      <c r="X216" t="s">
        <v>4457</v>
      </c>
      <c r="Y216" t="s">
        <v>4458</v>
      </c>
      <c r="Z216" t="s">
        <v>4459</v>
      </c>
      <c r="AA216" t="s">
        <v>74</v>
      </c>
      <c r="AB216" t="s">
        <v>4460</v>
      </c>
      <c r="AC216" t="s">
        <v>74</v>
      </c>
      <c r="AD216" t="s">
        <v>74</v>
      </c>
      <c r="AE216" t="s">
        <v>74</v>
      </c>
      <c r="AF216" t="s">
        <v>74</v>
      </c>
      <c r="AG216">
        <v>0</v>
      </c>
      <c r="AH216">
        <v>1</v>
      </c>
      <c r="AI216">
        <v>1</v>
      </c>
      <c r="AJ216">
        <v>0</v>
      </c>
      <c r="AK216">
        <v>0</v>
      </c>
      <c r="AL216" t="s">
        <v>2630</v>
      </c>
      <c r="AM216" t="s">
        <v>2631</v>
      </c>
      <c r="AN216" t="s">
        <v>2632</v>
      </c>
      <c r="AO216" t="s">
        <v>4461</v>
      </c>
      <c r="AP216" t="s">
        <v>4462</v>
      </c>
      <c r="AQ216" t="s">
        <v>74</v>
      </c>
      <c r="AR216" t="s">
        <v>4463</v>
      </c>
      <c r="AS216" t="s">
        <v>4464</v>
      </c>
      <c r="AT216" t="s">
        <v>3896</v>
      </c>
      <c r="AU216">
        <v>2021</v>
      </c>
      <c r="AV216">
        <v>11</v>
      </c>
      <c r="AW216">
        <v>1</v>
      </c>
      <c r="AX216" t="s">
        <v>74</v>
      </c>
      <c r="AY216" t="s">
        <v>74</v>
      </c>
      <c r="AZ216" t="s">
        <v>74</v>
      </c>
      <c r="BA216" t="s">
        <v>74</v>
      </c>
      <c r="BB216">
        <v>230</v>
      </c>
      <c r="BC216">
        <v>237</v>
      </c>
      <c r="BD216" t="s">
        <v>74</v>
      </c>
      <c r="BE216" t="s">
        <v>4465</v>
      </c>
      <c r="BF216" t="str">
        <f>HYPERLINK("http://dx.doi.org/10.1080/2154896X.2021.1879423","http://dx.doi.org/10.1080/2154896X.2021.1879423")</f>
        <v>http://dx.doi.org/10.1080/2154896X.2021.1879423</v>
      </c>
      <c r="BG216" t="s">
        <v>74</v>
      </c>
      <c r="BH216" t="s">
        <v>74</v>
      </c>
      <c r="BI216">
        <v>8</v>
      </c>
      <c r="BJ216" t="s">
        <v>4466</v>
      </c>
      <c r="BK216" t="s">
        <v>3050</v>
      </c>
      <c r="BL216" t="s">
        <v>4467</v>
      </c>
      <c r="BM216" t="s">
        <v>4468</v>
      </c>
      <c r="BN216" t="s">
        <v>74</v>
      </c>
      <c r="BO216" t="s">
        <v>74</v>
      </c>
      <c r="BP216" t="s">
        <v>74</v>
      </c>
      <c r="BQ216" t="s">
        <v>74</v>
      </c>
      <c r="BR216" t="s">
        <v>106</v>
      </c>
      <c r="BS216" t="s">
        <v>4469</v>
      </c>
      <c r="BT216" t="str">
        <f>HYPERLINK("https%3A%2F%2Fwww.webofscience.com%2Fwos%2Fwoscc%2Ffull-record%2FWOS:001098770500013","View Full Record in Web of Science")</f>
        <v>View Full Record in Web of Science</v>
      </c>
    </row>
    <row r="217" spans="1:72" x14ac:dyDescent="0.15">
      <c r="A217" t="s">
        <v>72</v>
      </c>
      <c r="B217" t="s">
        <v>4470</v>
      </c>
      <c r="C217" t="s">
        <v>74</v>
      </c>
      <c r="D217" t="s">
        <v>74</v>
      </c>
      <c r="E217" t="s">
        <v>74</v>
      </c>
      <c r="F217" t="s">
        <v>4471</v>
      </c>
      <c r="G217" t="s">
        <v>74</v>
      </c>
      <c r="H217" t="s">
        <v>74</v>
      </c>
      <c r="I217" t="s">
        <v>4472</v>
      </c>
      <c r="J217" t="s">
        <v>4455</v>
      </c>
      <c r="K217" t="s">
        <v>74</v>
      </c>
      <c r="L217" t="s">
        <v>74</v>
      </c>
      <c r="M217" t="s">
        <v>78</v>
      </c>
      <c r="N217" t="s">
        <v>3976</v>
      </c>
      <c r="O217" t="s">
        <v>74</v>
      </c>
      <c r="P217" t="s">
        <v>74</v>
      </c>
      <c r="Q217" t="s">
        <v>74</v>
      </c>
      <c r="R217" t="s">
        <v>74</v>
      </c>
      <c r="S217" t="s">
        <v>74</v>
      </c>
      <c r="T217" t="s">
        <v>74</v>
      </c>
      <c r="U217" t="s">
        <v>74</v>
      </c>
      <c r="V217" t="s">
        <v>74</v>
      </c>
      <c r="W217" t="s">
        <v>4473</v>
      </c>
      <c r="X217" t="s">
        <v>4474</v>
      </c>
      <c r="Y217" t="s">
        <v>4475</v>
      </c>
      <c r="Z217" t="s">
        <v>4476</v>
      </c>
      <c r="AA217" t="s">
        <v>74</v>
      </c>
      <c r="AB217" t="s">
        <v>74</v>
      </c>
      <c r="AC217" t="s">
        <v>74</v>
      </c>
      <c r="AD217" t="s">
        <v>74</v>
      </c>
      <c r="AE217" t="s">
        <v>74</v>
      </c>
      <c r="AF217" t="s">
        <v>74</v>
      </c>
      <c r="AG217">
        <v>0</v>
      </c>
      <c r="AH217">
        <v>2</v>
      </c>
      <c r="AI217">
        <v>2</v>
      </c>
      <c r="AJ217">
        <v>0</v>
      </c>
      <c r="AK217">
        <v>0</v>
      </c>
      <c r="AL217" t="s">
        <v>2630</v>
      </c>
      <c r="AM217" t="s">
        <v>2631</v>
      </c>
      <c r="AN217" t="s">
        <v>2632</v>
      </c>
      <c r="AO217" t="s">
        <v>4461</v>
      </c>
      <c r="AP217" t="s">
        <v>4462</v>
      </c>
      <c r="AQ217" t="s">
        <v>74</v>
      </c>
      <c r="AR217" t="s">
        <v>4463</v>
      </c>
      <c r="AS217" t="s">
        <v>4464</v>
      </c>
      <c r="AT217" t="s">
        <v>3896</v>
      </c>
      <c r="AU217">
        <v>2021</v>
      </c>
      <c r="AV217">
        <v>11</v>
      </c>
      <c r="AW217">
        <v>1</v>
      </c>
      <c r="AX217" t="s">
        <v>74</v>
      </c>
      <c r="AY217" t="s">
        <v>74</v>
      </c>
      <c r="AZ217" t="s">
        <v>74</v>
      </c>
      <c r="BA217" t="s">
        <v>74</v>
      </c>
      <c r="BB217">
        <v>237</v>
      </c>
      <c r="BC217">
        <v>237</v>
      </c>
      <c r="BD217" t="s">
        <v>74</v>
      </c>
      <c r="BE217" t="s">
        <v>4477</v>
      </c>
      <c r="BF217" t="str">
        <f>HYPERLINK("http://dx.doi.org/10.1080/2154896X.2021.1881240","http://dx.doi.org/10.1080/2154896X.2021.1881240")</f>
        <v>http://dx.doi.org/10.1080/2154896X.2021.1881240</v>
      </c>
      <c r="BG217" t="s">
        <v>74</v>
      </c>
      <c r="BH217" t="s">
        <v>74</v>
      </c>
      <c r="BI217">
        <v>1</v>
      </c>
      <c r="BJ217" t="s">
        <v>4466</v>
      </c>
      <c r="BK217" t="s">
        <v>3050</v>
      </c>
      <c r="BL217" t="s">
        <v>4467</v>
      </c>
      <c r="BM217" t="s">
        <v>4468</v>
      </c>
      <c r="BN217" t="s">
        <v>74</v>
      </c>
      <c r="BO217" t="s">
        <v>74</v>
      </c>
      <c r="BP217" t="s">
        <v>74</v>
      </c>
      <c r="BQ217" t="s">
        <v>74</v>
      </c>
      <c r="BR217" t="s">
        <v>106</v>
      </c>
      <c r="BS217" t="s">
        <v>4478</v>
      </c>
      <c r="BT217" t="str">
        <f>HYPERLINK("https%3A%2F%2Fwww.webofscience.com%2Fwos%2Fwoscc%2Ffull-record%2FWOS:001098770500014","View Full Record in Web of Science")</f>
        <v>View Full Record in Web of Science</v>
      </c>
    </row>
    <row r="218" spans="1:72" x14ac:dyDescent="0.15">
      <c r="A218" t="s">
        <v>72</v>
      </c>
      <c r="B218" t="s">
        <v>4479</v>
      </c>
      <c r="C218" t="s">
        <v>74</v>
      </c>
      <c r="D218" t="s">
        <v>74</v>
      </c>
      <c r="E218" t="s">
        <v>74</v>
      </c>
      <c r="F218" t="s">
        <v>4480</v>
      </c>
      <c r="G218" t="s">
        <v>74</v>
      </c>
      <c r="H218" t="s">
        <v>74</v>
      </c>
      <c r="I218" t="s">
        <v>4481</v>
      </c>
      <c r="J218" t="s">
        <v>4455</v>
      </c>
      <c r="K218" t="s">
        <v>74</v>
      </c>
      <c r="L218" t="s">
        <v>74</v>
      </c>
      <c r="M218" t="s">
        <v>78</v>
      </c>
      <c r="N218" t="s">
        <v>3976</v>
      </c>
      <c r="O218" t="s">
        <v>74</v>
      </c>
      <c r="P218" t="s">
        <v>74</v>
      </c>
      <c r="Q218" t="s">
        <v>74</v>
      </c>
      <c r="R218" t="s">
        <v>74</v>
      </c>
      <c r="S218" t="s">
        <v>74</v>
      </c>
      <c r="T218" t="s">
        <v>74</v>
      </c>
      <c r="U218" t="s">
        <v>74</v>
      </c>
      <c r="V218" t="s">
        <v>74</v>
      </c>
      <c r="W218" t="s">
        <v>4482</v>
      </c>
      <c r="X218" t="s">
        <v>4483</v>
      </c>
      <c r="Y218" t="s">
        <v>4484</v>
      </c>
      <c r="Z218" t="s">
        <v>4485</v>
      </c>
      <c r="AA218" t="s">
        <v>74</v>
      </c>
      <c r="AB218" t="s">
        <v>74</v>
      </c>
      <c r="AC218" t="s">
        <v>74</v>
      </c>
      <c r="AD218" t="s">
        <v>74</v>
      </c>
      <c r="AE218" t="s">
        <v>74</v>
      </c>
      <c r="AF218" t="s">
        <v>74</v>
      </c>
      <c r="AG218">
        <v>0</v>
      </c>
      <c r="AH218">
        <v>0</v>
      </c>
      <c r="AI218">
        <v>0</v>
      </c>
      <c r="AJ218">
        <v>0</v>
      </c>
      <c r="AK218">
        <v>0</v>
      </c>
      <c r="AL218" t="s">
        <v>2630</v>
      </c>
      <c r="AM218" t="s">
        <v>2631</v>
      </c>
      <c r="AN218" t="s">
        <v>2632</v>
      </c>
      <c r="AO218" t="s">
        <v>4461</v>
      </c>
      <c r="AP218" t="s">
        <v>4462</v>
      </c>
      <c r="AQ218" t="s">
        <v>74</v>
      </c>
      <c r="AR218" t="s">
        <v>4463</v>
      </c>
      <c r="AS218" t="s">
        <v>4464</v>
      </c>
      <c r="AT218" t="s">
        <v>3896</v>
      </c>
      <c r="AU218">
        <v>2021</v>
      </c>
      <c r="AV218">
        <v>11</v>
      </c>
      <c r="AW218">
        <v>1</v>
      </c>
      <c r="AX218" t="s">
        <v>74</v>
      </c>
      <c r="AY218" t="s">
        <v>74</v>
      </c>
      <c r="AZ218" t="s">
        <v>74</v>
      </c>
      <c r="BA218" t="s">
        <v>74</v>
      </c>
      <c r="BB218">
        <v>237</v>
      </c>
      <c r="BC218">
        <v>237</v>
      </c>
      <c r="BD218" t="s">
        <v>74</v>
      </c>
      <c r="BE218" t="s">
        <v>4486</v>
      </c>
      <c r="BF218" t="str">
        <f>HYPERLINK("http://dx.doi.org/10.1080/2154896X.2021.1885898","http://dx.doi.org/10.1080/2154896X.2021.1885898")</f>
        <v>http://dx.doi.org/10.1080/2154896X.2021.1885898</v>
      </c>
      <c r="BG218" t="s">
        <v>74</v>
      </c>
      <c r="BH218" t="s">
        <v>74</v>
      </c>
      <c r="BI218">
        <v>1</v>
      </c>
      <c r="BJ218" t="s">
        <v>4466</v>
      </c>
      <c r="BK218" t="s">
        <v>3050</v>
      </c>
      <c r="BL218" t="s">
        <v>4467</v>
      </c>
      <c r="BM218" t="s">
        <v>4468</v>
      </c>
      <c r="BN218" t="s">
        <v>74</v>
      </c>
      <c r="BO218" t="s">
        <v>74</v>
      </c>
      <c r="BP218" t="s">
        <v>74</v>
      </c>
      <c r="BQ218" t="s">
        <v>74</v>
      </c>
      <c r="BR218" t="s">
        <v>106</v>
      </c>
      <c r="BS218" t="s">
        <v>4487</v>
      </c>
      <c r="BT218" t="str">
        <f>HYPERLINK("https%3A%2F%2Fwww.webofscience.com%2Fwos%2Fwoscc%2Ffull-record%2FWOS:001098770500015","View Full Record in Web of Science")</f>
        <v>View Full Record in Web of Science</v>
      </c>
    </row>
    <row r="219" spans="1:72" x14ac:dyDescent="0.15">
      <c r="A219" t="s">
        <v>72</v>
      </c>
      <c r="B219" t="s">
        <v>4488</v>
      </c>
      <c r="C219" t="s">
        <v>74</v>
      </c>
      <c r="D219" t="s">
        <v>74</v>
      </c>
      <c r="E219" t="s">
        <v>74</v>
      </c>
      <c r="F219" t="s">
        <v>4489</v>
      </c>
      <c r="G219" t="s">
        <v>74</v>
      </c>
      <c r="H219" t="s">
        <v>74</v>
      </c>
      <c r="I219" t="s">
        <v>4490</v>
      </c>
      <c r="J219" t="s">
        <v>4455</v>
      </c>
      <c r="K219" t="s">
        <v>74</v>
      </c>
      <c r="L219" t="s">
        <v>74</v>
      </c>
      <c r="M219" t="s">
        <v>78</v>
      </c>
      <c r="N219" t="s">
        <v>3976</v>
      </c>
      <c r="O219" t="s">
        <v>74</v>
      </c>
      <c r="P219" t="s">
        <v>74</v>
      </c>
      <c r="Q219" t="s">
        <v>74</v>
      </c>
      <c r="R219" t="s">
        <v>74</v>
      </c>
      <c r="S219" t="s">
        <v>74</v>
      </c>
      <c r="T219" t="s">
        <v>74</v>
      </c>
      <c r="U219" t="s">
        <v>74</v>
      </c>
      <c r="V219" t="s">
        <v>74</v>
      </c>
      <c r="W219" t="s">
        <v>4491</v>
      </c>
      <c r="X219" t="s">
        <v>465</v>
      </c>
      <c r="Y219" t="s">
        <v>4492</v>
      </c>
      <c r="Z219" t="s">
        <v>4493</v>
      </c>
      <c r="AA219" t="s">
        <v>74</v>
      </c>
      <c r="AB219" t="s">
        <v>74</v>
      </c>
      <c r="AC219" t="s">
        <v>74</v>
      </c>
      <c r="AD219" t="s">
        <v>74</v>
      </c>
      <c r="AE219" t="s">
        <v>74</v>
      </c>
      <c r="AF219" t="s">
        <v>74</v>
      </c>
      <c r="AG219">
        <v>0</v>
      </c>
      <c r="AH219">
        <v>0</v>
      </c>
      <c r="AI219">
        <v>0</v>
      </c>
      <c r="AJ219">
        <v>0</v>
      </c>
      <c r="AK219">
        <v>0</v>
      </c>
      <c r="AL219" t="s">
        <v>2630</v>
      </c>
      <c r="AM219" t="s">
        <v>2631</v>
      </c>
      <c r="AN219" t="s">
        <v>2632</v>
      </c>
      <c r="AO219" t="s">
        <v>4461</v>
      </c>
      <c r="AP219" t="s">
        <v>4462</v>
      </c>
      <c r="AQ219" t="s">
        <v>74</v>
      </c>
      <c r="AR219" t="s">
        <v>4463</v>
      </c>
      <c r="AS219" t="s">
        <v>4464</v>
      </c>
      <c r="AT219" t="s">
        <v>3896</v>
      </c>
      <c r="AU219">
        <v>2021</v>
      </c>
      <c r="AV219">
        <v>11</v>
      </c>
      <c r="AW219">
        <v>1</v>
      </c>
      <c r="AX219" t="s">
        <v>74</v>
      </c>
      <c r="AY219" t="s">
        <v>74</v>
      </c>
      <c r="AZ219" t="s">
        <v>74</v>
      </c>
      <c r="BA219" t="s">
        <v>74</v>
      </c>
      <c r="BB219">
        <v>237</v>
      </c>
      <c r="BC219">
        <v>237</v>
      </c>
      <c r="BD219" t="s">
        <v>74</v>
      </c>
      <c r="BE219" t="s">
        <v>4494</v>
      </c>
      <c r="BF219" t="str">
        <f>HYPERLINK("http://dx.doi.org/10.1080/2154896X.2021.1898768","http://dx.doi.org/10.1080/2154896X.2021.1898768")</f>
        <v>http://dx.doi.org/10.1080/2154896X.2021.1898768</v>
      </c>
      <c r="BG219" t="s">
        <v>74</v>
      </c>
      <c r="BH219" t="s">
        <v>74</v>
      </c>
      <c r="BI219">
        <v>1</v>
      </c>
      <c r="BJ219" t="s">
        <v>4466</v>
      </c>
      <c r="BK219" t="s">
        <v>3050</v>
      </c>
      <c r="BL219" t="s">
        <v>4467</v>
      </c>
      <c r="BM219" t="s">
        <v>4468</v>
      </c>
      <c r="BN219" t="s">
        <v>74</v>
      </c>
      <c r="BO219" t="s">
        <v>74</v>
      </c>
      <c r="BP219" t="s">
        <v>74</v>
      </c>
      <c r="BQ219" t="s">
        <v>74</v>
      </c>
      <c r="BR219" t="s">
        <v>106</v>
      </c>
      <c r="BS219" t="s">
        <v>4495</v>
      </c>
      <c r="BT219" t="str">
        <f>HYPERLINK("https%3A%2F%2Fwww.webofscience.com%2Fwos%2Fwoscc%2Ffull-record%2FWOS:001098770500016","View Full Record in Web of Science")</f>
        <v>View Full Record in Web of Science</v>
      </c>
    </row>
    <row r="220" spans="1:72" x14ac:dyDescent="0.15">
      <c r="A220" t="s">
        <v>72</v>
      </c>
      <c r="B220" t="s">
        <v>4496</v>
      </c>
      <c r="C220" t="s">
        <v>74</v>
      </c>
      <c r="D220" t="s">
        <v>74</v>
      </c>
      <c r="E220" t="s">
        <v>74</v>
      </c>
      <c r="F220" t="s">
        <v>4497</v>
      </c>
      <c r="G220" t="s">
        <v>74</v>
      </c>
      <c r="H220" t="s">
        <v>74</v>
      </c>
      <c r="I220" t="s">
        <v>4498</v>
      </c>
      <c r="J220" t="s">
        <v>4455</v>
      </c>
      <c r="K220" t="s">
        <v>74</v>
      </c>
      <c r="L220" t="s">
        <v>74</v>
      </c>
      <c r="M220" t="s">
        <v>78</v>
      </c>
      <c r="N220" t="s">
        <v>4156</v>
      </c>
      <c r="O220" t="s">
        <v>74</v>
      </c>
      <c r="P220" t="s">
        <v>74</v>
      </c>
      <c r="Q220" t="s">
        <v>74</v>
      </c>
      <c r="R220" t="s">
        <v>74</v>
      </c>
      <c r="S220" t="s">
        <v>74</v>
      </c>
      <c r="T220" t="s">
        <v>74</v>
      </c>
      <c r="U220" t="s">
        <v>74</v>
      </c>
      <c r="V220" t="s">
        <v>74</v>
      </c>
      <c r="W220" t="s">
        <v>4499</v>
      </c>
      <c r="X220" t="s">
        <v>4500</v>
      </c>
      <c r="Y220" t="s">
        <v>4501</v>
      </c>
      <c r="Z220" t="s">
        <v>4502</v>
      </c>
      <c r="AA220" t="s">
        <v>74</v>
      </c>
      <c r="AB220" t="s">
        <v>74</v>
      </c>
      <c r="AC220" t="s">
        <v>74</v>
      </c>
      <c r="AD220" t="s">
        <v>74</v>
      </c>
      <c r="AE220" t="s">
        <v>74</v>
      </c>
      <c r="AF220" t="s">
        <v>74</v>
      </c>
      <c r="AG220">
        <v>1</v>
      </c>
      <c r="AH220">
        <v>0</v>
      </c>
      <c r="AI220">
        <v>0</v>
      </c>
      <c r="AJ220">
        <v>0</v>
      </c>
      <c r="AK220">
        <v>0</v>
      </c>
      <c r="AL220" t="s">
        <v>2630</v>
      </c>
      <c r="AM220" t="s">
        <v>2631</v>
      </c>
      <c r="AN220" t="s">
        <v>2632</v>
      </c>
      <c r="AO220" t="s">
        <v>4461</v>
      </c>
      <c r="AP220" t="s">
        <v>4462</v>
      </c>
      <c r="AQ220" t="s">
        <v>74</v>
      </c>
      <c r="AR220" t="s">
        <v>4463</v>
      </c>
      <c r="AS220" t="s">
        <v>4464</v>
      </c>
      <c r="AT220" t="s">
        <v>3896</v>
      </c>
      <c r="AU220">
        <v>2021</v>
      </c>
      <c r="AV220">
        <v>11</v>
      </c>
      <c r="AW220">
        <v>1</v>
      </c>
      <c r="AX220" t="s">
        <v>74</v>
      </c>
      <c r="AY220" t="s">
        <v>74</v>
      </c>
      <c r="AZ220" t="s">
        <v>74</v>
      </c>
      <c r="BA220" t="s">
        <v>74</v>
      </c>
      <c r="BB220">
        <v>239</v>
      </c>
      <c r="BC220">
        <v>241</v>
      </c>
      <c r="BD220" t="s">
        <v>74</v>
      </c>
      <c r="BE220" t="s">
        <v>4503</v>
      </c>
      <c r="BF220" t="str">
        <f>HYPERLINK("http://dx.doi.org/10.1080/2154896X.2021.1911764","http://dx.doi.org/10.1080/2154896X.2021.1911764")</f>
        <v>http://dx.doi.org/10.1080/2154896X.2021.1911764</v>
      </c>
      <c r="BG220" t="s">
        <v>74</v>
      </c>
      <c r="BH220" t="s">
        <v>74</v>
      </c>
      <c r="BI220">
        <v>3</v>
      </c>
      <c r="BJ220" t="s">
        <v>4466</v>
      </c>
      <c r="BK220" t="s">
        <v>3050</v>
      </c>
      <c r="BL220" t="s">
        <v>4467</v>
      </c>
      <c r="BM220" t="s">
        <v>4468</v>
      </c>
      <c r="BN220" t="s">
        <v>74</v>
      </c>
      <c r="BO220" t="s">
        <v>74</v>
      </c>
      <c r="BP220" t="s">
        <v>74</v>
      </c>
      <c r="BQ220" t="s">
        <v>74</v>
      </c>
      <c r="BR220" t="s">
        <v>106</v>
      </c>
      <c r="BS220" t="s">
        <v>4504</v>
      </c>
      <c r="BT220" t="str">
        <f>HYPERLINK("https%3A%2F%2Fwww.webofscience.com%2Fwos%2Fwoscc%2Ffull-record%2FWOS:001098770500018","View Full Record in Web of Science")</f>
        <v>View Full Record in Web of Science</v>
      </c>
    </row>
    <row r="221" spans="1:72" x14ac:dyDescent="0.15">
      <c r="A221" t="s">
        <v>72</v>
      </c>
      <c r="B221" t="s">
        <v>4505</v>
      </c>
      <c r="C221" t="s">
        <v>74</v>
      </c>
      <c r="D221" t="s">
        <v>74</v>
      </c>
      <c r="E221" t="s">
        <v>74</v>
      </c>
      <c r="F221" t="s">
        <v>4506</v>
      </c>
      <c r="G221" t="s">
        <v>74</v>
      </c>
      <c r="H221" t="s">
        <v>74</v>
      </c>
      <c r="I221" t="s">
        <v>4507</v>
      </c>
      <c r="J221" t="s">
        <v>4508</v>
      </c>
      <c r="K221" t="s">
        <v>74</v>
      </c>
      <c r="L221" t="s">
        <v>74</v>
      </c>
      <c r="M221" t="s">
        <v>78</v>
      </c>
      <c r="N221" t="s">
        <v>79</v>
      </c>
      <c r="O221" t="s">
        <v>74</v>
      </c>
      <c r="P221" t="s">
        <v>74</v>
      </c>
      <c r="Q221" t="s">
        <v>74</v>
      </c>
      <c r="R221" t="s">
        <v>74</v>
      </c>
      <c r="S221" t="s">
        <v>74</v>
      </c>
      <c r="T221" t="s">
        <v>4509</v>
      </c>
      <c r="U221" t="s">
        <v>4510</v>
      </c>
      <c r="V221" t="s">
        <v>4511</v>
      </c>
      <c r="W221" t="s">
        <v>4512</v>
      </c>
      <c r="X221" t="s">
        <v>4513</v>
      </c>
      <c r="Y221" t="s">
        <v>4514</v>
      </c>
      <c r="Z221" t="s">
        <v>4515</v>
      </c>
      <c r="AA221" t="s">
        <v>74</v>
      </c>
      <c r="AB221" t="s">
        <v>74</v>
      </c>
      <c r="AC221" t="s">
        <v>4516</v>
      </c>
      <c r="AD221" t="s">
        <v>4517</v>
      </c>
      <c r="AE221" t="s">
        <v>4518</v>
      </c>
      <c r="AF221" t="s">
        <v>74</v>
      </c>
      <c r="AG221">
        <v>44</v>
      </c>
      <c r="AH221">
        <v>0</v>
      </c>
      <c r="AI221">
        <v>0</v>
      </c>
      <c r="AJ221">
        <v>1</v>
      </c>
      <c r="AK221">
        <v>2</v>
      </c>
      <c r="AL221" t="s">
        <v>4519</v>
      </c>
      <c r="AM221" t="s">
        <v>4520</v>
      </c>
      <c r="AN221" t="s">
        <v>4521</v>
      </c>
      <c r="AO221" t="s">
        <v>74</v>
      </c>
      <c r="AP221" t="s">
        <v>4522</v>
      </c>
      <c r="AQ221" t="s">
        <v>74</v>
      </c>
      <c r="AR221" t="s">
        <v>4523</v>
      </c>
      <c r="AS221" t="s">
        <v>4524</v>
      </c>
      <c r="AT221" t="s">
        <v>74</v>
      </c>
      <c r="AU221">
        <v>2021</v>
      </c>
      <c r="AV221">
        <v>8</v>
      </c>
      <c r="AW221">
        <v>2</v>
      </c>
      <c r="AX221" t="s">
        <v>74</v>
      </c>
      <c r="AY221" t="s">
        <v>74</v>
      </c>
      <c r="AZ221" t="s">
        <v>74</v>
      </c>
      <c r="BA221" t="s">
        <v>74</v>
      </c>
      <c r="BB221">
        <v>50</v>
      </c>
      <c r="BC221">
        <v>58</v>
      </c>
      <c r="BD221" t="s">
        <v>74</v>
      </c>
      <c r="BE221" t="s">
        <v>74</v>
      </c>
      <c r="BF221" t="s">
        <v>74</v>
      </c>
      <c r="BG221" t="s">
        <v>74</v>
      </c>
      <c r="BH221" t="s">
        <v>74</v>
      </c>
      <c r="BI221">
        <v>9</v>
      </c>
      <c r="BJ221" t="s">
        <v>4525</v>
      </c>
      <c r="BK221" t="s">
        <v>3050</v>
      </c>
      <c r="BL221" t="s">
        <v>4526</v>
      </c>
      <c r="BM221" t="s">
        <v>4527</v>
      </c>
      <c r="BN221" t="s">
        <v>74</v>
      </c>
      <c r="BO221" t="s">
        <v>74</v>
      </c>
      <c r="BP221" t="s">
        <v>74</v>
      </c>
      <c r="BQ221" t="s">
        <v>74</v>
      </c>
      <c r="BR221" t="s">
        <v>106</v>
      </c>
      <c r="BS221" t="s">
        <v>4528</v>
      </c>
      <c r="BT221" t="str">
        <f>HYPERLINK("https%3A%2F%2Fwww.webofscience.com%2Fwos%2Fwoscc%2Ffull-record%2FWOS:000891824700002","View Full Record in Web of Science")</f>
        <v>View Full Record in Web of Science</v>
      </c>
    </row>
    <row r="222" spans="1:72" x14ac:dyDescent="0.15">
      <c r="A222" t="s">
        <v>4529</v>
      </c>
      <c r="B222" t="s">
        <v>4530</v>
      </c>
      <c r="C222" t="s">
        <v>74</v>
      </c>
      <c r="D222" t="s">
        <v>74</v>
      </c>
      <c r="E222" t="s">
        <v>4531</v>
      </c>
      <c r="F222" t="s">
        <v>4532</v>
      </c>
      <c r="G222" t="s">
        <v>74</v>
      </c>
      <c r="H222" t="s">
        <v>74</v>
      </c>
      <c r="I222" t="s">
        <v>4533</v>
      </c>
      <c r="J222" t="s">
        <v>4534</v>
      </c>
      <c r="K222" t="s">
        <v>74</v>
      </c>
      <c r="L222" t="s">
        <v>74</v>
      </c>
      <c r="M222" t="s">
        <v>78</v>
      </c>
      <c r="N222" t="s">
        <v>4535</v>
      </c>
      <c r="O222" t="s">
        <v>4536</v>
      </c>
      <c r="P222" t="s">
        <v>4537</v>
      </c>
      <c r="Q222" t="s">
        <v>4538</v>
      </c>
      <c r="R222" t="s">
        <v>74</v>
      </c>
      <c r="S222" t="s">
        <v>74</v>
      </c>
      <c r="T222" t="s">
        <v>74</v>
      </c>
      <c r="U222" t="s">
        <v>4539</v>
      </c>
      <c r="V222" t="s">
        <v>4540</v>
      </c>
      <c r="W222" t="s">
        <v>4541</v>
      </c>
      <c r="X222" t="s">
        <v>4542</v>
      </c>
      <c r="Y222" t="s">
        <v>4543</v>
      </c>
      <c r="Z222" t="s">
        <v>4544</v>
      </c>
      <c r="AA222" t="s">
        <v>74</v>
      </c>
      <c r="AB222" t="s">
        <v>74</v>
      </c>
      <c r="AC222" t="s">
        <v>4545</v>
      </c>
      <c r="AD222" t="s">
        <v>4546</v>
      </c>
      <c r="AE222" t="s">
        <v>4547</v>
      </c>
      <c r="AF222" t="s">
        <v>74</v>
      </c>
      <c r="AG222">
        <v>26</v>
      </c>
      <c r="AH222">
        <v>0</v>
      </c>
      <c r="AI222">
        <v>0</v>
      </c>
      <c r="AJ222">
        <v>0</v>
      </c>
      <c r="AK222">
        <v>0</v>
      </c>
      <c r="AL222" t="s">
        <v>4548</v>
      </c>
      <c r="AM222" t="s">
        <v>473</v>
      </c>
      <c r="AN222" t="s">
        <v>4549</v>
      </c>
      <c r="AO222" t="s">
        <v>74</v>
      </c>
      <c r="AP222" t="s">
        <v>74</v>
      </c>
      <c r="AQ222" t="s">
        <v>4550</v>
      </c>
      <c r="AR222" t="s">
        <v>74</v>
      </c>
      <c r="AS222" t="s">
        <v>74</v>
      </c>
      <c r="AT222" t="s">
        <v>74</v>
      </c>
      <c r="AU222">
        <v>2021</v>
      </c>
      <c r="AV222" t="s">
        <v>74</v>
      </c>
      <c r="AW222" t="s">
        <v>74</v>
      </c>
      <c r="AX222" t="s">
        <v>74</v>
      </c>
      <c r="AY222" t="s">
        <v>74</v>
      </c>
      <c r="AZ222" t="s">
        <v>74</v>
      </c>
      <c r="BA222" t="s">
        <v>74</v>
      </c>
      <c r="BB222" t="s">
        <v>74</v>
      </c>
      <c r="BC222" t="s">
        <v>74</v>
      </c>
      <c r="BD222" t="s">
        <v>4551</v>
      </c>
      <c r="BE222" t="s">
        <v>74</v>
      </c>
      <c r="BF222" t="s">
        <v>74</v>
      </c>
      <c r="BG222" t="s">
        <v>74</v>
      </c>
      <c r="BH222" t="s">
        <v>74</v>
      </c>
      <c r="BI222">
        <v>9</v>
      </c>
      <c r="BJ222" t="s">
        <v>4552</v>
      </c>
      <c r="BK222" t="s">
        <v>4553</v>
      </c>
      <c r="BL222" t="s">
        <v>187</v>
      </c>
      <c r="BM222" t="s">
        <v>4554</v>
      </c>
      <c r="BN222" t="s">
        <v>74</v>
      </c>
      <c r="BO222" t="s">
        <v>74</v>
      </c>
      <c r="BP222" t="s">
        <v>74</v>
      </c>
      <c r="BQ222" t="s">
        <v>74</v>
      </c>
      <c r="BR222" t="s">
        <v>106</v>
      </c>
      <c r="BS222" t="s">
        <v>4555</v>
      </c>
      <c r="BT222" t="str">
        <f>HYPERLINK("https%3A%2F%2Fwww.webofscience.com%2Fwos%2Fwoscc%2Ffull-record%2FWOS:000882897700026","View Full Record in Web of Science")</f>
        <v>View Full Record in Web of Science</v>
      </c>
    </row>
    <row r="223" spans="1:72" x14ac:dyDescent="0.15">
      <c r="A223" t="s">
        <v>4529</v>
      </c>
      <c r="B223" t="s">
        <v>4556</v>
      </c>
      <c r="C223" t="s">
        <v>74</v>
      </c>
      <c r="D223" t="s">
        <v>74</v>
      </c>
      <c r="E223" t="s">
        <v>4531</v>
      </c>
      <c r="F223" t="s">
        <v>4557</v>
      </c>
      <c r="G223" t="s">
        <v>74</v>
      </c>
      <c r="H223" t="s">
        <v>74</v>
      </c>
      <c r="I223" t="s">
        <v>4558</v>
      </c>
      <c r="J223" t="s">
        <v>4559</v>
      </c>
      <c r="K223" t="s">
        <v>74</v>
      </c>
      <c r="L223" t="s">
        <v>74</v>
      </c>
      <c r="M223" t="s">
        <v>78</v>
      </c>
      <c r="N223" t="s">
        <v>4535</v>
      </c>
      <c r="O223" t="s">
        <v>4536</v>
      </c>
      <c r="P223" t="s">
        <v>4537</v>
      </c>
      <c r="Q223" t="s">
        <v>4538</v>
      </c>
      <c r="R223" t="s">
        <v>74</v>
      </c>
      <c r="S223" t="s">
        <v>74</v>
      </c>
      <c r="T223" t="s">
        <v>74</v>
      </c>
      <c r="U223" t="s">
        <v>4560</v>
      </c>
      <c r="V223" t="s">
        <v>4561</v>
      </c>
      <c r="W223" t="s">
        <v>4562</v>
      </c>
      <c r="X223" t="s">
        <v>4563</v>
      </c>
      <c r="Y223" t="s">
        <v>4564</v>
      </c>
      <c r="Z223" t="s">
        <v>4565</v>
      </c>
      <c r="AA223" t="s">
        <v>4566</v>
      </c>
      <c r="AB223" t="s">
        <v>4567</v>
      </c>
      <c r="AC223" t="s">
        <v>4568</v>
      </c>
      <c r="AD223" t="s">
        <v>4569</v>
      </c>
      <c r="AE223" t="s">
        <v>4570</v>
      </c>
      <c r="AF223" t="s">
        <v>74</v>
      </c>
      <c r="AG223">
        <v>81</v>
      </c>
      <c r="AH223">
        <v>0</v>
      </c>
      <c r="AI223">
        <v>0</v>
      </c>
      <c r="AJ223">
        <v>1</v>
      </c>
      <c r="AK223">
        <v>4</v>
      </c>
      <c r="AL223" t="s">
        <v>4548</v>
      </c>
      <c r="AM223" t="s">
        <v>473</v>
      </c>
      <c r="AN223" t="s">
        <v>4549</v>
      </c>
      <c r="AO223" t="s">
        <v>74</v>
      </c>
      <c r="AP223" t="s">
        <v>74</v>
      </c>
      <c r="AQ223" t="s">
        <v>4571</v>
      </c>
      <c r="AR223" t="s">
        <v>74</v>
      </c>
      <c r="AS223" t="s">
        <v>74</v>
      </c>
      <c r="AT223" t="s">
        <v>74</v>
      </c>
      <c r="AU223">
        <v>2021</v>
      </c>
      <c r="AV223" t="s">
        <v>74</v>
      </c>
      <c r="AW223" t="s">
        <v>74</v>
      </c>
      <c r="AX223" t="s">
        <v>74</v>
      </c>
      <c r="AY223" t="s">
        <v>74</v>
      </c>
      <c r="AZ223" t="s">
        <v>74</v>
      </c>
      <c r="BA223" t="s">
        <v>74</v>
      </c>
      <c r="BB223" t="s">
        <v>74</v>
      </c>
      <c r="BC223" t="s">
        <v>74</v>
      </c>
      <c r="BD223" t="s">
        <v>4572</v>
      </c>
      <c r="BE223" t="s">
        <v>74</v>
      </c>
      <c r="BF223" t="s">
        <v>74</v>
      </c>
      <c r="BG223" t="s">
        <v>74</v>
      </c>
      <c r="BH223" t="s">
        <v>74</v>
      </c>
      <c r="BI223">
        <v>12</v>
      </c>
      <c r="BJ223" t="s">
        <v>4552</v>
      </c>
      <c r="BK223" t="s">
        <v>4553</v>
      </c>
      <c r="BL223" t="s">
        <v>187</v>
      </c>
      <c r="BM223" t="s">
        <v>4573</v>
      </c>
      <c r="BN223" t="s">
        <v>74</v>
      </c>
      <c r="BO223" t="s">
        <v>74</v>
      </c>
      <c r="BP223" t="s">
        <v>74</v>
      </c>
      <c r="BQ223" t="s">
        <v>74</v>
      </c>
      <c r="BR223" t="s">
        <v>106</v>
      </c>
      <c r="BS223" t="s">
        <v>4574</v>
      </c>
      <c r="BT223" t="str">
        <f>HYPERLINK("https%3A%2F%2Fwww.webofscience.com%2Fwos%2Fwoscc%2Ffull-record%2FWOS:000882902600005","View Full Record in Web of Science")</f>
        <v>View Full Record in Web of Science</v>
      </c>
    </row>
    <row r="224" spans="1:72" x14ac:dyDescent="0.15">
      <c r="A224" t="s">
        <v>4529</v>
      </c>
      <c r="B224" t="s">
        <v>4575</v>
      </c>
      <c r="C224" t="s">
        <v>74</v>
      </c>
      <c r="D224" t="s">
        <v>74</v>
      </c>
      <c r="E224" t="s">
        <v>4531</v>
      </c>
      <c r="F224" t="s">
        <v>4576</v>
      </c>
      <c r="G224" t="s">
        <v>74</v>
      </c>
      <c r="H224" t="s">
        <v>74</v>
      </c>
      <c r="I224" t="s">
        <v>4577</v>
      </c>
      <c r="J224" t="s">
        <v>4559</v>
      </c>
      <c r="K224" t="s">
        <v>74</v>
      </c>
      <c r="L224" t="s">
        <v>74</v>
      </c>
      <c r="M224" t="s">
        <v>78</v>
      </c>
      <c r="N224" t="s">
        <v>4535</v>
      </c>
      <c r="O224" t="s">
        <v>4536</v>
      </c>
      <c r="P224" t="s">
        <v>4537</v>
      </c>
      <c r="Q224" t="s">
        <v>4538</v>
      </c>
      <c r="R224" t="s">
        <v>74</v>
      </c>
      <c r="S224" t="s">
        <v>74</v>
      </c>
      <c r="T224" t="s">
        <v>74</v>
      </c>
      <c r="U224" t="s">
        <v>4578</v>
      </c>
      <c r="V224" t="s">
        <v>4579</v>
      </c>
      <c r="W224" t="s">
        <v>4580</v>
      </c>
      <c r="X224" t="s">
        <v>4581</v>
      </c>
      <c r="Y224" t="s">
        <v>4582</v>
      </c>
      <c r="Z224" t="s">
        <v>4583</v>
      </c>
      <c r="AA224" t="s">
        <v>74</v>
      </c>
      <c r="AB224" t="s">
        <v>74</v>
      </c>
      <c r="AC224" t="s">
        <v>4584</v>
      </c>
      <c r="AD224" t="s">
        <v>4585</v>
      </c>
      <c r="AE224" t="s">
        <v>4586</v>
      </c>
      <c r="AF224" t="s">
        <v>74</v>
      </c>
      <c r="AG224">
        <v>40</v>
      </c>
      <c r="AH224">
        <v>0</v>
      </c>
      <c r="AI224">
        <v>0</v>
      </c>
      <c r="AJ224">
        <v>0</v>
      </c>
      <c r="AK224">
        <v>2</v>
      </c>
      <c r="AL224" t="s">
        <v>4548</v>
      </c>
      <c r="AM224" t="s">
        <v>473</v>
      </c>
      <c r="AN224" t="s">
        <v>4549</v>
      </c>
      <c r="AO224" t="s">
        <v>74</v>
      </c>
      <c r="AP224" t="s">
        <v>74</v>
      </c>
      <c r="AQ224" t="s">
        <v>4571</v>
      </c>
      <c r="AR224" t="s">
        <v>74</v>
      </c>
      <c r="AS224" t="s">
        <v>74</v>
      </c>
      <c r="AT224" t="s">
        <v>74</v>
      </c>
      <c r="AU224">
        <v>2021</v>
      </c>
      <c r="AV224" t="s">
        <v>74</v>
      </c>
      <c r="AW224" t="s">
        <v>74</v>
      </c>
      <c r="AX224" t="s">
        <v>74</v>
      </c>
      <c r="AY224" t="s">
        <v>74</v>
      </c>
      <c r="AZ224" t="s">
        <v>74</v>
      </c>
      <c r="BA224" t="s">
        <v>74</v>
      </c>
      <c r="BB224" t="s">
        <v>74</v>
      </c>
      <c r="BC224" t="s">
        <v>74</v>
      </c>
      <c r="BD224" t="s">
        <v>4587</v>
      </c>
      <c r="BE224" t="s">
        <v>74</v>
      </c>
      <c r="BF224" t="s">
        <v>74</v>
      </c>
      <c r="BG224" t="s">
        <v>74</v>
      </c>
      <c r="BH224" t="s">
        <v>74</v>
      </c>
      <c r="BI224">
        <v>10</v>
      </c>
      <c r="BJ224" t="s">
        <v>4552</v>
      </c>
      <c r="BK224" t="s">
        <v>4553</v>
      </c>
      <c r="BL224" t="s">
        <v>187</v>
      </c>
      <c r="BM224" t="s">
        <v>4573</v>
      </c>
      <c r="BN224" t="s">
        <v>74</v>
      </c>
      <c r="BO224" t="s">
        <v>74</v>
      </c>
      <c r="BP224" t="s">
        <v>74</v>
      </c>
      <c r="BQ224" t="s">
        <v>74</v>
      </c>
      <c r="BR224" t="s">
        <v>106</v>
      </c>
      <c r="BS224" t="s">
        <v>4588</v>
      </c>
      <c r="BT224" t="str">
        <f>HYPERLINK("https%3A%2F%2Fwww.webofscience.com%2Fwos%2Fwoscc%2Ffull-record%2FWOS:000882902600007","View Full Record in Web of Science")</f>
        <v>View Full Record in Web of Science</v>
      </c>
    </row>
    <row r="225" spans="1:72" x14ac:dyDescent="0.15">
      <c r="A225" t="s">
        <v>4589</v>
      </c>
      <c r="B225" t="s">
        <v>4590</v>
      </c>
      <c r="C225" t="s">
        <v>74</v>
      </c>
      <c r="D225" t="s">
        <v>4591</v>
      </c>
      <c r="E225" t="s">
        <v>74</v>
      </c>
      <c r="F225" t="s">
        <v>4592</v>
      </c>
      <c r="G225" t="s">
        <v>74</v>
      </c>
      <c r="H225" t="s">
        <v>74</v>
      </c>
      <c r="I225" t="s">
        <v>4593</v>
      </c>
      <c r="J225" t="s">
        <v>4594</v>
      </c>
      <c r="K225" t="s">
        <v>4595</v>
      </c>
      <c r="L225" t="s">
        <v>74</v>
      </c>
      <c r="M225" t="s">
        <v>78</v>
      </c>
      <c r="N225" t="s">
        <v>4596</v>
      </c>
      <c r="O225" t="s">
        <v>74</v>
      </c>
      <c r="P225" t="s">
        <v>74</v>
      </c>
      <c r="Q225" t="s">
        <v>74</v>
      </c>
      <c r="R225" t="s">
        <v>74</v>
      </c>
      <c r="S225" t="s">
        <v>74</v>
      </c>
      <c r="T225" t="s">
        <v>74</v>
      </c>
      <c r="U225" t="s">
        <v>4597</v>
      </c>
      <c r="V225" t="s">
        <v>4598</v>
      </c>
      <c r="W225" t="s">
        <v>4599</v>
      </c>
      <c r="X225" t="s">
        <v>4600</v>
      </c>
      <c r="Y225" t="s">
        <v>4601</v>
      </c>
      <c r="Z225" t="s">
        <v>4602</v>
      </c>
      <c r="AA225" t="s">
        <v>4603</v>
      </c>
      <c r="AB225" t="s">
        <v>74</v>
      </c>
      <c r="AC225" t="s">
        <v>4604</v>
      </c>
      <c r="AD225" t="s">
        <v>4605</v>
      </c>
      <c r="AE225" t="s">
        <v>4606</v>
      </c>
      <c r="AF225" t="s">
        <v>74</v>
      </c>
      <c r="AG225">
        <v>152</v>
      </c>
      <c r="AH225">
        <v>13</v>
      </c>
      <c r="AI225">
        <v>13</v>
      </c>
      <c r="AJ225">
        <v>1</v>
      </c>
      <c r="AK225">
        <v>2</v>
      </c>
      <c r="AL225" t="s">
        <v>4607</v>
      </c>
      <c r="AM225" t="s">
        <v>1914</v>
      </c>
      <c r="AN225" t="s">
        <v>4608</v>
      </c>
      <c r="AO225" t="s">
        <v>4609</v>
      </c>
      <c r="AP225" t="s">
        <v>74</v>
      </c>
      <c r="AQ225" t="s">
        <v>4610</v>
      </c>
      <c r="AR225" t="s">
        <v>4611</v>
      </c>
      <c r="AS225" t="s">
        <v>74</v>
      </c>
      <c r="AT225" t="s">
        <v>74</v>
      </c>
      <c r="AU225">
        <v>2021</v>
      </c>
      <c r="AV225">
        <v>55</v>
      </c>
      <c r="AW225" t="s">
        <v>74</v>
      </c>
      <c r="AX225" t="s">
        <v>74</v>
      </c>
      <c r="AY225" t="s">
        <v>74</v>
      </c>
      <c r="AZ225" t="s">
        <v>74</v>
      </c>
      <c r="BA225" t="s">
        <v>74</v>
      </c>
      <c r="BB225">
        <v>515</v>
      </c>
      <c r="BC225">
        <v>576</v>
      </c>
      <c r="BD225" t="s">
        <v>74</v>
      </c>
      <c r="BE225" t="s">
        <v>4612</v>
      </c>
      <c r="BF225" t="str">
        <f>HYPERLINK("http://dx.doi.org/10.1144/M55-2019-39","http://dx.doi.org/10.1144/M55-2019-39")</f>
        <v>http://dx.doi.org/10.1144/M55-2019-39</v>
      </c>
      <c r="BG225" t="s">
        <v>4613</v>
      </c>
      <c r="BH225" t="s">
        <v>74</v>
      </c>
      <c r="BI225">
        <v>62</v>
      </c>
      <c r="BJ225" t="s">
        <v>4614</v>
      </c>
      <c r="BK225" t="s">
        <v>4615</v>
      </c>
      <c r="BL225" t="s">
        <v>4614</v>
      </c>
      <c r="BM225" t="s">
        <v>4616</v>
      </c>
      <c r="BN225" t="s">
        <v>74</v>
      </c>
      <c r="BO225" t="s">
        <v>218</v>
      </c>
      <c r="BP225" t="s">
        <v>74</v>
      </c>
      <c r="BQ225" t="s">
        <v>74</v>
      </c>
      <c r="BR225" t="s">
        <v>106</v>
      </c>
      <c r="BS225" t="s">
        <v>4617</v>
      </c>
      <c r="BT225" t="str">
        <f>HYPERLINK("https%3A%2F%2Fwww.webofscience.com%2Fwos%2Fwoscc%2Ffull-record%2FWOS:000683732500028","View Full Record in Web of Science")</f>
        <v>View Full Record in Web of Science</v>
      </c>
    </row>
    <row r="226" spans="1:72" x14ac:dyDescent="0.15">
      <c r="A226" t="s">
        <v>4589</v>
      </c>
      <c r="B226" t="s">
        <v>4618</v>
      </c>
      <c r="C226" t="s">
        <v>74</v>
      </c>
      <c r="D226" t="s">
        <v>4619</v>
      </c>
      <c r="E226" t="s">
        <v>74</v>
      </c>
      <c r="F226" t="s">
        <v>4620</v>
      </c>
      <c r="G226" t="s">
        <v>74</v>
      </c>
      <c r="H226" t="s">
        <v>74</v>
      </c>
      <c r="I226" t="s">
        <v>4621</v>
      </c>
      <c r="J226" t="s">
        <v>4622</v>
      </c>
      <c r="K226" t="s">
        <v>4623</v>
      </c>
      <c r="L226" t="s">
        <v>74</v>
      </c>
      <c r="M226" t="s">
        <v>78</v>
      </c>
      <c r="N226" t="s">
        <v>4596</v>
      </c>
      <c r="O226" t="s">
        <v>74</v>
      </c>
      <c r="P226" t="s">
        <v>74</v>
      </c>
      <c r="Q226" t="s">
        <v>74</v>
      </c>
      <c r="R226" t="s">
        <v>74</v>
      </c>
      <c r="S226" t="s">
        <v>74</v>
      </c>
      <c r="T226" t="s">
        <v>74</v>
      </c>
      <c r="U226" t="s">
        <v>4624</v>
      </c>
      <c r="V226" t="s">
        <v>4625</v>
      </c>
      <c r="W226" t="s">
        <v>4626</v>
      </c>
      <c r="X226" t="s">
        <v>4627</v>
      </c>
      <c r="Y226" t="s">
        <v>4628</v>
      </c>
      <c r="Z226" t="s">
        <v>4629</v>
      </c>
      <c r="AA226" t="s">
        <v>74</v>
      </c>
      <c r="AB226" t="s">
        <v>74</v>
      </c>
      <c r="AC226" t="s">
        <v>4630</v>
      </c>
      <c r="AD226" t="s">
        <v>4631</v>
      </c>
      <c r="AE226" t="s">
        <v>4632</v>
      </c>
      <c r="AF226" t="s">
        <v>74</v>
      </c>
      <c r="AG226">
        <v>81</v>
      </c>
      <c r="AH226">
        <v>3</v>
      </c>
      <c r="AI226">
        <v>3</v>
      </c>
      <c r="AJ226">
        <v>0</v>
      </c>
      <c r="AK226">
        <v>3</v>
      </c>
      <c r="AL226" t="s">
        <v>4633</v>
      </c>
      <c r="AM226" t="s">
        <v>4634</v>
      </c>
      <c r="AN226" t="s">
        <v>4635</v>
      </c>
      <c r="AO226" t="s">
        <v>4636</v>
      </c>
      <c r="AP226" t="s">
        <v>74</v>
      </c>
      <c r="AQ226" t="s">
        <v>4637</v>
      </c>
      <c r="AR226" t="s">
        <v>4638</v>
      </c>
      <c r="AS226" t="s">
        <v>74</v>
      </c>
      <c r="AT226" t="s">
        <v>74</v>
      </c>
      <c r="AU226">
        <v>2021</v>
      </c>
      <c r="AV226">
        <v>548</v>
      </c>
      <c r="AW226" t="s">
        <v>74</v>
      </c>
      <c r="AX226" t="s">
        <v>74</v>
      </c>
      <c r="AY226" t="s">
        <v>74</v>
      </c>
      <c r="AZ226" t="s">
        <v>74</v>
      </c>
      <c r="BA226" t="s">
        <v>74</v>
      </c>
      <c r="BB226">
        <v>175</v>
      </c>
      <c r="BC226">
        <v>192</v>
      </c>
      <c r="BD226" t="s">
        <v>74</v>
      </c>
      <c r="BE226" t="s">
        <v>4639</v>
      </c>
      <c r="BF226" t="str">
        <f>HYPERLINK("http://dx.doi.org/10.1130/2020.2548(09)","http://dx.doi.org/10.1130/2020.2548(09)")</f>
        <v>http://dx.doi.org/10.1130/2020.2548(09)</v>
      </c>
      <c r="BG226" t="s">
        <v>74</v>
      </c>
      <c r="BH226" t="s">
        <v>74</v>
      </c>
      <c r="BI226">
        <v>18</v>
      </c>
      <c r="BJ226" t="s">
        <v>4640</v>
      </c>
      <c r="BK226" t="s">
        <v>4615</v>
      </c>
      <c r="BL226" t="s">
        <v>157</v>
      </c>
      <c r="BM226" t="s">
        <v>4641</v>
      </c>
      <c r="BN226" t="s">
        <v>74</v>
      </c>
      <c r="BO226" t="s">
        <v>74</v>
      </c>
      <c r="BP226" t="s">
        <v>74</v>
      </c>
      <c r="BQ226" t="s">
        <v>74</v>
      </c>
      <c r="BR226" t="s">
        <v>106</v>
      </c>
      <c r="BS226" t="s">
        <v>4642</v>
      </c>
      <c r="BT226" t="str">
        <f>HYPERLINK("https%3A%2F%2Fwww.webofscience.com%2Fwos%2Fwoscc%2Ffull-record%2FWOS:000841135900011","View Full Record in Web of Science")</f>
        <v>View Full Record in Web of Science</v>
      </c>
    </row>
    <row r="227" spans="1:72" x14ac:dyDescent="0.15">
      <c r="A227" t="s">
        <v>4529</v>
      </c>
      <c r="B227" t="s">
        <v>4643</v>
      </c>
      <c r="C227" t="s">
        <v>74</v>
      </c>
      <c r="D227" t="s">
        <v>74</v>
      </c>
      <c r="E227" t="s">
        <v>4644</v>
      </c>
      <c r="F227" t="s">
        <v>4645</v>
      </c>
      <c r="G227" t="s">
        <v>74</v>
      </c>
      <c r="H227" t="s">
        <v>74</v>
      </c>
      <c r="I227" t="s">
        <v>4646</v>
      </c>
      <c r="J227" t="s">
        <v>4647</v>
      </c>
      <c r="K227" t="s">
        <v>4648</v>
      </c>
      <c r="L227" t="s">
        <v>74</v>
      </c>
      <c r="M227" t="s">
        <v>78</v>
      </c>
      <c r="N227" t="s">
        <v>4535</v>
      </c>
      <c r="O227" t="s">
        <v>4649</v>
      </c>
      <c r="P227" t="s">
        <v>4650</v>
      </c>
      <c r="Q227" t="s">
        <v>4651</v>
      </c>
      <c r="R227" t="s">
        <v>74</v>
      </c>
      <c r="S227" t="s">
        <v>74</v>
      </c>
      <c r="T227" t="s">
        <v>4652</v>
      </c>
      <c r="U227" t="s">
        <v>74</v>
      </c>
      <c r="V227" t="s">
        <v>4653</v>
      </c>
      <c r="W227" t="s">
        <v>4654</v>
      </c>
      <c r="X227" t="s">
        <v>4655</v>
      </c>
      <c r="Y227" t="s">
        <v>4656</v>
      </c>
      <c r="Z227" t="s">
        <v>4657</v>
      </c>
      <c r="AA227" t="s">
        <v>4658</v>
      </c>
      <c r="AB227" t="s">
        <v>74</v>
      </c>
      <c r="AC227" t="s">
        <v>4659</v>
      </c>
      <c r="AD227" t="s">
        <v>4660</v>
      </c>
      <c r="AE227" t="s">
        <v>4661</v>
      </c>
      <c r="AF227" t="s">
        <v>74</v>
      </c>
      <c r="AG227">
        <v>14</v>
      </c>
      <c r="AH227">
        <v>0</v>
      </c>
      <c r="AI227">
        <v>0</v>
      </c>
      <c r="AJ227">
        <v>0</v>
      </c>
      <c r="AK227">
        <v>3</v>
      </c>
      <c r="AL227" t="s">
        <v>4644</v>
      </c>
      <c r="AM227" t="s">
        <v>473</v>
      </c>
      <c r="AN227" t="s">
        <v>4662</v>
      </c>
      <c r="AO227" t="s">
        <v>74</v>
      </c>
      <c r="AP227" t="s">
        <v>74</v>
      </c>
      <c r="AQ227" t="s">
        <v>4663</v>
      </c>
      <c r="AR227" t="s">
        <v>4664</v>
      </c>
      <c r="AS227" t="s">
        <v>74</v>
      </c>
      <c r="AT227" t="s">
        <v>74</v>
      </c>
      <c r="AU227">
        <v>2021</v>
      </c>
      <c r="AV227" t="s">
        <v>74</v>
      </c>
      <c r="AW227" t="s">
        <v>74</v>
      </c>
      <c r="AX227" t="s">
        <v>74</v>
      </c>
      <c r="AY227" t="s">
        <v>74</v>
      </c>
      <c r="AZ227" t="s">
        <v>74</v>
      </c>
      <c r="BA227" t="s">
        <v>74</v>
      </c>
      <c r="BB227">
        <v>389</v>
      </c>
      <c r="BC227">
        <v>392</v>
      </c>
      <c r="BD227" t="s">
        <v>74</v>
      </c>
      <c r="BE227" t="s">
        <v>74</v>
      </c>
      <c r="BF227" t="s">
        <v>74</v>
      </c>
      <c r="BG227" t="s">
        <v>74</v>
      </c>
      <c r="BH227" t="s">
        <v>74</v>
      </c>
      <c r="BI227">
        <v>4</v>
      </c>
      <c r="BJ227" t="s">
        <v>4665</v>
      </c>
      <c r="BK227" t="s">
        <v>4553</v>
      </c>
      <c r="BL227" t="s">
        <v>4666</v>
      </c>
      <c r="BM227" t="s">
        <v>4667</v>
      </c>
      <c r="BN227" t="s">
        <v>74</v>
      </c>
      <c r="BO227" t="s">
        <v>74</v>
      </c>
      <c r="BP227" t="s">
        <v>74</v>
      </c>
      <c r="BQ227" t="s">
        <v>74</v>
      </c>
      <c r="BR227" t="s">
        <v>106</v>
      </c>
      <c r="BS227" t="s">
        <v>4668</v>
      </c>
      <c r="BT227" t="str">
        <f>HYPERLINK("https%3A%2F%2Fwww.webofscience.com%2Fwos%2Fwoscc%2Ffull-record%2FWOS:000838709300097","View Full Record in Web of Science")</f>
        <v>View Full Record in Web of Science</v>
      </c>
    </row>
    <row r="228" spans="1:72" x14ac:dyDescent="0.15">
      <c r="A228" t="s">
        <v>4669</v>
      </c>
      <c r="B228" t="s">
        <v>4670</v>
      </c>
      <c r="C228" t="s">
        <v>4670</v>
      </c>
      <c r="D228" t="s">
        <v>74</v>
      </c>
      <c r="E228" t="s">
        <v>74</v>
      </c>
      <c r="F228" t="s">
        <v>4671</v>
      </c>
      <c r="G228" t="s">
        <v>4670</v>
      </c>
      <c r="H228" t="s">
        <v>74</v>
      </c>
      <c r="I228" t="s">
        <v>4672</v>
      </c>
      <c r="J228" t="s">
        <v>4673</v>
      </c>
      <c r="K228" t="s">
        <v>4674</v>
      </c>
      <c r="L228" t="s">
        <v>74</v>
      </c>
      <c r="M228" t="s">
        <v>78</v>
      </c>
      <c r="N228" t="s">
        <v>4596</v>
      </c>
      <c r="O228" t="s">
        <v>74</v>
      </c>
      <c r="P228" t="s">
        <v>74</v>
      </c>
      <c r="Q228" t="s">
        <v>74</v>
      </c>
      <c r="R228" t="s">
        <v>74</v>
      </c>
      <c r="S228" t="s">
        <v>74</v>
      </c>
      <c r="T228" t="s">
        <v>74</v>
      </c>
      <c r="U228" t="s">
        <v>74</v>
      </c>
      <c r="V228" t="s">
        <v>74</v>
      </c>
      <c r="W228" t="s">
        <v>4675</v>
      </c>
      <c r="X228" t="s">
        <v>4676</v>
      </c>
      <c r="Y228" t="s">
        <v>4677</v>
      </c>
      <c r="Z228" t="s">
        <v>74</v>
      </c>
      <c r="AA228" t="s">
        <v>74</v>
      </c>
      <c r="AB228" t="s">
        <v>74</v>
      </c>
      <c r="AC228" t="s">
        <v>74</v>
      </c>
      <c r="AD228" t="s">
        <v>74</v>
      </c>
      <c r="AE228" t="s">
        <v>74</v>
      </c>
      <c r="AF228" t="s">
        <v>74</v>
      </c>
      <c r="AG228">
        <v>0</v>
      </c>
      <c r="AH228">
        <v>0</v>
      </c>
      <c r="AI228">
        <v>0</v>
      </c>
      <c r="AJ228">
        <v>0</v>
      </c>
      <c r="AK228">
        <v>0</v>
      </c>
      <c r="AL228" t="s">
        <v>4678</v>
      </c>
      <c r="AM228" t="s">
        <v>2631</v>
      </c>
      <c r="AN228" t="s">
        <v>4679</v>
      </c>
      <c r="AO228" t="s">
        <v>74</v>
      </c>
      <c r="AP228" t="s">
        <v>74</v>
      </c>
      <c r="AQ228" t="s">
        <v>4680</v>
      </c>
      <c r="AR228" t="s">
        <v>4681</v>
      </c>
      <c r="AS228" t="s">
        <v>74</v>
      </c>
      <c r="AT228" t="s">
        <v>74</v>
      </c>
      <c r="AU228">
        <v>2021</v>
      </c>
      <c r="AV228" t="s">
        <v>74</v>
      </c>
      <c r="AW228" t="s">
        <v>74</v>
      </c>
      <c r="AX228" t="s">
        <v>74</v>
      </c>
      <c r="AY228" t="s">
        <v>74</v>
      </c>
      <c r="AZ228" t="s">
        <v>74</v>
      </c>
      <c r="BA228" t="s">
        <v>74</v>
      </c>
      <c r="BB228">
        <v>136</v>
      </c>
      <c r="BC228">
        <v>159</v>
      </c>
      <c r="BD228" t="s">
        <v>74</v>
      </c>
      <c r="BE228" t="s">
        <v>74</v>
      </c>
      <c r="BF228" t="s">
        <v>74</v>
      </c>
      <c r="BG228" t="s">
        <v>74</v>
      </c>
      <c r="BH228" t="s">
        <v>74</v>
      </c>
      <c r="BI228">
        <v>24</v>
      </c>
      <c r="BJ228" t="s">
        <v>4682</v>
      </c>
      <c r="BK228" t="s">
        <v>4683</v>
      </c>
      <c r="BL228" t="s">
        <v>4684</v>
      </c>
      <c r="BM228" t="s">
        <v>4685</v>
      </c>
      <c r="BN228" t="s">
        <v>74</v>
      </c>
      <c r="BO228" t="s">
        <v>74</v>
      </c>
      <c r="BP228" t="s">
        <v>74</v>
      </c>
      <c r="BQ228" t="s">
        <v>74</v>
      </c>
      <c r="BR228" t="s">
        <v>106</v>
      </c>
      <c r="BS228" t="s">
        <v>4686</v>
      </c>
      <c r="BT228" t="str">
        <f>HYPERLINK("https%3A%2F%2Fwww.webofscience.com%2Fwos%2Fwoscc%2Ffull-record%2FWOS:000828176500006","View Full Record in Web of Science")</f>
        <v>View Full Record in Web of Science</v>
      </c>
    </row>
    <row r="229" spans="1:72" x14ac:dyDescent="0.15">
      <c r="A229" t="s">
        <v>4529</v>
      </c>
      <c r="B229" t="s">
        <v>4687</v>
      </c>
      <c r="C229" t="s">
        <v>74</v>
      </c>
      <c r="D229" t="s">
        <v>4688</v>
      </c>
      <c r="E229" t="s">
        <v>74</v>
      </c>
      <c r="F229" t="s">
        <v>4689</v>
      </c>
      <c r="G229" t="s">
        <v>74</v>
      </c>
      <c r="H229" t="s">
        <v>74</v>
      </c>
      <c r="I229" t="s">
        <v>4690</v>
      </c>
      <c r="J229" t="s">
        <v>4691</v>
      </c>
      <c r="K229" t="s">
        <v>4692</v>
      </c>
      <c r="L229" t="s">
        <v>74</v>
      </c>
      <c r="M229" t="s">
        <v>4693</v>
      </c>
      <c r="N229" t="s">
        <v>4535</v>
      </c>
      <c r="O229" t="s">
        <v>4694</v>
      </c>
      <c r="P229" t="s">
        <v>4695</v>
      </c>
      <c r="Q229" t="s">
        <v>4538</v>
      </c>
      <c r="R229" t="s">
        <v>74</v>
      </c>
      <c r="S229" t="s">
        <v>74</v>
      </c>
      <c r="T229" t="s">
        <v>4696</v>
      </c>
      <c r="U229" t="s">
        <v>74</v>
      </c>
      <c r="V229" t="s">
        <v>4697</v>
      </c>
      <c r="W229" t="s">
        <v>4698</v>
      </c>
      <c r="X229" t="s">
        <v>4699</v>
      </c>
      <c r="Y229" t="s">
        <v>4700</v>
      </c>
      <c r="Z229" t="s">
        <v>4701</v>
      </c>
      <c r="AA229" t="s">
        <v>4702</v>
      </c>
      <c r="AB229" t="s">
        <v>74</v>
      </c>
      <c r="AC229" t="s">
        <v>74</v>
      </c>
      <c r="AD229" t="s">
        <v>74</v>
      </c>
      <c r="AE229" t="s">
        <v>74</v>
      </c>
      <c r="AF229" t="s">
        <v>74</v>
      </c>
      <c r="AG229">
        <v>7</v>
      </c>
      <c r="AH229">
        <v>0</v>
      </c>
      <c r="AI229">
        <v>0</v>
      </c>
      <c r="AJ229">
        <v>0</v>
      </c>
      <c r="AK229">
        <v>1</v>
      </c>
      <c r="AL229" t="s">
        <v>4644</v>
      </c>
      <c r="AM229" t="s">
        <v>473</v>
      </c>
      <c r="AN229" t="s">
        <v>4662</v>
      </c>
      <c r="AO229" t="s">
        <v>4703</v>
      </c>
      <c r="AP229" t="s">
        <v>74</v>
      </c>
      <c r="AQ229" t="s">
        <v>4704</v>
      </c>
      <c r="AR229" t="s">
        <v>4705</v>
      </c>
      <c r="AS229" t="s">
        <v>74</v>
      </c>
      <c r="AT229" t="s">
        <v>74</v>
      </c>
      <c r="AU229">
        <v>2021</v>
      </c>
      <c r="AV229" t="s">
        <v>74</v>
      </c>
      <c r="AW229" t="s">
        <v>74</v>
      </c>
      <c r="AX229" t="s">
        <v>74</v>
      </c>
      <c r="AY229" t="s">
        <v>74</v>
      </c>
      <c r="AZ229" t="s">
        <v>74</v>
      </c>
      <c r="BA229" t="s">
        <v>74</v>
      </c>
      <c r="BB229" t="s">
        <v>74</v>
      </c>
      <c r="BC229" t="s">
        <v>74</v>
      </c>
      <c r="BD229" t="s">
        <v>74</v>
      </c>
      <c r="BE229" t="s">
        <v>74</v>
      </c>
      <c r="BF229" t="s">
        <v>74</v>
      </c>
      <c r="BG229" t="s">
        <v>74</v>
      </c>
      <c r="BH229" t="s">
        <v>74</v>
      </c>
      <c r="BI229">
        <v>3</v>
      </c>
      <c r="BJ229" t="s">
        <v>4706</v>
      </c>
      <c r="BK229" t="s">
        <v>4553</v>
      </c>
      <c r="BL229" t="s">
        <v>4707</v>
      </c>
      <c r="BM229" t="s">
        <v>4708</v>
      </c>
      <c r="BN229" t="s">
        <v>74</v>
      </c>
      <c r="BO229" t="s">
        <v>74</v>
      </c>
      <c r="BP229" t="s">
        <v>74</v>
      </c>
      <c r="BQ229" t="s">
        <v>74</v>
      </c>
      <c r="BR229" t="s">
        <v>106</v>
      </c>
      <c r="BS229" t="s">
        <v>4709</v>
      </c>
      <c r="BT229" t="str">
        <f>HYPERLINK("https%3A%2F%2Fwww.webofscience.com%2Fwos%2Fwoscc%2Ffull-record%2FWOS:000824588500185","View Full Record in Web of Science")</f>
        <v>View Full Record in Web of Science</v>
      </c>
    </row>
    <row r="230" spans="1:72" x14ac:dyDescent="0.15">
      <c r="A230" t="s">
        <v>72</v>
      </c>
      <c r="B230" t="s">
        <v>4710</v>
      </c>
      <c r="C230" t="s">
        <v>74</v>
      </c>
      <c r="D230" t="s">
        <v>74</v>
      </c>
      <c r="E230" t="s">
        <v>74</v>
      </c>
      <c r="F230" t="s">
        <v>4711</v>
      </c>
      <c r="G230" t="s">
        <v>74</v>
      </c>
      <c r="H230" t="s">
        <v>74</v>
      </c>
      <c r="I230" t="s">
        <v>4712</v>
      </c>
      <c r="J230" t="s">
        <v>4713</v>
      </c>
      <c r="K230" t="s">
        <v>74</v>
      </c>
      <c r="L230" t="s">
        <v>74</v>
      </c>
      <c r="M230" t="s">
        <v>78</v>
      </c>
      <c r="N230" t="s">
        <v>79</v>
      </c>
      <c r="O230" t="s">
        <v>74</v>
      </c>
      <c r="P230" t="s">
        <v>74</v>
      </c>
      <c r="Q230" t="s">
        <v>74</v>
      </c>
      <c r="R230" t="s">
        <v>74</v>
      </c>
      <c r="S230" t="s">
        <v>74</v>
      </c>
      <c r="T230" t="s">
        <v>4714</v>
      </c>
      <c r="U230" t="s">
        <v>4715</v>
      </c>
      <c r="V230" t="s">
        <v>4716</v>
      </c>
      <c r="W230" t="s">
        <v>4717</v>
      </c>
      <c r="X230" t="s">
        <v>4718</v>
      </c>
      <c r="Y230" t="s">
        <v>4719</v>
      </c>
      <c r="Z230" t="s">
        <v>4720</v>
      </c>
      <c r="AA230" t="s">
        <v>4721</v>
      </c>
      <c r="AB230" t="s">
        <v>4722</v>
      </c>
      <c r="AC230" t="s">
        <v>74</v>
      </c>
      <c r="AD230" t="s">
        <v>74</v>
      </c>
      <c r="AE230" t="s">
        <v>74</v>
      </c>
      <c r="AF230" t="s">
        <v>74</v>
      </c>
      <c r="AG230">
        <v>46</v>
      </c>
      <c r="AH230">
        <v>1</v>
      </c>
      <c r="AI230">
        <v>1</v>
      </c>
      <c r="AJ230">
        <v>6</v>
      </c>
      <c r="AK230">
        <v>14</v>
      </c>
      <c r="AL230" t="s">
        <v>4723</v>
      </c>
      <c r="AM230" t="s">
        <v>4724</v>
      </c>
      <c r="AN230" t="s">
        <v>4725</v>
      </c>
      <c r="AO230" t="s">
        <v>4726</v>
      </c>
      <c r="AP230" t="s">
        <v>4727</v>
      </c>
      <c r="AQ230" t="s">
        <v>74</v>
      </c>
      <c r="AR230" t="s">
        <v>4728</v>
      </c>
      <c r="AS230" t="s">
        <v>4729</v>
      </c>
      <c r="AT230" t="s">
        <v>74</v>
      </c>
      <c r="AU230">
        <v>2021</v>
      </c>
      <c r="AV230">
        <v>44</v>
      </c>
      <c r="AW230">
        <v>1</v>
      </c>
      <c r="AX230" t="s">
        <v>74</v>
      </c>
      <c r="AY230" t="s">
        <v>74</v>
      </c>
      <c r="AZ230" t="s">
        <v>74</v>
      </c>
      <c r="BA230" t="s">
        <v>74</v>
      </c>
      <c r="BB230">
        <v>79</v>
      </c>
      <c r="BC230">
        <v>90</v>
      </c>
      <c r="BD230" t="s">
        <v>74</v>
      </c>
      <c r="BE230" t="s">
        <v>4730</v>
      </c>
      <c r="BF230" t="str">
        <f>HYPERLINK("http://dx.doi.org/10.4461/GFDQ.2021.44.7","http://dx.doi.org/10.4461/GFDQ.2021.44.7")</f>
        <v>http://dx.doi.org/10.4461/GFDQ.2021.44.7</v>
      </c>
      <c r="BG230" t="s">
        <v>74</v>
      </c>
      <c r="BH230" t="s">
        <v>74</v>
      </c>
      <c r="BI230">
        <v>14</v>
      </c>
      <c r="BJ230" t="s">
        <v>4731</v>
      </c>
      <c r="BK230" t="s">
        <v>103</v>
      </c>
      <c r="BL230" t="s">
        <v>4732</v>
      </c>
      <c r="BM230" t="s">
        <v>4733</v>
      </c>
      <c r="BN230" t="s">
        <v>74</v>
      </c>
      <c r="BO230" t="s">
        <v>74</v>
      </c>
      <c r="BP230" t="s">
        <v>74</v>
      </c>
      <c r="BQ230" t="s">
        <v>74</v>
      </c>
      <c r="BR230" t="s">
        <v>106</v>
      </c>
      <c r="BS230" t="s">
        <v>4734</v>
      </c>
      <c r="BT230" t="str">
        <f>HYPERLINK("https%3A%2F%2Fwww.webofscience.com%2Fwos%2Fwoscc%2Ffull-record%2FWOS:000818640600006","View Full Record in Web of Science")</f>
        <v>View Full Record in Web of Science</v>
      </c>
    </row>
    <row r="231" spans="1:72" x14ac:dyDescent="0.15">
      <c r="A231" t="s">
        <v>4529</v>
      </c>
      <c r="B231" t="s">
        <v>4735</v>
      </c>
      <c r="C231" t="s">
        <v>74</v>
      </c>
      <c r="D231" t="s">
        <v>74</v>
      </c>
      <c r="E231" t="s">
        <v>4644</v>
      </c>
      <c r="F231" t="s">
        <v>4736</v>
      </c>
      <c r="G231" t="s">
        <v>74</v>
      </c>
      <c r="H231" t="s">
        <v>74</v>
      </c>
      <c r="I231" t="s">
        <v>4737</v>
      </c>
      <c r="J231" t="s">
        <v>4738</v>
      </c>
      <c r="K231" t="s">
        <v>74</v>
      </c>
      <c r="L231" t="s">
        <v>74</v>
      </c>
      <c r="M231" t="s">
        <v>78</v>
      </c>
      <c r="N231" t="s">
        <v>4535</v>
      </c>
      <c r="O231" t="s">
        <v>4739</v>
      </c>
      <c r="P231" t="s">
        <v>4740</v>
      </c>
      <c r="Q231" t="s">
        <v>4741</v>
      </c>
      <c r="R231" t="s">
        <v>74</v>
      </c>
      <c r="S231" t="s">
        <v>74</v>
      </c>
      <c r="T231" t="s">
        <v>4742</v>
      </c>
      <c r="U231" t="s">
        <v>4743</v>
      </c>
      <c r="V231" t="s">
        <v>4744</v>
      </c>
      <c r="W231" t="s">
        <v>4745</v>
      </c>
      <c r="X231" t="s">
        <v>4746</v>
      </c>
      <c r="Y231" t="s">
        <v>4747</v>
      </c>
      <c r="Z231" t="s">
        <v>4748</v>
      </c>
      <c r="AA231" t="s">
        <v>74</v>
      </c>
      <c r="AB231" t="s">
        <v>4749</v>
      </c>
      <c r="AC231" t="s">
        <v>4750</v>
      </c>
      <c r="AD231" t="s">
        <v>4751</v>
      </c>
      <c r="AE231" t="s">
        <v>4752</v>
      </c>
      <c r="AF231" t="s">
        <v>74</v>
      </c>
      <c r="AG231">
        <v>23</v>
      </c>
      <c r="AH231">
        <v>0</v>
      </c>
      <c r="AI231">
        <v>0</v>
      </c>
      <c r="AJ231">
        <v>0</v>
      </c>
      <c r="AK231">
        <v>1</v>
      </c>
      <c r="AL231" t="s">
        <v>4644</v>
      </c>
      <c r="AM231" t="s">
        <v>473</v>
      </c>
      <c r="AN231" t="s">
        <v>4662</v>
      </c>
      <c r="AO231" t="s">
        <v>74</v>
      </c>
      <c r="AP231" t="s">
        <v>74</v>
      </c>
      <c r="AQ231" t="s">
        <v>4753</v>
      </c>
      <c r="AR231" t="s">
        <v>74</v>
      </c>
      <c r="AS231" t="s">
        <v>74</v>
      </c>
      <c r="AT231" t="s">
        <v>74</v>
      </c>
      <c r="AU231">
        <v>2021</v>
      </c>
      <c r="AV231" t="s">
        <v>74</v>
      </c>
      <c r="AW231" t="s">
        <v>74</v>
      </c>
      <c r="AX231" t="s">
        <v>74</v>
      </c>
      <c r="AY231" t="s">
        <v>74</v>
      </c>
      <c r="AZ231" t="s">
        <v>74</v>
      </c>
      <c r="BA231" t="s">
        <v>74</v>
      </c>
      <c r="BB231" t="s">
        <v>74</v>
      </c>
      <c r="BC231" t="s">
        <v>74</v>
      </c>
      <c r="BD231" t="s">
        <v>74</v>
      </c>
      <c r="BE231" t="s">
        <v>4754</v>
      </c>
      <c r="BF231" t="str">
        <f>HYPERLINK("http://dx.doi.org/10.1109/RPIC53795.2021.9648466","http://dx.doi.org/10.1109/RPIC53795.2021.9648466")</f>
        <v>http://dx.doi.org/10.1109/RPIC53795.2021.9648466</v>
      </c>
      <c r="BG231" t="s">
        <v>74</v>
      </c>
      <c r="BH231" t="s">
        <v>74</v>
      </c>
      <c r="BI231">
        <v>6</v>
      </c>
      <c r="BJ231" t="s">
        <v>74</v>
      </c>
      <c r="BK231" t="s">
        <v>4553</v>
      </c>
      <c r="BL231" t="s">
        <v>74</v>
      </c>
      <c r="BM231" t="s">
        <v>4755</v>
      </c>
      <c r="BN231" t="s">
        <v>74</v>
      </c>
      <c r="BO231" t="s">
        <v>74</v>
      </c>
      <c r="BP231" t="s">
        <v>74</v>
      </c>
      <c r="BQ231" t="s">
        <v>74</v>
      </c>
      <c r="BR231" t="s">
        <v>106</v>
      </c>
      <c r="BS231" t="s">
        <v>4756</v>
      </c>
      <c r="BT231" t="str">
        <f>HYPERLINK("https%3A%2F%2Fwww.webofscience.com%2Fwos%2Fwoscc%2Ffull-record%2FWOS:000802215900036","View Full Record in Web of Science")</f>
        <v>View Full Record in Web of Science</v>
      </c>
    </row>
    <row r="232" spans="1:72" x14ac:dyDescent="0.15">
      <c r="A232" t="s">
        <v>4529</v>
      </c>
      <c r="B232" t="s">
        <v>4757</v>
      </c>
      <c r="C232" t="s">
        <v>74</v>
      </c>
      <c r="D232" t="s">
        <v>4758</v>
      </c>
      <c r="E232" t="s">
        <v>74</v>
      </c>
      <c r="F232" t="s">
        <v>4759</v>
      </c>
      <c r="G232" t="s">
        <v>74</v>
      </c>
      <c r="H232" t="s">
        <v>74</v>
      </c>
      <c r="I232" t="s">
        <v>4760</v>
      </c>
      <c r="J232" t="s">
        <v>4761</v>
      </c>
      <c r="K232" t="s">
        <v>4762</v>
      </c>
      <c r="L232" t="s">
        <v>74</v>
      </c>
      <c r="M232" t="s">
        <v>78</v>
      </c>
      <c r="N232" t="s">
        <v>4535</v>
      </c>
      <c r="O232" t="s">
        <v>4763</v>
      </c>
      <c r="P232" t="s">
        <v>4764</v>
      </c>
      <c r="Q232" t="s">
        <v>4765</v>
      </c>
      <c r="R232" t="s">
        <v>74</v>
      </c>
      <c r="S232" t="s">
        <v>74</v>
      </c>
      <c r="T232" t="s">
        <v>4766</v>
      </c>
      <c r="U232" t="s">
        <v>4767</v>
      </c>
      <c r="V232" t="s">
        <v>4768</v>
      </c>
      <c r="W232" t="s">
        <v>4769</v>
      </c>
      <c r="X232" t="s">
        <v>4770</v>
      </c>
      <c r="Y232" t="s">
        <v>4771</v>
      </c>
      <c r="Z232" t="s">
        <v>4772</v>
      </c>
      <c r="AA232" t="s">
        <v>4773</v>
      </c>
      <c r="AB232" t="s">
        <v>74</v>
      </c>
      <c r="AC232" t="s">
        <v>4774</v>
      </c>
      <c r="AD232" t="s">
        <v>4775</v>
      </c>
      <c r="AE232" t="s">
        <v>4776</v>
      </c>
      <c r="AF232" t="s">
        <v>74</v>
      </c>
      <c r="AG232">
        <v>15</v>
      </c>
      <c r="AH232">
        <v>0</v>
      </c>
      <c r="AI232">
        <v>0</v>
      </c>
      <c r="AJ232">
        <v>1</v>
      </c>
      <c r="AK232">
        <v>5</v>
      </c>
      <c r="AL232" t="s">
        <v>4777</v>
      </c>
      <c r="AM232" t="s">
        <v>4778</v>
      </c>
      <c r="AN232" t="s">
        <v>4779</v>
      </c>
      <c r="AO232" t="s">
        <v>4780</v>
      </c>
      <c r="AP232" t="s">
        <v>4781</v>
      </c>
      <c r="AQ232" t="s">
        <v>4782</v>
      </c>
      <c r="AR232" t="s">
        <v>4783</v>
      </c>
      <c r="AS232" t="s">
        <v>74</v>
      </c>
      <c r="AT232" t="s">
        <v>74</v>
      </c>
      <c r="AU232">
        <v>2021</v>
      </c>
      <c r="AV232">
        <v>11916</v>
      </c>
      <c r="AW232" t="s">
        <v>74</v>
      </c>
      <c r="AX232" t="s">
        <v>74</v>
      </c>
      <c r="AY232" t="s">
        <v>74</v>
      </c>
      <c r="AZ232" t="s">
        <v>74</v>
      </c>
      <c r="BA232" t="s">
        <v>74</v>
      </c>
      <c r="BB232" t="s">
        <v>74</v>
      </c>
      <c r="BC232" t="s">
        <v>74</v>
      </c>
      <c r="BD232" t="s">
        <v>4784</v>
      </c>
      <c r="BE232" t="s">
        <v>4785</v>
      </c>
      <c r="BF232" t="str">
        <f>HYPERLINK("http://dx.doi.org/10.1117/12.2602107","http://dx.doi.org/10.1117/12.2602107")</f>
        <v>http://dx.doi.org/10.1117/12.2602107</v>
      </c>
      <c r="BG232" t="s">
        <v>74</v>
      </c>
      <c r="BH232" t="s">
        <v>74</v>
      </c>
      <c r="BI232">
        <v>6</v>
      </c>
      <c r="BJ232" t="s">
        <v>4786</v>
      </c>
      <c r="BK232" t="s">
        <v>4553</v>
      </c>
      <c r="BL232" t="s">
        <v>4787</v>
      </c>
      <c r="BM232" t="s">
        <v>4788</v>
      </c>
      <c r="BN232" t="s">
        <v>74</v>
      </c>
      <c r="BO232" t="s">
        <v>74</v>
      </c>
      <c r="BP232" t="s">
        <v>74</v>
      </c>
      <c r="BQ232" t="s">
        <v>74</v>
      </c>
      <c r="BR232" t="s">
        <v>106</v>
      </c>
      <c r="BS232" t="s">
        <v>4789</v>
      </c>
      <c r="BT232" t="str">
        <f>HYPERLINK("https%3A%2F%2Fwww.webofscience.com%2Fwos%2Fwoscc%2Ffull-record%2FWOS:000797340000091","View Full Record in Web of Science")</f>
        <v>View Full Record in Web of Science</v>
      </c>
    </row>
    <row r="233" spans="1:72" x14ac:dyDescent="0.15">
      <c r="A233" t="s">
        <v>4529</v>
      </c>
      <c r="B233" t="s">
        <v>4790</v>
      </c>
      <c r="C233" t="s">
        <v>74</v>
      </c>
      <c r="D233" t="s">
        <v>4758</v>
      </c>
      <c r="E233" t="s">
        <v>74</v>
      </c>
      <c r="F233" t="s">
        <v>4791</v>
      </c>
      <c r="G233" t="s">
        <v>74</v>
      </c>
      <c r="H233" t="s">
        <v>74</v>
      </c>
      <c r="I233" t="s">
        <v>4792</v>
      </c>
      <c r="J233" t="s">
        <v>4761</v>
      </c>
      <c r="K233" t="s">
        <v>4762</v>
      </c>
      <c r="L233" t="s">
        <v>74</v>
      </c>
      <c r="M233" t="s">
        <v>78</v>
      </c>
      <c r="N233" t="s">
        <v>4535</v>
      </c>
      <c r="O233" t="s">
        <v>4763</v>
      </c>
      <c r="P233" t="s">
        <v>4764</v>
      </c>
      <c r="Q233" t="s">
        <v>4765</v>
      </c>
      <c r="R233" t="s">
        <v>74</v>
      </c>
      <c r="S233" t="s">
        <v>74</v>
      </c>
      <c r="T233" t="s">
        <v>4793</v>
      </c>
      <c r="U233" t="s">
        <v>4794</v>
      </c>
      <c r="V233" t="s">
        <v>4795</v>
      </c>
      <c r="W233" t="s">
        <v>4796</v>
      </c>
      <c r="X233" t="s">
        <v>4797</v>
      </c>
      <c r="Y233" t="s">
        <v>4798</v>
      </c>
      <c r="Z233" t="s">
        <v>4772</v>
      </c>
      <c r="AA233" t="s">
        <v>4799</v>
      </c>
      <c r="AB233" t="s">
        <v>74</v>
      </c>
      <c r="AC233" t="s">
        <v>4800</v>
      </c>
      <c r="AD233" t="s">
        <v>4801</v>
      </c>
      <c r="AE233" t="s">
        <v>4802</v>
      </c>
      <c r="AF233" t="s">
        <v>74</v>
      </c>
      <c r="AG233">
        <v>16</v>
      </c>
      <c r="AH233">
        <v>1</v>
      </c>
      <c r="AI233">
        <v>1</v>
      </c>
      <c r="AJ233">
        <v>1</v>
      </c>
      <c r="AK233">
        <v>2</v>
      </c>
      <c r="AL233" t="s">
        <v>4777</v>
      </c>
      <c r="AM233" t="s">
        <v>4778</v>
      </c>
      <c r="AN233" t="s">
        <v>4779</v>
      </c>
      <c r="AO233" t="s">
        <v>4780</v>
      </c>
      <c r="AP233" t="s">
        <v>4781</v>
      </c>
      <c r="AQ233" t="s">
        <v>4782</v>
      </c>
      <c r="AR233" t="s">
        <v>4783</v>
      </c>
      <c r="AS233" t="s">
        <v>74</v>
      </c>
      <c r="AT233" t="s">
        <v>74</v>
      </c>
      <c r="AU233">
        <v>2021</v>
      </c>
      <c r="AV233">
        <v>11916</v>
      </c>
      <c r="AW233" t="s">
        <v>74</v>
      </c>
      <c r="AX233" t="s">
        <v>74</v>
      </c>
      <c r="AY233" t="s">
        <v>74</v>
      </c>
      <c r="AZ233" t="s">
        <v>74</v>
      </c>
      <c r="BA233" t="s">
        <v>74</v>
      </c>
      <c r="BB233" t="s">
        <v>74</v>
      </c>
      <c r="BC233" t="s">
        <v>74</v>
      </c>
      <c r="BD233" t="s">
        <v>4803</v>
      </c>
      <c r="BE233" t="s">
        <v>4804</v>
      </c>
      <c r="BF233" t="str">
        <f>HYPERLINK("http://dx.doi.org/10.1117/12.2602124","http://dx.doi.org/10.1117/12.2602124")</f>
        <v>http://dx.doi.org/10.1117/12.2602124</v>
      </c>
      <c r="BG233" t="s">
        <v>74</v>
      </c>
      <c r="BH233" t="s">
        <v>74</v>
      </c>
      <c r="BI233">
        <v>6</v>
      </c>
      <c r="BJ233" t="s">
        <v>4786</v>
      </c>
      <c r="BK233" t="s">
        <v>4553</v>
      </c>
      <c r="BL233" t="s">
        <v>4787</v>
      </c>
      <c r="BM233" t="s">
        <v>4788</v>
      </c>
      <c r="BN233" t="s">
        <v>74</v>
      </c>
      <c r="BO233" t="s">
        <v>74</v>
      </c>
      <c r="BP233" t="s">
        <v>74</v>
      </c>
      <c r="BQ233" t="s">
        <v>74</v>
      </c>
      <c r="BR233" t="s">
        <v>106</v>
      </c>
      <c r="BS233" t="s">
        <v>4805</v>
      </c>
      <c r="BT233" t="str">
        <f>HYPERLINK("https%3A%2F%2Fwww.webofscience.com%2Fwos%2Fwoscc%2Ffull-record%2FWOS:000797340000093","View Full Record in Web of Science")</f>
        <v>View Full Record in Web of Science</v>
      </c>
    </row>
    <row r="234" spans="1:72" x14ac:dyDescent="0.15">
      <c r="A234" t="s">
        <v>4529</v>
      </c>
      <c r="B234" t="s">
        <v>4806</v>
      </c>
      <c r="C234" t="s">
        <v>74</v>
      </c>
      <c r="D234" t="s">
        <v>4758</v>
      </c>
      <c r="E234" t="s">
        <v>74</v>
      </c>
      <c r="F234" t="s">
        <v>4807</v>
      </c>
      <c r="G234" t="s">
        <v>74</v>
      </c>
      <c r="H234" t="s">
        <v>74</v>
      </c>
      <c r="I234" t="s">
        <v>4808</v>
      </c>
      <c r="J234" t="s">
        <v>4761</v>
      </c>
      <c r="K234" t="s">
        <v>4762</v>
      </c>
      <c r="L234" t="s">
        <v>74</v>
      </c>
      <c r="M234" t="s">
        <v>78</v>
      </c>
      <c r="N234" t="s">
        <v>4535</v>
      </c>
      <c r="O234" t="s">
        <v>4763</v>
      </c>
      <c r="P234" t="s">
        <v>4764</v>
      </c>
      <c r="Q234" t="s">
        <v>4765</v>
      </c>
      <c r="R234" t="s">
        <v>74</v>
      </c>
      <c r="S234" t="s">
        <v>74</v>
      </c>
      <c r="T234" t="s">
        <v>4809</v>
      </c>
      <c r="U234" t="s">
        <v>4810</v>
      </c>
      <c r="V234" t="s">
        <v>4811</v>
      </c>
      <c r="W234" t="s">
        <v>4812</v>
      </c>
      <c r="X234" t="s">
        <v>4813</v>
      </c>
      <c r="Y234" t="s">
        <v>4814</v>
      </c>
      <c r="Z234" t="s">
        <v>4815</v>
      </c>
      <c r="AA234" t="s">
        <v>4816</v>
      </c>
      <c r="AB234" t="s">
        <v>4817</v>
      </c>
      <c r="AC234" t="s">
        <v>4818</v>
      </c>
      <c r="AD234" t="s">
        <v>4819</v>
      </c>
      <c r="AE234" t="s">
        <v>4820</v>
      </c>
      <c r="AF234" t="s">
        <v>74</v>
      </c>
      <c r="AG234">
        <v>15</v>
      </c>
      <c r="AH234">
        <v>0</v>
      </c>
      <c r="AI234">
        <v>0</v>
      </c>
      <c r="AJ234">
        <v>0</v>
      </c>
      <c r="AK234">
        <v>0</v>
      </c>
      <c r="AL234" t="s">
        <v>4777</v>
      </c>
      <c r="AM234" t="s">
        <v>4778</v>
      </c>
      <c r="AN234" t="s">
        <v>4779</v>
      </c>
      <c r="AO234" t="s">
        <v>4780</v>
      </c>
      <c r="AP234" t="s">
        <v>4781</v>
      </c>
      <c r="AQ234" t="s">
        <v>4782</v>
      </c>
      <c r="AR234" t="s">
        <v>4783</v>
      </c>
      <c r="AS234" t="s">
        <v>74</v>
      </c>
      <c r="AT234" t="s">
        <v>74</v>
      </c>
      <c r="AU234">
        <v>2021</v>
      </c>
      <c r="AV234">
        <v>11916</v>
      </c>
      <c r="AW234" t="s">
        <v>74</v>
      </c>
      <c r="AX234" t="s">
        <v>74</v>
      </c>
      <c r="AY234" t="s">
        <v>74</v>
      </c>
      <c r="AZ234" t="s">
        <v>74</v>
      </c>
      <c r="BA234" t="s">
        <v>74</v>
      </c>
      <c r="BB234" t="s">
        <v>74</v>
      </c>
      <c r="BC234" t="s">
        <v>74</v>
      </c>
      <c r="BD234">
        <v>1191654</v>
      </c>
      <c r="BE234" t="s">
        <v>4821</v>
      </c>
      <c r="BF234" t="str">
        <f>HYPERLINK("http://dx.doi.org/10.1117/12.2601987","http://dx.doi.org/10.1117/12.2601987")</f>
        <v>http://dx.doi.org/10.1117/12.2601987</v>
      </c>
      <c r="BG234" t="s">
        <v>74</v>
      </c>
      <c r="BH234" t="s">
        <v>74</v>
      </c>
      <c r="BI234">
        <v>6</v>
      </c>
      <c r="BJ234" t="s">
        <v>4786</v>
      </c>
      <c r="BK234" t="s">
        <v>4553</v>
      </c>
      <c r="BL234" t="s">
        <v>4787</v>
      </c>
      <c r="BM234" t="s">
        <v>4788</v>
      </c>
      <c r="BN234" t="s">
        <v>74</v>
      </c>
      <c r="BO234" t="s">
        <v>74</v>
      </c>
      <c r="BP234" t="s">
        <v>74</v>
      </c>
      <c r="BQ234" t="s">
        <v>74</v>
      </c>
      <c r="BR234" t="s">
        <v>106</v>
      </c>
      <c r="BS234" t="s">
        <v>4822</v>
      </c>
      <c r="BT234" t="str">
        <f>HYPERLINK("https%3A%2F%2Fwww.webofscience.com%2Fwos%2Fwoscc%2Ffull-record%2FWOS:000797340000183","View Full Record in Web of Science")</f>
        <v>View Full Record in Web of Science</v>
      </c>
    </row>
    <row r="235" spans="1:72" x14ac:dyDescent="0.15">
      <c r="A235" t="s">
        <v>4529</v>
      </c>
      <c r="B235" t="s">
        <v>4823</v>
      </c>
      <c r="C235" t="s">
        <v>74</v>
      </c>
      <c r="D235" t="s">
        <v>4758</v>
      </c>
      <c r="E235" t="s">
        <v>74</v>
      </c>
      <c r="F235" t="s">
        <v>4824</v>
      </c>
      <c r="G235" t="s">
        <v>74</v>
      </c>
      <c r="H235" t="s">
        <v>74</v>
      </c>
      <c r="I235" t="s">
        <v>4825</v>
      </c>
      <c r="J235" t="s">
        <v>4761</v>
      </c>
      <c r="K235" t="s">
        <v>4762</v>
      </c>
      <c r="L235" t="s">
        <v>74</v>
      </c>
      <c r="M235" t="s">
        <v>78</v>
      </c>
      <c r="N235" t="s">
        <v>4535</v>
      </c>
      <c r="O235" t="s">
        <v>4763</v>
      </c>
      <c r="P235" t="s">
        <v>4764</v>
      </c>
      <c r="Q235" t="s">
        <v>4765</v>
      </c>
      <c r="R235" t="s">
        <v>74</v>
      </c>
      <c r="S235" t="s">
        <v>74</v>
      </c>
      <c r="T235" t="s">
        <v>4826</v>
      </c>
      <c r="U235" t="s">
        <v>74</v>
      </c>
      <c r="V235" t="s">
        <v>4827</v>
      </c>
      <c r="W235" t="s">
        <v>4828</v>
      </c>
      <c r="X235" t="s">
        <v>4829</v>
      </c>
      <c r="Y235" t="s">
        <v>4830</v>
      </c>
      <c r="Z235" t="s">
        <v>74</v>
      </c>
      <c r="AA235" t="s">
        <v>4831</v>
      </c>
      <c r="AB235" t="s">
        <v>4832</v>
      </c>
      <c r="AC235" t="s">
        <v>4833</v>
      </c>
      <c r="AD235" t="s">
        <v>4834</v>
      </c>
      <c r="AE235" t="s">
        <v>4835</v>
      </c>
      <c r="AF235" t="s">
        <v>74</v>
      </c>
      <c r="AG235">
        <v>11</v>
      </c>
      <c r="AH235">
        <v>0</v>
      </c>
      <c r="AI235">
        <v>0</v>
      </c>
      <c r="AJ235">
        <v>0</v>
      </c>
      <c r="AK235">
        <v>0</v>
      </c>
      <c r="AL235" t="s">
        <v>4777</v>
      </c>
      <c r="AM235" t="s">
        <v>4778</v>
      </c>
      <c r="AN235" t="s">
        <v>4779</v>
      </c>
      <c r="AO235" t="s">
        <v>4780</v>
      </c>
      <c r="AP235" t="s">
        <v>4781</v>
      </c>
      <c r="AQ235" t="s">
        <v>4782</v>
      </c>
      <c r="AR235" t="s">
        <v>4783</v>
      </c>
      <c r="AS235" t="s">
        <v>74</v>
      </c>
      <c r="AT235" t="s">
        <v>74</v>
      </c>
      <c r="AU235">
        <v>2021</v>
      </c>
      <c r="AV235">
        <v>11916</v>
      </c>
      <c r="AW235" t="s">
        <v>74</v>
      </c>
      <c r="AX235" t="s">
        <v>74</v>
      </c>
      <c r="AY235" t="s">
        <v>74</v>
      </c>
      <c r="AZ235" t="s">
        <v>74</v>
      </c>
      <c r="BA235" t="s">
        <v>74</v>
      </c>
      <c r="BB235" t="s">
        <v>74</v>
      </c>
      <c r="BC235" t="s">
        <v>74</v>
      </c>
      <c r="BD235" t="s">
        <v>4836</v>
      </c>
      <c r="BE235" t="s">
        <v>4837</v>
      </c>
      <c r="BF235" t="str">
        <f>HYPERLINK("http://dx.doi.org/10.1117/12.2602881","http://dx.doi.org/10.1117/12.2602881")</f>
        <v>http://dx.doi.org/10.1117/12.2602881</v>
      </c>
      <c r="BG235" t="s">
        <v>74</v>
      </c>
      <c r="BH235" t="s">
        <v>74</v>
      </c>
      <c r="BI235">
        <v>5</v>
      </c>
      <c r="BJ235" t="s">
        <v>4786</v>
      </c>
      <c r="BK235" t="s">
        <v>4553</v>
      </c>
      <c r="BL235" t="s">
        <v>4787</v>
      </c>
      <c r="BM235" t="s">
        <v>4788</v>
      </c>
      <c r="BN235" t="s">
        <v>74</v>
      </c>
      <c r="BO235" t="s">
        <v>74</v>
      </c>
      <c r="BP235" t="s">
        <v>74</v>
      </c>
      <c r="BQ235" t="s">
        <v>74</v>
      </c>
      <c r="BR235" t="s">
        <v>106</v>
      </c>
      <c r="BS235" t="s">
        <v>4838</v>
      </c>
      <c r="BT235" t="str">
        <f>HYPERLINK("https%3A%2F%2Fwww.webofscience.com%2Fwos%2Fwoscc%2Ffull-record%2FWOS:000797340000266","View Full Record in Web of Science")</f>
        <v>View Full Record in Web of Science</v>
      </c>
    </row>
    <row r="236" spans="1:72" x14ac:dyDescent="0.15">
      <c r="A236" t="s">
        <v>4529</v>
      </c>
      <c r="B236" t="s">
        <v>4839</v>
      </c>
      <c r="C236" t="s">
        <v>74</v>
      </c>
      <c r="D236" t="s">
        <v>4758</v>
      </c>
      <c r="E236" t="s">
        <v>74</v>
      </c>
      <c r="F236" t="s">
        <v>4840</v>
      </c>
      <c r="G236" t="s">
        <v>74</v>
      </c>
      <c r="H236" t="s">
        <v>74</v>
      </c>
      <c r="I236" t="s">
        <v>4841</v>
      </c>
      <c r="J236" t="s">
        <v>4761</v>
      </c>
      <c r="K236" t="s">
        <v>4762</v>
      </c>
      <c r="L236" t="s">
        <v>74</v>
      </c>
      <c r="M236" t="s">
        <v>78</v>
      </c>
      <c r="N236" t="s">
        <v>4535</v>
      </c>
      <c r="O236" t="s">
        <v>4763</v>
      </c>
      <c r="P236" t="s">
        <v>4764</v>
      </c>
      <c r="Q236" t="s">
        <v>4765</v>
      </c>
      <c r="R236" t="s">
        <v>74</v>
      </c>
      <c r="S236" t="s">
        <v>74</v>
      </c>
      <c r="T236" t="s">
        <v>4842</v>
      </c>
      <c r="U236" t="s">
        <v>4843</v>
      </c>
      <c r="V236" t="s">
        <v>4844</v>
      </c>
      <c r="W236" t="s">
        <v>4845</v>
      </c>
      <c r="X236" t="s">
        <v>4846</v>
      </c>
      <c r="Y236" t="s">
        <v>4847</v>
      </c>
      <c r="Z236" t="s">
        <v>4848</v>
      </c>
      <c r="AA236" t="s">
        <v>4849</v>
      </c>
      <c r="AB236" t="s">
        <v>74</v>
      </c>
      <c r="AC236" t="s">
        <v>4850</v>
      </c>
      <c r="AD236" t="s">
        <v>4851</v>
      </c>
      <c r="AE236" t="s">
        <v>4852</v>
      </c>
      <c r="AF236" t="s">
        <v>74</v>
      </c>
      <c r="AG236">
        <v>24</v>
      </c>
      <c r="AH236">
        <v>0</v>
      </c>
      <c r="AI236">
        <v>0</v>
      </c>
      <c r="AJ236">
        <v>1</v>
      </c>
      <c r="AK236">
        <v>4</v>
      </c>
      <c r="AL236" t="s">
        <v>4777</v>
      </c>
      <c r="AM236" t="s">
        <v>4778</v>
      </c>
      <c r="AN236" t="s">
        <v>4779</v>
      </c>
      <c r="AO236" t="s">
        <v>4780</v>
      </c>
      <c r="AP236" t="s">
        <v>4781</v>
      </c>
      <c r="AQ236" t="s">
        <v>4782</v>
      </c>
      <c r="AR236" t="s">
        <v>4783</v>
      </c>
      <c r="AS236" t="s">
        <v>74</v>
      </c>
      <c r="AT236" t="s">
        <v>74</v>
      </c>
      <c r="AU236">
        <v>2021</v>
      </c>
      <c r="AV236">
        <v>11916</v>
      </c>
      <c r="AW236" t="s">
        <v>74</v>
      </c>
      <c r="AX236" t="s">
        <v>74</v>
      </c>
      <c r="AY236" t="s">
        <v>74</v>
      </c>
      <c r="AZ236" t="s">
        <v>74</v>
      </c>
      <c r="BA236" t="s">
        <v>74</v>
      </c>
      <c r="BB236" t="s">
        <v>74</v>
      </c>
      <c r="BC236" t="s">
        <v>74</v>
      </c>
      <c r="BD236" t="s">
        <v>4853</v>
      </c>
      <c r="BE236" t="s">
        <v>4854</v>
      </c>
      <c r="BF236" t="str">
        <f>HYPERLINK("http://dx.doi.org/10.1117/12.2601992","http://dx.doi.org/10.1117/12.2601992")</f>
        <v>http://dx.doi.org/10.1117/12.2601992</v>
      </c>
      <c r="BG236" t="s">
        <v>74</v>
      </c>
      <c r="BH236" t="s">
        <v>74</v>
      </c>
      <c r="BI236">
        <v>7</v>
      </c>
      <c r="BJ236" t="s">
        <v>4786</v>
      </c>
      <c r="BK236" t="s">
        <v>4553</v>
      </c>
      <c r="BL236" t="s">
        <v>4787</v>
      </c>
      <c r="BM236" t="s">
        <v>4788</v>
      </c>
      <c r="BN236" t="s">
        <v>74</v>
      </c>
      <c r="BO236" t="s">
        <v>74</v>
      </c>
      <c r="BP236" t="s">
        <v>74</v>
      </c>
      <c r="BQ236" t="s">
        <v>74</v>
      </c>
      <c r="BR236" t="s">
        <v>106</v>
      </c>
      <c r="BS236" t="s">
        <v>4855</v>
      </c>
      <c r="BT236" t="str">
        <f>HYPERLINK("https%3A%2F%2Fwww.webofscience.com%2Fwos%2Fwoscc%2Ffull-record%2FWOS:000797340000085","View Full Record in Web of Science")</f>
        <v>View Full Record in Web of Science</v>
      </c>
    </row>
    <row r="237" spans="1:72" x14ac:dyDescent="0.15">
      <c r="A237" t="s">
        <v>4529</v>
      </c>
      <c r="B237" t="s">
        <v>4856</v>
      </c>
      <c r="C237" t="s">
        <v>74</v>
      </c>
      <c r="D237" t="s">
        <v>4758</v>
      </c>
      <c r="E237" t="s">
        <v>74</v>
      </c>
      <c r="F237" t="s">
        <v>4857</v>
      </c>
      <c r="G237" t="s">
        <v>74</v>
      </c>
      <c r="H237" t="s">
        <v>74</v>
      </c>
      <c r="I237" t="s">
        <v>4858</v>
      </c>
      <c r="J237" t="s">
        <v>4761</v>
      </c>
      <c r="K237" t="s">
        <v>4762</v>
      </c>
      <c r="L237" t="s">
        <v>74</v>
      </c>
      <c r="M237" t="s">
        <v>78</v>
      </c>
      <c r="N237" t="s">
        <v>4535</v>
      </c>
      <c r="O237" t="s">
        <v>4763</v>
      </c>
      <c r="P237" t="s">
        <v>4764</v>
      </c>
      <c r="Q237" t="s">
        <v>4765</v>
      </c>
      <c r="R237" t="s">
        <v>74</v>
      </c>
      <c r="S237" t="s">
        <v>74</v>
      </c>
      <c r="T237" t="s">
        <v>4859</v>
      </c>
      <c r="U237" t="s">
        <v>4860</v>
      </c>
      <c r="V237" t="s">
        <v>4861</v>
      </c>
      <c r="W237" t="s">
        <v>4862</v>
      </c>
      <c r="X237" t="s">
        <v>4863</v>
      </c>
      <c r="Y237" t="s">
        <v>4864</v>
      </c>
      <c r="Z237" t="s">
        <v>4865</v>
      </c>
      <c r="AA237" t="s">
        <v>4866</v>
      </c>
      <c r="AB237" t="s">
        <v>4867</v>
      </c>
      <c r="AC237" t="s">
        <v>4868</v>
      </c>
      <c r="AD237" t="s">
        <v>4869</v>
      </c>
      <c r="AE237" t="s">
        <v>4870</v>
      </c>
      <c r="AF237" t="s">
        <v>74</v>
      </c>
      <c r="AG237">
        <v>23</v>
      </c>
      <c r="AH237">
        <v>1</v>
      </c>
      <c r="AI237">
        <v>1</v>
      </c>
      <c r="AJ237">
        <v>0</v>
      </c>
      <c r="AK237">
        <v>0</v>
      </c>
      <c r="AL237" t="s">
        <v>4777</v>
      </c>
      <c r="AM237" t="s">
        <v>4778</v>
      </c>
      <c r="AN237" t="s">
        <v>4779</v>
      </c>
      <c r="AO237" t="s">
        <v>4780</v>
      </c>
      <c r="AP237" t="s">
        <v>4781</v>
      </c>
      <c r="AQ237" t="s">
        <v>4782</v>
      </c>
      <c r="AR237" t="s">
        <v>4783</v>
      </c>
      <c r="AS237" t="s">
        <v>74</v>
      </c>
      <c r="AT237" t="s">
        <v>74</v>
      </c>
      <c r="AU237">
        <v>2021</v>
      </c>
      <c r="AV237">
        <v>11916</v>
      </c>
      <c r="AW237" t="s">
        <v>74</v>
      </c>
      <c r="AX237" t="s">
        <v>74</v>
      </c>
      <c r="AY237" t="s">
        <v>74</v>
      </c>
      <c r="AZ237" t="s">
        <v>74</v>
      </c>
      <c r="BA237" t="s">
        <v>74</v>
      </c>
      <c r="BB237" t="s">
        <v>74</v>
      </c>
      <c r="BC237" t="s">
        <v>74</v>
      </c>
      <c r="BD237">
        <v>1191677</v>
      </c>
      <c r="BE237" t="s">
        <v>4871</v>
      </c>
      <c r="BF237" t="str">
        <f>HYPERLINK("http://dx.doi.org/10.1117/12.2599029","http://dx.doi.org/10.1117/12.2599029")</f>
        <v>http://dx.doi.org/10.1117/12.2599029</v>
      </c>
      <c r="BG237" t="s">
        <v>74</v>
      </c>
      <c r="BH237" t="s">
        <v>74</v>
      </c>
      <c r="BI237">
        <v>6</v>
      </c>
      <c r="BJ237" t="s">
        <v>4786</v>
      </c>
      <c r="BK237" t="s">
        <v>4553</v>
      </c>
      <c r="BL237" t="s">
        <v>4787</v>
      </c>
      <c r="BM237" t="s">
        <v>4788</v>
      </c>
      <c r="BN237" t="s">
        <v>74</v>
      </c>
      <c r="BO237" t="s">
        <v>74</v>
      </c>
      <c r="BP237" t="s">
        <v>74</v>
      </c>
      <c r="BQ237" t="s">
        <v>74</v>
      </c>
      <c r="BR237" t="s">
        <v>106</v>
      </c>
      <c r="BS237" t="s">
        <v>4872</v>
      </c>
      <c r="BT237" t="str">
        <f>HYPERLINK("https%3A%2F%2Fwww.webofscience.com%2Fwos%2Fwoscc%2Ffull-record%2FWOS:000797340000258","View Full Record in Web of Science")</f>
        <v>View Full Record in Web of Science</v>
      </c>
    </row>
    <row r="238" spans="1:72" x14ac:dyDescent="0.15">
      <c r="A238" t="s">
        <v>4529</v>
      </c>
      <c r="B238" t="s">
        <v>4873</v>
      </c>
      <c r="C238" t="s">
        <v>74</v>
      </c>
      <c r="D238" t="s">
        <v>74</v>
      </c>
      <c r="E238" t="s">
        <v>4644</v>
      </c>
      <c r="F238" t="s">
        <v>4874</v>
      </c>
      <c r="G238" t="s">
        <v>74</v>
      </c>
      <c r="H238" t="s">
        <v>74</v>
      </c>
      <c r="I238" t="s">
        <v>4875</v>
      </c>
      <c r="J238" t="s">
        <v>4876</v>
      </c>
      <c r="K238" t="s">
        <v>74</v>
      </c>
      <c r="L238" t="s">
        <v>74</v>
      </c>
      <c r="M238" t="s">
        <v>78</v>
      </c>
      <c r="N238" t="s">
        <v>4535</v>
      </c>
      <c r="O238" t="s">
        <v>4877</v>
      </c>
      <c r="P238" t="s">
        <v>4878</v>
      </c>
      <c r="Q238" t="s">
        <v>4879</v>
      </c>
      <c r="R238" t="s">
        <v>74</v>
      </c>
      <c r="S238" t="s">
        <v>74</v>
      </c>
      <c r="T238" t="s">
        <v>74</v>
      </c>
      <c r="U238" t="s">
        <v>4880</v>
      </c>
      <c r="V238" t="s">
        <v>4881</v>
      </c>
      <c r="W238" t="s">
        <v>4882</v>
      </c>
      <c r="X238" t="s">
        <v>4883</v>
      </c>
      <c r="Y238" t="s">
        <v>4884</v>
      </c>
      <c r="Z238" t="s">
        <v>74</v>
      </c>
      <c r="AA238" t="s">
        <v>74</v>
      </c>
      <c r="AB238" t="s">
        <v>74</v>
      </c>
      <c r="AC238" t="s">
        <v>4885</v>
      </c>
      <c r="AD238" t="s">
        <v>4886</v>
      </c>
      <c r="AE238" t="s">
        <v>4887</v>
      </c>
      <c r="AF238" t="s">
        <v>74</v>
      </c>
      <c r="AG238">
        <v>15</v>
      </c>
      <c r="AH238">
        <v>0</v>
      </c>
      <c r="AI238">
        <v>0</v>
      </c>
      <c r="AJ238">
        <v>0</v>
      </c>
      <c r="AK238">
        <v>4</v>
      </c>
      <c r="AL238" t="s">
        <v>4644</v>
      </c>
      <c r="AM238" t="s">
        <v>473</v>
      </c>
      <c r="AN238" t="s">
        <v>4662</v>
      </c>
      <c r="AO238" t="s">
        <v>74</v>
      </c>
      <c r="AP238" t="s">
        <v>74</v>
      </c>
      <c r="AQ238" t="s">
        <v>4888</v>
      </c>
      <c r="AR238" t="s">
        <v>74</v>
      </c>
      <c r="AS238" t="s">
        <v>74</v>
      </c>
      <c r="AT238" t="s">
        <v>74</v>
      </c>
      <c r="AU238">
        <v>2021</v>
      </c>
      <c r="AV238" t="s">
        <v>74</v>
      </c>
      <c r="AW238" t="s">
        <v>74</v>
      </c>
      <c r="AX238" t="s">
        <v>74</v>
      </c>
      <c r="AY238" t="s">
        <v>74</v>
      </c>
      <c r="AZ238" t="s">
        <v>74</v>
      </c>
      <c r="BA238" t="s">
        <v>74</v>
      </c>
      <c r="BB238">
        <v>2052</v>
      </c>
      <c r="BC238">
        <v>2056</v>
      </c>
      <c r="BD238" t="s">
        <v>74</v>
      </c>
      <c r="BE238" t="s">
        <v>4889</v>
      </c>
      <c r="BF238" t="str">
        <f>HYPERLINK("http://dx.doi.org/10.1109/PIERS53385.2021.9694876","http://dx.doi.org/10.1109/PIERS53385.2021.9694876")</f>
        <v>http://dx.doi.org/10.1109/PIERS53385.2021.9694876</v>
      </c>
      <c r="BG238" t="s">
        <v>74</v>
      </c>
      <c r="BH238" t="s">
        <v>74</v>
      </c>
      <c r="BI238">
        <v>5</v>
      </c>
      <c r="BJ238" t="s">
        <v>4890</v>
      </c>
      <c r="BK238" t="s">
        <v>4553</v>
      </c>
      <c r="BL238" t="s">
        <v>187</v>
      </c>
      <c r="BM238" t="s">
        <v>4891</v>
      </c>
      <c r="BN238" t="s">
        <v>74</v>
      </c>
      <c r="BO238" t="s">
        <v>74</v>
      </c>
      <c r="BP238" t="s">
        <v>74</v>
      </c>
      <c r="BQ238" t="s">
        <v>74</v>
      </c>
      <c r="BR238" t="s">
        <v>106</v>
      </c>
      <c r="BS238" t="s">
        <v>4892</v>
      </c>
      <c r="BT238" t="str">
        <f>HYPERLINK("https%3A%2F%2Fwww.webofscience.com%2Fwos%2Fwoscc%2Ffull-record%2FWOS:000795902300336","View Full Record in Web of Science")</f>
        <v>View Full Record in Web of Science</v>
      </c>
    </row>
    <row r="239" spans="1:72" x14ac:dyDescent="0.15">
      <c r="A239" t="s">
        <v>4529</v>
      </c>
      <c r="B239" t="s">
        <v>4893</v>
      </c>
      <c r="C239" t="s">
        <v>74</v>
      </c>
      <c r="D239" t="s">
        <v>74</v>
      </c>
      <c r="E239" t="s">
        <v>4644</v>
      </c>
      <c r="F239" t="s">
        <v>4894</v>
      </c>
      <c r="G239" t="s">
        <v>74</v>
      </c>
      <c r="H239" t="s">
        <v>74</v>
      </c>
      <c r="I239" t="s">
        <v>4895</v>
      </c>
      <c r="J239" t="s">
        <v>4876</v>
      </c>
      <c r="K239" t="s">
        <v>74</v>
      </c>
      <c r="L239" t="s">
        <v>74</v>
      </c>
      <c r="M239" t="s">
        <v>78</v>
      </c>
      <c r="N239" t="s">
        <v>4535</v>
      </c>
      <c r="O239" t="s">
        <v>4877</v>
      </c>
      <c r="P239" t="s">
        <v>4878</v>
      </c>
      <c r="Q239" t="s">
        <v>4879</v>
      </c>
      <c r="R239" t="s">
        <v>74</v>
      </c>
      <c r="S239" t="s">
        <v>74</v>
      </c>
      <c r="T239" t="s">
        <v>74</v>
      </c>
      <c r="U239" t="s">
        <v>4896</v>
      </c>
      <c r="V239" t="s">
        <v>4897</v>
      </c>
      <c r="W239" t="s">
        <v>4898</v>
      </c>
      <c r="X239" t="s">
        <v>4899</v>
      </c>
      <c r="Y239" t="s">
        <v>4900</v>
      </c>
      <c r="Z239" t="s">
        <v>74</v>
      </c>
      <c r="AA239" t="s">
        <v>74</v>
      </c>
      <c r="AB239" t="s">
        <v>4901</v>
      </c>
      <c r="AC239" t="s">
        <v>4902</v>
      </c>
      <c r="AD239" t="s">
        <v>4903</v>
      </c>
      <c r="AE239" t="s">
        <v>4904</v>
      </c>
      <c r="AF239" t="s">
        <v>74</v>
      </c>
      <c r="AG239">
        <v>22</v>
      </c>
      <c r="AH239">
        <v>1</v>
      </c>
      <c r="AI239">
        <v>1</v>
      </c>
      <c r="AJ239">
        <v>1</v>
      </c>
      <c r="AK239">
        <v>5</v>
      </c>
      <c r="AL239" t="s">
        <v>4644</v>
      </c>
      <c r="AM239" t="s">
        <v>473</v>
      </c>
      <c r="AN239" t="s">
        <v>4662</v>
      </c>
      <c r="AO239" t="s">
        <v>74</v>
      </c>
      <c r="AP239" t="s">
        <v>74</v>
      </c>
      <c r="AQ239" t="s">
        <v>4888</v>
      </c>
      <c r="AR239" t="s">
        <v>74</v>
      </c>
      <c r="AS239" t="s">
        <v>74</v>
      </c>
      <c r="AT239" t="s">
        <v>74</v>
      </c>
      <c r="AU239">
        <v>2021</v>
      </c>
      <c r="AV239" t="s">
        <v>74</v>
      </c>
      <c r="AW239" t="s">
        <v>74</v>
      </c>
      <c r="AX239" t="s">
        <v>74</v>
      </c>
      <c r="AY239" t="s">
        <v>74</v>
      </c>
      <c r="AZ239" t="s">
        <v>74</v>
      </c>
      <c r="BA239" t="s">
        <v>74</v>
      </c>
      <c r="BB239">
        <v>2362</v>
      </c>
      <c r="BC239">
        <v>2369</v>
      </c>
      <c r="BD239" t="s">
        <v>74</v>
      </c>
      <c r="BE239" t="s">
        <v>4905</v>
      </c>
      <c r="BF239" t="str">
        <f>HYPERLINK("http://dx.doi.org/10.1109/PIERS53385.2021.9695052","http://dx.doi.org/10.1109/PIERS53385.2021.9695052")</f>
        <v>http://dx.doi.org/10.1109/PIERS53385.2021.9695052</v>
      </c>
      <c r="BG239" t="s">
        <v>74</v>
      </c>
      <c r="BH239" t="s">
        <v>74</v>
      </c>
      <c r="BI239">
        <v>8</v>
      </c>
      <c r="BJ239" t="s">
        <v>4890</v>
      </c>
      <c r="BK239" t="s">
        <v>4553</v>
      </c>
      <c r="BL239" t="s">
        <v>187</v>
      </c>
      <c r="BM239" t="s">
        <v>4891</v>
      </c>
      <c r="BN239" t="s">
        <v>74</v>
      </c>
      <c r="BO239" t="s">
        <v>74</v>
      </c>
      <c r="BP239" t="s">
        <v>74</v>
      </c>
      <c r="BQ239" t="s">
        <v>74</v>
      </c>
      <c r="BR239" t="s">
        <v>106</v>
      </c>
      <c r="BS239" t="s">
        <v>4906</v>
      </c>
      <c r="BT239" t="str">
        <f>HYPERLINK("https%3A%2F%2Fwww.webofscience.com%2Fwos%2Fwoscc%2Ffull-record%2FWOS:000795902300390","View Full Record in Web of Science")</f>
        <v>View Full Record in Web of Science</v>
      </c>
    </row>
    <row r="240" spans="1:72" x14ac:dyDescent="0.15">
      <c r="A240" t="s">
        <v>4589</v>
      </c>
      <c r="B240" t="s">
        <v>4907</v>
      </c>
      <c r="C240" t="s">
        <v>74</v>
      </c>
      <c r="D240" t="s">
        <v>4591</v>
      </c>
      <c r="E240" t="s">
        <v>74</v>
      </c>
      <c r="F240" t="s">
        <v>4908</v>
      </c>
      <c r="G240" t="s">
        <v>74</v>
      </c>
      <c r="H240" t="s">
        <v>74</v>
      </c>
      <c r="I240" t="s">
        <v>4909</v>
      </c>
      <c r="J240" t="s">
        <v>4594</v>
      </c>
      <c r="K240" t="s">
        <v>4595</v>
      </c>
      <c r="L240" t="s">
        <v>74</v>
      </c>
      <c r="M240" t="s">
        <v>78</v>
      </c>
      <c r="N240" t="s">
        <v>4596</v>
      </c>
      <c r="O240" t="s">
        <v>74</v>
      </c>
      <c r="P240" t="s">
        <v>74</v>
      </c>
      <c r="Q240" t="s">
        <v>74</v>
      </c>
      <c r="R240" t="s">
        <v>74</v>
      </c>
      <c r="S240" t="s">
        <v>74</v>
      </c>
      <c r="T240" t="s">
        <v>74</v>
      </c>
      <c r="U240" t="s">
        <v>4910</v>
      </c>
      <c r="V240" t="s">
        <v>4911</v>
      </c>
      <c r="W240" t="s">
        <v>4912</v>
      </c>
      <c r="X240" t="s">
        <v>74</v>
      </c>
      <c r="Y240" t="s">
        <v>4913</v>
      </c>
      <c r="Z240" t="s">
        <v>4914</v>
      </c>
      <c r="AA240" t="s">
        <v>4915</v>
      </c>
      <c r="AB240" t="s">
        <v>4916</v>
      </c>
      <c r="AC240" t="s">
        <v>4917</v>
      </c>
      <c r="AD240" t="s">
        <v>4918</v>
      </c>
      <c r="AE240" t="s">
        <v>4919</v>
      </c>
      <c r="AF240" t="s">
        <v>74</v>
      </c>
      <c r="AG240">
        <v>148</v>
      </c>
      <c r="AH240">
        <v>9</v>
      </c>
      <c r="AI240">
        <v>9</v>
      </c>
      <c r="AJ240">
        <v>0</v>
      </c>
      <c r="AK240">
        <v>3</v>
      </c>
      <c r="AL240" t="s">
        <v>4607</v>
      </c>
      <c r="AM240" t="s">
        <v>1914</v>
      </c>
      <c r="AN240" t="s">
        <v>4608</v>
      </c>
      <c r="AO240" t="s">
        <v>4609</v>
      </c>
      <c r="AP240" t="s">
        <v>74</v>
      </c>
      <c r="AQ240" t="s">
        <v>4610</v>
      </c>
      <c r="AR240" t="s">
        <v>4611</v>
      </c>
      <c r="AS240" t="s">
        <v>74</v>
      </c>
      <c r="AT240" t="s">
        <v>74</v>
      </c>
      <c r="AU240">
        <v>2021</v>
      </c>
      <c r="AV240">
        <v>55</v>
      </c>
      <c r="AW240" t="s">
        <v>74</v>
      </c>
      <c r="AX240" t="s">
        <v>74</v>
      </c>
      <c r="AY240" t="s">
        <v>74</v>
      </c>
      <c r="AZ240" t="s">
        <v>74</v>
      </c>
      <c r="BA240" t="s">
        <v>74</v>
      </c>
      <c r="BB240">
        <v>55</v>
      </c>
      <c r="BC240">
        <v>72</v>
      </c>
      <c r="BD240" t="s">
        <v>74</v>
      </c>
      <c r="BE240" t="s">
        <v>4920</v>
      </c>
      <c r="BF240" t="str">
        <f>HYPERLINK("http://dx.doi.org/10.1144/M55-2020-12","http://dx.doi.org/10.1144/M55-2020-12")</f>
        <v>http://dx.doi.org/10.1144/M55-2020-12</v>
      </c>
      <c r="BG240" t="s">
        <v>4613</v>
      </c>
      <c r="BH240" t="s">
        <v>74</v>
      </c>
      <c r="BI240">
        <v>18</v>
      </c>
      <c r="BJ240" t="s">
        <v>4614</v>
      </c>
      <c r="BK240" t="s">
        <v>4615</v>
      </c>
      <c r="BL240" t="s">
        <v>4614</v>
      </c>
      <c r="BM240" t="s">
        <v>4616</v>
      </c>
      <c r="BN240" t="s">
        <v>74</v>
      </c>
      <c r="BO240" t="s">
        <v>74</v>
      </c>
      <c r="BP240" t="s">
        <v>74</v>
      </c>
      <c r="BQ240" t="s">
        <v>74</v>
      </c>
      <c r="BR240" t="s">
        <v>106</v>
      </c>
      <c r="BS240" t="s">
        <v>4921</v>
      </c>
      <c r="BT240" t="str">
        <f>HYPERLINK("https%3A%2F%2Fwww.webofscience.com%2Fwos%2Fwoscc%2Ffull-record%2FWOS:000683732500006","View Full Record in Web of Science")</f>
        <v>View Full Record in Web of Science</v>
      </c>
    </row>
    <row r="241" spans="1:72" x14ac:dyDescent="0.15">
      <c r="A241" t="s">
        <v>4529</v>
      </c>
      <c r="B241" t="s">
        <v>4922</v>
      </c>
      <c r="C241" t="s">
        <v>74</v>
      </c>
      <c r="D241" t="s">
        <v>74</v>
      </c>
      <c r="E241" t="s">
        <v>4644</v>
      </c>
      <c r="F241" t="s">
        <v>4923</v>
      </c>
      <c r="G241" t="s">
        <v>74</v>
      </c>
      <c r="H241" t="s">
        <v>74</v>
      </c>
      <c r="I241" t="s">
        <v>4924</v>
      </c>
      <c r="J241" t="s">
        <v>4925</v>
      </c>
      <c r="K241" t="s">
        <v>74</v>
      </c>
      <c r="L241" t="s">
        <v>74</v>
      </c>
      <c r="M241" t="s">
        <v>78</v>
      </c>
      <c r="N241" t="s">
        <v>4535</v>
      </c>
      <c r="O241" t="s">
        <v>4926</v>
      </c>
      <c r="P241" t="s">
        <v>4927</v>
      </c>
      <c r="Q241" t="s">
        <v>4538</v>
      </c>
      <c r="R241" t="s">
        <v>74</v>
      </c>
      <c r="S241" t="s">
        <v>74</v>
      </c>
      <c r="T241" t="s">
        <v>4928</v>
      </c>
      <c r="U241" t="s">
        <v>4929</v>
      </c>
      <c r="V241" t="s">
        <v>4930</v>
      </c>
      <c r="W241" t="s">
        <v>4931</v>
      </c>
      <c r="X241" t="s">
        <v>4932</v>
      </c>
      <c r="Y241" t="s">
        <v>4933</v>
      </c>
      <c r="Z241" t="s">
        <v>74</v>
      </c>
      <c r="AA241" t="s">
        <v>74</v>
      </c>
      <c r="AB241" t="s">
        <v>4934</v>
      </c>
      <c r="AC241" t="s">
        <v>74</v>
      </c>
      <c r="AD241" t="s">
        <v>74</v>
      </c>
      <c r="AE241" t="s">
        <v>74</v>
      </c>
      <c r="AF241" t="s">
        <v>74</v>
      </c>
      <c r="AG241">
        <v>55</v>
      </c>
      <c r="AH241">
        <v>4</v>
      </c>
      <c r="AI241">
        <v>4</v>
      </c>
      <c r="AJ241">
        <v>0</v>
      </c>
      <c r="AK241">
        <v>2</v>
      </c>
      <c r="AL241" t="s">
        <v>4644</v>
      </c>
      <c r="AM241" t="s">
        <v>473</v>
      </c>
      <c r="AN241" t="s">
        <v>4662</v>
      </c>
      <c r="AO241" t="s">
        <v>74</v>
      </c>
      <c r="AP241" t="s">
        <v>74</v>
      </c>
      <c r="AQ241" t="s">
        <v>4935</v>
      </c>
      <c r="AR241" t="s">
        <v>74</v>
      </c>
      <c r="AS241" t="s">
        <v>74</v>
      </c>
      <c r="AT241" t="s">
        <v>74</v>
      </c>
      <c r="AU241">
        <v>2021</v>
      </c>
      <c r="AV241" t="s">
        <v>74</v>
      </c>
      <c r="AW241" t="s">
        <v>74</v>
      </c>
      <c r="AX241" t="s">
        <v>74</v>
      </c>
      <c r="AY241" t="s">
        <v>74</v>
      </c>
      <c r="AZ241" t="s">
        <v>74</v>
      </c>
      <c r="BA241" t="s">
        <v>74</v>
      </c>
      <c r="BB241">
        <v>88</v>
      </c>
      <c r="BC241">
        <v>102</v>
      </c>
      <c r="BD241" t="s">
        <v>74</v>
      </c>
      <c r="BE241" t="s">
        <v>4936</v>
      </c>
      <c r="BF241" t="str">
        <f>HYPERLINK("http://dx.doi.org/10.1109/EuroSP51992.2021.00017","http://dx.doi.org/10.1109/EuroSP51992.2021.00017")</f>
        <v>http://dx.doi.org/10.1109/EuroSP51992.2021.00017</v>
      </c>
      <c r="BG241" t="s">
        <v>74</v>
      </c>
      <c r="BH241" t="s">
        <v>74</v>
      </c>
      <c r="BI241">
        <v>15</v>
      </c>
      <c r="BJ241" t="s">
        <v>4937</v>
      </c>
      <c r="BK241" t="s">
        <v>4553</v>
      </c>
      <c r="BL241" t="s">
        <v>4707</v>
      </c>
      <c r="BM241" t="s">
        <v>4938</v>
      </c>
      <c r="BN241" t="s">
        <v>74</v>
      </c>
      <c r="BO241" t="s">
        <v>74</v>
      </c>
      <c r="BP241" t="s">
        <v>74</v>
      </c>
      <c r="BQ241" t="s">
        <v>74</v>
      </c>
      <c r="BR241" t="s">
        <v>106</v>
      </c>
      <c r="BS241" t="s">
        <v>4939</v>
      </c>
      <c r="BT241" t="str">
        <f>HYPERLINK("https%3A%2F%2Fwww.webofscience.com%2Fwos%2Fwoscc%2Ffull-record%2FWOS:000783804100006","View Full Record in Web of Science")</f>
        <v>View Full Record in Web of Science</v>
      </c>
    </row>
    <row r="242" spans="1:72" x14ac:dyDescent="0.15">
      <c r="A242" t="s">
        <v>72</v>
      </c>
      <c r="B242" t="s">
        <v>4940</v>
      </c>
      <c r="C242" t="s">
        <v>74</v>
      </c>
      <c r="D242" t="s">
        <v>74</v>
      </c>
      <c r="E242" t="s">
        <v>74</v>
      </c>
      <c r="F242" t="s">
        <v>4941</v>
      </c>
      <c r="G242" t="s">
        <v>74</v>
      </c>
      <c r="H242" t="s">
        <v>74</v>
      </c>
      <c r="I242" t="s">
        <v>4942</v>
      </c>
      <c r="J242" t="s">
        <v>4943</v>
      </c>
      <c r="K242" t="s">
        <v>74</v>
      </c>
      <c r="L242" t="s">
        <v>74</v>
      </c>
      <c r="M242" t="s">
        <v>78</v>
      </c>
      <c r="N242" t="s">
        <v>4944</v>
      </c>
      <c r="O242" t="s">
        <v>74</v>
      </c>
      <c r="P242" t="s">
        <v>74</v>
      </c>
      <c r="Q242" t="s">
        <v>74</v>
      </c>
      <c r="R242" t="s">
        <v>74</v>
      </c>
      <c r="S242" t="s">
        <v>74</v>
      </c>
      <c r="T242" t="s">
        <v>4945</v>
      </c>
      <c r="U242" t="s">
        <v>4946</v>
      </c>
      <c r="V242" t="s">
        <v>4947</v>
      </c>
      <c r="W242" t="s">
        <v>4948</v>
      </c>
      <c r="X242" t="s">
        <v>4949</v>
      </c>
      <c r="Y242" t="s">
        <v>4950</v>
      </c>
      <c r="Z242" t="s">
        <v>4951</v>
      </c>
      <c r="AA242" t="s">
        <v>74</v>
      </c>
      <c r="AB242" t="s">
        <v>74</v>
      </c>
      <c r="AC242" t="s">
        <v>74</v>
      </c>
      <c r="AD242" t="s">
        <v>74</v>
      </c>
      <c r="AE242" t="s">
        <v>74</v>
      </c>
      <c r="AF242" t="s">
        <v>74</v>
      </c>
      <c r="AG242">
        <v>75</v>
      </c>
      <c r="AH242">
        <v>0</v>
      </c>
      <c r="AI242">
        <v>0</v>
      </c>
      <c r="AJ242">
        <v>0</v>
      </c>
      <c r="AK242">
        <v>2</v>
      </c>
      <c r="AL242" t="s">
        <v>4952</v>
      </c>
      <c r="AM242" t="s">
        <v>4953</v>
      </c>
      <c r="AN242" t="s">
        <v>4954</v>
      </c>
      <c r="AO242" t="s">
        <v>4955</v>
      </c>
      <c r="AP242" t="s">
        <v>4956</v>
      </c>
      <c r="AQ242" t="s">
        <v>74</v>
      </c>
      <c r="AR242" t="s">
        <v>4943</v>
      </c>
      <c r="AS242" t="s">
        <v>4957</v>
      </c>
      <c r="AT242" t="s">
        <v>74</v>
      </c>
      <c r="AU242">
        <v>2021</v>
      </c>
      <c r="AV242">
        <v>53</v>
      </c>
      <c r="AW242">
        <v>2</v>
      </c>
      <c r="AX242" t="s">
        <v>74</v>
      </c>
      <c r="AY242" t="s">
        <v>74</v>
      </c>
      <c r="AZ242" t="s">
        <v>74</v>
      </c>
      <c r="BA242" t="s">
        <v>74</v>
      </c>
      <c r="BB242">
        <v>507</v>
      </c>
      <c r="BC242">
        <v>520</v>
      </c>
      <c r="BD242" t="s">
        <v>74</v>
      </c>
      <c r="BE242" t="s">
        <v>4958</v>
      </c>
      <c r="BF242" t="str">
        <f>HYPERLINK("http://dx.doi.org/10.2298/GENSR2102507L","http://dx.doi.org/10.2298/GENSR2102507L")</f>
        <v>http://dx.doi.org/10.2298/GENSR2102507L</v>
      </c>
      <c r="BG242" t="s">
        <v>74</v>
      </c>
      <c r="BH242" t="s">
        <v>74</v>
      </c>
      <c r="BI242">
        <v>14</v>
      </c>
      <c r="BJ242" t="s">
        <v>4959</v>
      </c>
      <c r="BK242" t="s">
        <v>103</v>
      </c>
      <c r="BL242" t="s">
        <v>4960</v>
      </c>
      <c r="BM242" t="s">
        <v>4961</v>
      </c>
      <c r="BN242" t="s">
        <v>74</v>
      </c>
      <c r="BO242" t="s">
        <v>326</v>
      </c>
      <c r="BP242" t="s">
        <v>74</v>
      </c>
      <c r="BQ242" t="s">
        <v>74</v>
      </c>
      <c r="BR242" t="s">
        <v>106</v>
      </c>
      <c r="BS242" t="s">
        <v>4962</v>
      </c>
      <c r="BT242" t="str">
        <f>HYPERLINK("https%3A%2F%2Fwww.webofscience.com%2Fwos%2Fwoscc%2Ffull-record%2FWOS:000685461700004","View Full Record in Web of Science")</f>
        <v>View Full Record in Web of Science</v>
      </c>
    </row>
    <row r="243" spans="1:72" x14ac:dyDescent="0.15">
      <c r="A243" t="s">
        <v>72</v>
      </c>
      <c r="B243" t="s">
        <v>4963</v>
      </c>
      <c r="C243" t="s">
        <v>74</v>
      </c>
      <c r="D243" t="s">
        <v>74</v>
      </c>
      <c r="E243" t="s">
        <v>74</v>
      </c>
      <c r="F243" t="s">
        <v>4964</v>
      </c>
      <c r="G243" t="s">
        <v>74</v>
      </c>
      <c r="H243" t="s">
        <v>74</v>
      </c>
      <c r="I243" t="s">
        <v>4965</v>
      </c>
      <c r="J243" t="s">
        <v>4966</v>
      </c>
      <c r="K243" t="s">
        <v>74</v>
      </c>
      <c r="L243" t="s">
        <v>74</v>
      </c>
      <c r="M243" t="s">
        <v>4967</v>
      </c>
      <c r="N243" t="s">
        <v>79</v>
      </c>
      <c r="O243" t="s">
        <v>74</v>
      </c>
      <c r="P243" t="s">
        <v>74</v>
      </c>
      <c r="Q243" t="s">
        <v>74</v>
      </c>
      <c r="R243" t="s">
        <v>74</v>
      </c>
      <c r="S243" t="s">
        <v>74</v>
      </c>
      <c r="T243" t="s">
        <v>4968</v>
      </c>
      <c r="U243" t="s">
        <v>4969</v>
      </c>
      <c r="V243" t="s">
        <v>4970</v>
      </c>
      <c r="W243" t="s">
        <v>4971</v>
      </c>
      <c r="X243" t="s">
        <v>4972</v>
      </c>
      <c r="Y243" t="s">
        <v>4973</v>
      </c>
      <c r="Z243" t="s">
        <v>74</v>
      </c>
      <c r="AA243" t="s">
        <v>4974</v>
      </c>
      <c r="AB243" t="s">
        <v>4975</v>
      </c>
      <c r="AC243" t="s">
        <v>74</v>
      </c>
      <c r="AD243" t="s">
        <v>74</v>
      </c>
      <c r="AE243" t="s">
        <v>74</v>
      </c>
      <c r="AF243" t="s">
        <v>74</v>
      </c>
      <c r="AG243">
        <v>70</v>
      </c>
      <c r="AH243">
        <v>2</v>
      </c>
      <c r="AI243">
        <v>2</v>
      </c>
      <c r="AJ243">
        <v>0</v>
      </c>
      <c r="AK243">
        <v>2</v>
      </c>
      <c r="AL243" t="s">
        <v>4976</v>
      </c>
      <c r="AM243" t="s">
        <v>4977</v>
      </c>
      <c r="AN243" t="s">
        <v>4978</v>
      </c>
      <c r="AO243" t="s">
        <v>4979</v>
      </c>
      <c r="AP243" t="s">
        <v>4980</v>
      </c>
      <c r="AQ243" t="s">
        <v>74</v>
      </c>
      <c r="AR243" t="s">
        <v>4981</v>
      </c>
      <c r="AS243" t="s">
        <v>4982</v>
      </c>
      <c r="AT243" t="s">
        <v>74</v>
      </c>
      <c r="AU243">
        <v>2021</v>
      </c>
      <c r="AV243">
        <v>43</v>
      </c>
      <c r="AW243">
        <v>6</v>
      </c>
      <c r="AX243" t="s">
        <v>74</v>
      </c>
      <c r="AY243" t="s">
        <v>74</v>
      </c>
      <c r="AZ243" t="s">
        <v>74</v>
      </c>
      <c r="BA243" t="s">
        <v>74</v>
      </c>
      <c r="BB243">
        <v>221</v>
      </c>
      <c r="BC243">
        <v>247</v>
      </c>
      <c r="BD243" t="s">
        <v>74</v>
      </c>
      <c r="BE243" t="s">
        <v>4983</v>
      </c>
      <c r="BF243" t="str">
        <f>HYPERLINK("http://dx.doi.org/10.24028/gzh.v43i6.251564","http://dx.doi.org/10.24028/gzh.v43i6.251564")</f>
        <v>http://dx.doi.org/10.24028/gzh.v43i6.251564</v>
      </c>
      <c r="BG243" t="s">
        <v>74</v>
      </c>
      <c r="BH243" t="s">
        <v>74</v>
      </c>
      <c r="BI243">
        <v>27</v>
      </c>
      <c r="BJ243" t="s">
        <v>426</v>
      </c>
      <c r="BK243" t="s">
        <v>3050</v>
      </c>
      <c r="BL243" t="s">
        <v>426</v>
      </c>
      <c r="BM243" t="s">
        <v>4984</v>
      </c>
      <c r="BN243" t="s">
        <v>74</v>
      </c>
      <c r="BO243" t="s">
        <v>326</v>
      </c>
      <c r="BP243" t="s">
        <v>74</v>
      </c>
      <c r="BQ243" t="s">
        <v>74</v>
      </c>
      <c r="BR243" t="s">
        <v>106</v>
      </c>
      <c r="BS243" t="s">
        <v>4985</v>
      </c>
      <c r="BT243" t="str">
        <f>HYPERLINK("https%3A%2F%2Fwww.webofscience.com%2Fwos%2Fwoscc%2Ffull-record%2FWOS:000767227900010","View Full Record in Web of Science")</f>
        <v>View Full Record in Web of Science</v>
      </c>
    </row>
    <row r="244" spans="1:72" x14ac:dyDescent="0.15">
      <c r="A244" t="s">
        <v>72</v>
      </c>
      <c r="B244" t="s">
        <v>4986</v>
      </c>
      <c r="C244" t="s">
        <v>74</v>
      </c>
      <c r="D244" t="s">
        <v>74</v>
      </c>
      <c r="E244" t="s">
        <v>74</v>
      </c>
      <c r="F244" t="s">
        <v>4987</v>
      </c>
      <c r="G244" t="s">
        <v>74</v>
      </c>
      <c r="H244" t="s">
        <v>74</v>
      </c>
      <c r="I244" t="s">
        <v>4988</v>
      </c>
      <c r="J244" t="s">
        <v>4966</v>
      </c>
      <c r="K244" t="s">
        <v>74</v>
      </c>
      <c r="L244" t="s">
        <v>74</v>
      </c>
      <c r="M244" t="s">
        <v>78</v>
      </c>
      <c r="N244" t="s">
        <v>79</v>
      </c>
      <c r="O244" t="s">
        <v>74</v>
      </c>
      <c r="P244" t="s">
        <v>74</v>
      </c>
      <c r="Q244" t="s">
        <v>74</v>
      </c>
      <c r="R244" t="s">
        <v>74</v>
      </c>
      <c r="S244" t="s">
        <v>74</v>
      </c>
      <c r="T244" t="s">
        <v>4989</v>
      </c>
      <c r="U244" t="s">
        <v>74</v>
      </c>
      <c r="V244" t="s">
        <v>4990</v>
      </c>
      <c r="W244" t="s">
        <v>4991</v>
      </c>
      <c r="X244" t="s">
        <v>4992</v>
      </c>
      <c r="Y244" t="s">
        <v>4993</v>
      </c>
      <c r="Z244" t="s">
        <v>74</v>
      </c>
      <c r="AA244" t="s">
        <v>74</v>
      </c>
      <c r="AB244" t="s">
        <v>74</v>
      </c>
      <c r="AC244" t="s">
        <v>4994</v>
      </c>
      <c r="AD244" t="s">
        <v>4994</v>
      </c>
      <c r="AE244" t="s">
        <v>4995</v>
      </c>
      <c r="AF244" t="s">
        <v>74</v>
      </c>
      <c r="AG244">
        <v>26</v>
      </c>
      <c r="AH244">
        <v>1</v>
      </c>
      <c r="AI244">
        <v>1</v>
      </c>
      <c r="AJ244">
        <v>2</v>
      </c>
      <c r="AK244">
        <v>6</v>
      </c>
      <c r="AL244" t="s">
        <v>4976</v>
      </c>
      <c r="AM244" t="s">
        <v>4977</v>
      </c>
      <c r="AN244" t="s">
        <v>4978</v>
      </c>
      <c r="AO244" t="s">
        <v>4979</v>
      </c>
      <c r="AP244" t="s">
        <v>4980</v>
      </c>
      <c r="AQ244" t="s">
        <v>74</v>
      </c>
      <c r="AR244" t="s">
        <v>4981</v>
      </c>
      <c r="AS244" t="s">
        <v>4982</v>
      </c>
      <c r="AT244" t="s">
        <v>74</v>
      </c>
      <c r="AU244">
        <v>2021</v>
      </c>
      <c r="AV244">
        <v>43</v>
      </c>
      <c r="AW244">
        <v>6</v>
      </c>
      <c r="AX244" t="s">
        <v>74</v>
      </c>
      <c r="AY244" t="s">
        <v>74</v>
      </c>
      <c r="AZ244" t="s">
        <v>74</v>
      </c>
      <c r="BA244" t="s">
        <v>74</v>
      </c>
      <c r="BB244">
        <v>266</v>
      </c>
      <c r="BC244">
        <v>280</v>
      </c>
      <c r="BD244" t="s">
        <v>74</v>
      </c>
      <c r="BE244" t="s">
        <v>4996</v>
      </c>
      <c r="BF244" t="str">
        <f>HYPERLINK("http://dx.doi.org/10.24028/gzh.v43i6.251567","http://dx.doi.org/10.24028/gzh.v43i6.251567")</f>
        <v>http://dx.doi.org/10.24028/gzh.v43i6.251567</v>
      </c>
      <c r="BG244" t="s">
        <v>74</v>
      </c>
      <c r="BH244" t="s">
        <v>74</v>
      </c>
      <c r="BI244">
        <v>15</v>
      </c>
      <c r="BJ244" t="s">
        <v>426</v>
      </c>
      <c r="BK244" t="s">
        <v>3050</v>
      </c>
      <c r="BL244" t="s">
        <v>426</v>
      </c>
      <c r="BM244" t="s">
        <v>4984</v>
      </c>
      <c r="BN244" t="s">
        <v>74</v>
      </c>
      <c r="BO244" t="s">
        <v>326</v>
      </c>
      <c r="BP244" t="s">
        <v>74</v>
      </c>
      <c r="BQ244" t="s">
        <v>74</v>
      </c>
      <c r="BR244" t="s">
        <v>106</v>
      </c>
      <c r="BS244" t="s">
        <v>4997</v>
      </c>
      <c r="BT244" t="str">
        <f>HYPERLINK("https%3A%2F%2Fwww.webofscience.com%2Fwos%2Fwoscc%2Ffull-record%2FWOS:000767227900012","View Full Record in Web of Science")</f>
        <v>View Full Record in Web of Science</v>
      </c>
    </row>
    <row r="245" spans="1:72" x14ac:dyDescent="0.15">
      <c r="A245" t="s">
        <v>72</v>
      </c>
      <c r="B245" t="s">
        <v>4998</v>
      </c>
      <c r="C245" t="s">
        <v>74</v>
      </c>
      <c r="D245" t="s">
        <v>74</v>
      </c>
      <c r="E245" t="s">
        <v>74</v>
      </c>
      <c r="F245" t="s">
        <v>4999</v>
      </c>
      <c r="G245" t="s">
        <v>74</v>
      </c>
      <c r="H245" t="s">
        <v>74</v>
      </c>
      <c r="I245" t="s">
        <v>5000</v>
      </c>
      <c r="J245" t="s">
        <v>5001</v>
      </c>
      <c r="K245" t="s">
        <v>74</v>
      </c>
      <c r="L245" t="s">
        <v>74</v>
      </c>
      <c r="M245" t="s">
        <v>78</v>
      </c>
      <c r="N245" t="s">
        <v>79</v>
      </c>
      <c r="O245" t="s">
        <v>74</v>
      </c>
      <c r="P245" t="s">
        <v>74</v>
      </c>
      <c r="Q245" t="s">
        <v>74</v>
      </c>
      <c r="R245" t="s">
        <v>74</v>
      </c>
      <c r="S245" t="s">
        <v>74</v>
      </c>
      <c r="T245" t="s">
        <v>5002</v>
      </c>
      <c r="U245" t="s">
        <v>5003</v>
      </c>
      <c r="V245" t="s">
        <v>5004</v>
      </c>
      <c r="W245" t="s">
        <v>5005</v>
      </c>
      <c r="X245" t="s">
        <v>5006</v>
      </c>
      <c r="Y245" t="s">
        <v>5007</v>
      </c>
      <c r="Z245" t="s">
        <v>5008</v>
      </c>
      <c r="AA245" t="s">
        <v>5009</v>
      </c>
      <c r="AB245" t="s">
        <v>5010</v>
      </c>
      <c r="AC245" t="s">
        <v>5011</v>
      </c>
      <c r="AD245" t="s">
        <v>5012</v>
      </c>
      <c r="AE245" t="s">
        <v>5013</v>
      </c>
      <c r="AF245" t="s">
        <v>74</v>
      </c>
      <c r="AG245">
        <v>46</v>
      </c>
      <c r="AH245">
        <v>9</v>
      </c>
      <c r="AI245">
        <v>9</v>
      </c>
      <c r="AJ245">
        <v>0</v>
      </c>
      <c r="AK245">
        <v>4</v>
      </c>
      <c r="AL245" t="s">
        <v>5014</v>
      </c>
      <c r="AM245" t="s">
        <v>5015</v>
      </c>
      <c r="AN245" t="s">
        <v>5016</v>
      </c>
      <c r="AO245" t="s">
        <v>5017</v>
      </c>
      <c r="AP245" t="s">
        <v>5018</v>
      </c>
      <c r="AQ245" t="s">
        <v>74</v>
      </c>
      <c r="AR245" t="s">
        <v>5019</v>
      </c>
      <c r="AS245" t="s">
        <v>5020</v>
      </c>
      <c r="AT245" t="s">
        <v>74</v>
      </c>
      <c r="AU245">
        <v>2021</v>
      </c>
      <c r="AV245">
        <v>94</v>
      </c>
      <c r="AW245" t="s">
        <v>74</v>
      </c>
      <c r="AX245" t="s">
        <v>74</v>
      </c>
      <c r="AY245">
        <v>1</v>
      </c>
      <c r="AZ245" t="s">
        <v>74</v>
      </c>
      <c r="BA245" t="s">
        <v>74</v>
      </c>
      <c r="BB245" t="s">
        <v>74</v>
      </c>
      <c r="BC245" t="s">
        <v>74</v>
      </c>
      <c r="BD245" t="s">
        <v>5021</v>
      </c>
      <c r="BE245" t="s">
        <v>5022</v>
      </c>
      <c r="BF245" t="str">
        <f>HYPERLINK("http://dx.doi.org/10.1590/0001-3765202220210540","http://dx.doi.org/10.1590/0001-3765202220210540")</f>
        <v>http://dx.doi.org/10.1590/0001-3765202220210540</v>
      </c>
      <c r="BG245" t="s">
        <v>74</v>
      </c>
      <c r="BH245" t="s">
        <v>74</v>
      </c>
      <c r="BI245">
        <v>14</v>
      </c>
      <c r="BJ245" t="s">
        <v>534</v>
      </c>
      <c r="BK245" t="s">
        <v>103</v>
      </c>
      <c r="BL245" t="s">
        <v>535</v>
      </c>
      <c r="BM245" t="s">
        <v>5023</v>
      </c>
      <c r="BN245">
        <v>35293947</v>
      </c>
      <c r="BO245" t="s">
        <v>326</v>
      </c>
      <c r="BP245" t="s">
        <v>74</v>
      </c>
      <c r="BQ245" t="s">
        <v>74</v>
      </c>
      <c r="BR245" t="s">
        <v>106</v>
      </c>
      <c r="BS245" t="s">
        <v>5024</v>
      </c>
      <c r="BT245" t="str">
        <f>HYPERLINK("https%3A%2F%2Fwww.webofscience.com%2Fwos%2Fwoscc%2Ffull-record%2FWOS:000771757900001","View Full Record in Web of Science")</f>
        <v>View Full Record in Web of Science</v>
      </c>
    </row>
    <row r="246" spans="1:72" x14ac:dyDescent="0.15">
      <c r="A246" t="s">
        <v>72</v>
      </c>
      <c r="B246" t="s">
        <v>5025</v>
      </c>
      <c r="C246" t="s">
        <v>74</v>
      </c>
      <c r="D246" t="s">
        <v>74</v>
      </c>
      <c r="E246" t="s">
        <v>74</v>
      </c>
      <c r="F246" t="s">
        <v>5026</v>
      </c>
      <c r="G246" t="s">
        <v>74</v>
      </c>
      <c r="H246" t="s">
        <v>74</v>
      </c>
      <c r="I246" t="s">
        <v>5027</v>
      </c>
      <c r="J246" t="s">
        <v>5028</v>
      </c>
      <c r="K246" t="s">
        <v>74</v>
      </c>
      <c r="L246" t="s">
        <v>74</v>
      </c>
      <c r="M246" t="s">
        <v>4967</v>
      </c>
      <c r="N246" t="s">
        <v>79</v>
      </c>
      <c r="O246" t="s">
        <v>74</v>
      </c>
      <c r="P246" t="s">
        <v>74</v>
      </c>
      <c r="Q246" t="s">
        <v>74</v>
      </c>
      <c r="R246" t="s">
        <v>74</v>
      </c>
      <c r="S246" t="s">
        <v>74</v>
      </c>
      <c r="T246" t="s">
        <v>5029</v>
      </c>
      <c r="U246" t="s">
        <v>5030</v>
      </c>
      <c r="V246" t="s">
        <v>5031</v>
      </c>
      <c r="W246" t="s">
        <v>5032</v>
      </c>
      <c r="X246" t="s">
        <v>5033</v>
      </c>
      <c r="Y246" t="s">
        <v>5034</v>
      </c>
      <c r="Z246" t="s">
        <v>5035</v>
      </c>
      <c r="AA246" t="s">
        <v>5036</v>
      </c>
      <c r="AB246" t="s">
        <v>5037</v>
      </c>
      <c r="AC246" t="s">
        <v>74</v>
      </c>
      <c r="AD246" t="s">
        <v>74</v>
      </c>
      <c r="AE246" t="s">
        <v>74</v>
      </c>
      <c r="AF246" t="s">
        <v>74</v>
      </c>
      <c r="AG246">
        <v>12</v>
      </c>
      <c r="AH246">
        <v>2</v>
      </c>
      <c r="AI246">
        <v>2</v>
      </c>
      <c r="AJ246">
        <v>0</v>
      </c>
      <c r="AK246">
        <v>1</v>
      </c>
      <c r="AL246" t="s">
        <v>5038</v>
      </c>
      <c r="AM246" t="s">
        <v>5039</v>
      </c>
      <c r="AN246" t="s">
        <v>5040</v>
      </c>
      <c r="AO246" t="s">
        <v>5041</v>
      </c>
      <c r="AP246" t="s">
        <v>74</v>
      </c>
      <c r="AQ246" t="s">
        <v>74</v>
      </c>
      <c r="AR246" t="s">
        <v>5042</v>
      </c>
      <c r="AS246" t="s">
        <v>5043</v>
      </c>
      <c r="AT246" t="s">
        <v>74</v>
      </c>
      <c r="AU246">
        <v>2021</v>
      </c>
      <c r="AV246" t="s">
        <v>74</v>
      </c>
      <c r="AW246">
        <v>4</v>
      </c>
      <c r="AX246" t="s">
        <v>74</v>
      </c>
      <c r="AY246" t="s">
        <v>74</v>
      </c>
      <c r="AZ246" t="s">
        <v>74</v>
      </c>
      <c r="BA246" t="s">
        <v>74</v>
      </c>
      <c r="BB246">
        <v>6</v>
      </c>
      <c r="BC246">
        <v>15</v>
      </c>
      <c r="BD246" t="s">
        <v>74</v>
      </c>
      <c r="BE246" t="s">
        <v>5044</v>
      </c>
      <c r="BF246" t="str">
        <f>HYPERLINK("http://dx.doi.org/10.17721/1728-2713.95.01","http://dx.doi.org/10.17721/1728-2713.95.01")</f>
        <v>http://dx.doi.org/10.17721/1728-2713.95.01</v>
      </c>
      <c r="BG246" t="s">
        <v>74</v>
      </c>
      <c r="BH246" t="s">
        <v>74</v>
      </c>
      <c r="BI246">
        <v>10</v>
      </c>
      <c r="BJ246" t="s">
        <v>402</v>
      </c>
      <c r="BK246" t="s">
        <v>3050</v>
      </c>
      <c r="BL246" t="s">
        <v>402</v>
      </c>
      <c r="BM246" t="s">
        <v>5045</v>
      </c>
      <c r="BN246" t="s">
        <v>74</v>
      </c>
      <c r="BO246" t="s">
        <v>3283</v>
      </c>
      <c r="BP246" t="s">
        <v>74</v>
      </c>
      <c r="BQ246" t="s">
        <v>74</v>
      </c>
      <c r="BR246" t="s">
        <v>106</v>
      </c>
      <c r="BS246" t="s">
        <v>5046</v>
      </c>
      <c r="BT246" t="str">
        <f>HYPERLINK("https%3A%2F%2Fwww.webofscience.com%2Fwos%2Fwoscc%2Ffull-record%2FWOS:000761033200001","View Full Record in Web of Science")</f>
        <v>View Full Record in Web of Science</v>
      </c>
    </row>
    <row r="247" spans="1:72" x14ac:dyDescent="0.15">
      <c r="A247" t="s">
        <v>4529</v>
      </c>
      <c r="B247" t="s">
        <v>5047</v>
      </c>
      <c r="C247" t="s">
        <v>74</v>
      </c>
      <c r="D247" t="s">
        <v>74</v>
      </c>
      <c r="E247" t="s">
        <v>4644</v>
      </c>
      <c r="F247" t="s">
        <v>5048</v>
      </c>
      <c r="G247" t="s">
        <v>74</v>
      </c>
      <c r="H247" t="s">
        <v>74</v>
      </c>
      <c r="I247" t="s">
        <v>5049</v>
      </c>
      <c r="J247" t="s">
        <v>5050</v>
      </c>
      <c r="K247" t="s">
        <v>5051</v>
      </c>
      <c r="L247" t="s">
        <v>74</v>
      </c>
      <c r="M247" t="s">
        <v>78</v>
      </c>
      <c r="N247" t="s">
        <v>4535</v>
      </c>
      <c r="O247" t="s">
        <v>5052</v>
      </c>
      <c r="P247" t="s">
        <v>5053</v>
      </c>
      <c r="Q247" t="s">
        <v>4538</v>
      </c>
      <c r="R247" t="s">
        <v>74</v>
      </c>
      <c r="S247" t="s">
        <v>74</v>
      </c>
      <c r="T247" t="s">
        <v>5054</v>
      </c>
      <c r="U247" t="s">
        <v>5055</v>
      </c>
      <c r="V247" t="s">
        <v>5056</v>
      </c>
      <c r="W247" t="s">
        <v>5057</v>
      </c>
      <c r="X247" t="s">
        <v>5058</v>
      </c>
      <c r="Y247" t="s">
        <v>5059</v>
      </c>
      <c r="Z247" t="s">
        <v>5060</v>
      </c>
      <c r="AA247" t="s">
        <v>5061</v>
      </c>
      <c r="AB247" t="s">
        <v>74</v>
      </c>
      <c r="AC247" t="s">
        <v>5062</v>
      </c>
      <c r="AD247" t="s">
        <v>5063</v>
      </c>
      <c r="AE247" t="s">
        <v>5064</v>
      </c>
      <c r="AF247" t="s">
        <v>74</v>
      </c>
      <c r="AG247">
        <v>23</v>
      </c>
      <c r="AH247">
        <v>0</v>
      </c>
      <c r="AI247">
        <v>0</v>
      </c>
      <c r="AJ247">
        <v>4</v>
      </c>
      <c r="AK247">
        <v>7</v>
      </c>
      <c r="AL247" t="s">
        <v>4644</v>
      </c>
      <c r="AM247" t="s">
        <v>473</v>
      </c>
      <c r="AN247" t="s">
        <v>4662</v>
      </c>
      <c r="AO247" t="s">
        <v>5065</v>
      </c>
      <c r="AP247" t="s">
        <v>74</v>
      </c>
      <c r="AQ247" t="s">
        <v>5066</v>
      </c>
      <c r="AR247" t="s">
        <v>5067</v>
      </c>
      <c r="AS247" t="s">
        <v>74</v>
      </c>
      <c r="AT247" t="s">
        <v>74</v>
      </c>
      <c r="AU247">
        <v>2021</v>
      </c>
      <c r="AV247" t="s">
        <v>74</v>
      </c>
      <c r="AW247" t="s">
        <v>74</v>
      </c>
      <c r="AX247" t="s">
        <v>74</v>
      </c>
      <c r="AY247" t="s">
        <v>74</v>
      </c>
      <c r="AZ247" t="s">
        <v>74</v>
      </c>
      <c r="BA247" t="s">
        <v>74</v>
      </c>
      <c r="BB247">
        <v>4350</v>
      </c>
      <c r="BC247">
        <v>4357</v>
      </c>
      <c r="BD247" t="s">
        <v>74</v>
      </c>
      <c r="BE247" t="s">
        <v>5068</v>
      </c>
      <c r="BF247" t="str">
        <f>HYPERLINK("http://dx.doi.org/10.1109/IROS51168.2021.9636275","http://dx.doi.org/10.1109/IROS51168.2021.9636275")</f>
        <v>http://dx.doi.org/10.1109/IROS51168.2021.9636275</v>
      </c>
      <c r="BG247" t="s">
        <v>74</v>
      </c>
      <c r="BH247" t="s">
        <v>74</v>
      </c>
      <c r="BI247">
        <v>8</v>
      </c>
      <c r="BJ247" t="s">
        <v>5069</v>
      </c>
      <c r="BK247" t="s">
        <v>4553</v>
      </c>
      <c r="BL247" t="s">
        <v>5070</v>
      </c>
      <c r="BM247" t="s">
        <v>5071</v>
      </c>
      <c r="BN247" t="s">
        <v>74</v>
      </c>
      <c r="BO247" t="s">
        <v>74</v>
      </c>
      <c r="BP247" t="s">
        <v>74</v>
      </c>
      <c r="BQ247" t="s">
        <v>74</v>
      </c>
      <c r="BR247" t="s">
        <v>106</v>
      </c>
      <c r="BS247" t="s">
        <v>5072</v>
      </c>
      <c r="BT247" t="str">
        <f>HYPERLINK("https%3A%2F%2Fwww.webofscience.com%2Fwos%2Fwoscc%2Ffull-record%2FWOS:000755125503063","View Full Record in Web of Science")</f>
        <v>View Full Record in Web of Science</v>
      </c>
    </row>
    <row r="248" spans="1:72" x14ac:dyDescent="0.15">
      <c r="A248" t="s">
        <v>4529</v>
      </c>
      <c r="B248" t="s">
        <v>5073</v>
      </c>
      <c r="C248" t="s">
        <v>74</v>
      </c>
      <c r="D248" t="s">
        <v>74</v>
      </c>
      <c r="E248" t="s">
        <v>4644</v>
      </c>
      <c r="F248" t="s">
        <v>5074</v>
      </c>
      <c r="G248" t="s">
        <v>74</v>
      </c>
      <c r="H248" t="s">
        <v>74</v>
      </c>
      <c r="I248" t="s">
        <v>5075</v>
      </c>
      <c r="J248" t="s">
        <v>5050</v>
      </c>
      <c r="K248" t="s">
        <v>5051</v>
      </c>
      <c r="L248" t="s">
        <v>74</v>
      </c>
      <c r="M248" t="s">
        <v>78</v>
      </c>
      <c r="N248" t="s">
        <v>4535</v>
      </c>
      <c r="O248" t="s">
        <v>5052</v>
      </c>
      <c r="P248" t="s">
        <v>5053</v>
      </c>
      <c r="Q248" t="s">
        <v>4538</v>
      </c>
      <c r="R248" t="s">
        <v>74</v>
      </c>
      <c r="S248" t="s">
        <v>74</v>
      </c>
      <c r="T248" t="s">
        <v>74</v>
      </c>
      <c r="U248" t="s">
        <v>5076</v>
      </c>
      <c r="V248" t="s">
        <v>5077</v>
      </c>
      <c r="W248" t="s">
        <v>5078</v>
      </c>
      <c r="X248" t="s">
        <v>5079</v>
      </c>
      <c r="Y248" t="s">
        <v>5080</v>
      </c>
      <c r="Z248" t="s">
        <v>5081</v>
      </c>
      <c r="AA248" t="s">
        <v>5082</v>
      </c>
      <c r="AB248" t="s">
        <v>5083</v>
      </c>
      <c r="AC248" t="s">
        <v>5084</v>
      </c>
      <c r="AD248" t="s">
        <v>5085</v>
      </c>
      <c r="AE248" t="s">
        <v>5086</v>
      </c>
      <c r="AF248" t="s">
        <v>74</v>
      </c>
      <c r="AG248">
        <v>37</v>
      </c>
      <c r="AH248">
        <v>0</v>
      </c>
      <c r="AI248">
        <v>1</v>
      </c>
      <c r="AJ248">
        <v>0</v>
      </c>
      <c r="AK248">
        <v>2</v>
      </c>
      <c r="AL248" t="s">
        <v>4644</v>
      </c>
      <c r="AM248" t="s">
        <v>473</v>
      </c>
      <c r="AN248" t="s">
        <v>4662</v>
      </c>
      <c r="AO248" t="s">
        <v>5065</v>
      </c>
      <c r="AP248" t="s">
        <v>74</v>
      </c>
      <c r="AQ248" t="s">
        <v>5066</v>
      </c>
      <c r="AR248" t="s">
        <v>5067</v>
      </c>
      <c r="AS248" t="s">
        <v>74</v>
      </c>
      <c r="AT248" t="s">
        <v>74</v>
      </c>
      <c r="AU248">
        <v>2021</v>
      </c>
      <c r="AV248" t="s">
        <v>74</v>
      </c>
      <c r="AW248" t="s">
        <v>74</v>
      </c>
      <c r="AX248" t="s">
        <v>74</v>
      </c>
      <c r="AY248" t="s">
        <v>74</v>
      </c>
      <c r="AZ248" t="s">
        <v>74</v>
      </c>
      <c r="BA248" t="s">
        <v>74</v>
      </c>
      <c r="BB248">
        <v>8657</v>
      </c>
      <c r="BC248">
        <v>8664</v>
      </c>
      <c r="BD248" t="s">
        <v>74</v>
      </c>
      <c r="BE248" t="s">
        <v>5087</v>
      </c>
      <c r="BF248" t="str">
        <f>HYPERLINK("http://dx.doi.org/10.1109/IROS51168.2021.9635987","http://dx.doi.org/10.1109/IROS51168.2021.9635987")</f>
        <v>http://dx.doi.org/10.1109/IROS51168.2021.9635987</v>
      </c>
      <c r="BG248" t="s">
        <v>74</v>
      </c>
      <c r="BH248" t="s">
        <v>74</v>
      </c>
      <c r="BI248">
        <v>8</v>
      </c>
      <c r="BJ248" t="s">
        <v>5069</v>
      </c>
      <c r="BK248" t="s">
        <v>4553</v>
      </c>
      <c r="BL248" t="s">
        <v>5070</v>
      </c>
      <c r="BM248" t="s">
        <v>5071</v>
      </c>
      <c r="BN248" t="s">
        <v>74</v>
      </c>
      <c r="BO248" t="s">
        <v>74</v>
      </c>
      <c r="BP248" t="s">
        <v>74</v>
      </c>
      <c r="BQ248" t="s">
        <v>74</v>
      </c>
      <c r="BR248" t="s">
        <v>106</v>
      </c>
      <c r="BS248" t="s">
        <v>5088</v>
      </c>
      <c r="BT248" t="str">
        <f>HYPERLINK("https%3A%2F%2Fwww.webofscience.com%2Fwos%2Fwoscc%2Ffull-record%2FWOS:000755125506119","View Full Record in Web of Science")</f>
        <v>View Full Record in Web of Science</v>
      </c>
    </row>
    <row r="249" spans="1:72" x14ac:dyDescent="0.15">
      <c r="A249" t="s">
        <v>4529</v>
      </c>
      <c r="B249" t="s">
        <v>5089</v>
      </c>
      <c r="C249" t="s">
        <v>74</v>
      </c>
      <c r="D249" t="s">
        <v>5090</v>
      </c>
      <c r="E249" t="s">
        <v>74</v>
      </c>
      <c r="F249" t="s">
        <v>5091</v>
      </c>
      <c r="G249" t="s">
        <v>74</v>
      </c>
      <c r="H249" t="s">
        <v>74</v>
      </c>
      <c r="I249" t="s">
        <v>5092</v>
      </c>
      <c r="J249" t="s">
        <v>5093</v>
      </c>
      <c r="K249" t="s">
        <v>4762</v>
      </c>
      <c r="L249" t="s">
        <v>74</v>
      </c>
      <c r="M249" t="s">
        <v>78</v>
      </c>
      <c r="N249" t="s">
        <v>4535</v>
      </c>
      <c r="O249" t="s">
        <v>5094</v>
      </c>
      <c r="P249" t="s">
        <v>5095</v>
      </c>
      <c r="Q249" t="s">
        <v>4538</v>
      </c>
      <c r="R249" t="s">
        <v>74</v>
      </c>
      <c r="S249" t="s">
        <v>74</v>
      </c>
      <c r="T249" t="s">
        <v>5096</v>
      </c>
      <c r="U249" t="s">
        <v>74</v>
      </c>
      <c r="V249" t="s">
        <v>5097</v>
      </c>
      <c r="W249" t="s">
        <v>5098</v>
      </c>
      <c r="X249" t="s">
        <v>74</v>
      </c>
      <c r="Y249" t="s">
        <v>5099</v>
      </c>
      <c r="Z249" t="s">
        <v>74</v>
      </c>
      <c r="AA249" t="s">
        <v>5100</v>
      </c>
      <c r="AB249" t="s">
        <v>5101</v>
      </c>
      <c r="AC249" t="s">
        <v>5102</v>
      </c>
      <c r="AD249" t="s">
        <v>5103</v>
      </c>
      <c r="AE249" t="s">
        <v>5104</v>
      </c>
      <c r="AF249" t="s">
        <v>74</v>
      </c>
      <c r="AG249">
        <v>12</v>
      </c>
      <c r="AH249">
        <v>0</v>
      </c>
      <c r="AI249">
        <v>0</v>
      </c>
      <c r="AJ249">
        <v>1</v>
      </c>
      <c r="AK249">
        <v>15</v>
      </c>
      <c r="AL249" t="s">
        <v>4777</v>
      </c>
      <c r="AM249" t="s">
        <v>4778</v>
      </c>
      <c r="AN249" t="s">
        <v>4779</v>
      </c>
      <c r="AO249" t="s">
        <v>4780</v>
      </c>
      <c r="AP249" t="s">
        <v>4781</v>
      </c>
      <c r="AQ249" t="s">
        <v>5105</v>
      </c>
      <c r="AR249" t="s">
        <v>4783</v>
      </c>
      <c r="AS249" t="s">
        <v>74</v>
      </c>
      <c r="AT249" t="s">
        <v>74</v>
      </c>
      <c r="AU249">
        <v>2021</v>
      </c>
      <c r="AV249">
        <v>11862</v>
      </c>
      <c r="AW249" t="s">
        <v>74</v>
      </c>
      <c r="AX249" t="s">
        <v>74</v>
      </c>
      <c r="AY249" t="s">
        <v>74</v>
      </c>
      <c r="AZ249" t="s">
        <v>74</v>
      </c>
      <c r="BA249" t="s">
        <v>74</v>
      </c>
      <c r="BB249" t="s">
        <v>74</v>
      </c>
      <c r="BC249" t="s">
        <v>74</v>
      </c>
      <c r="BD249" t="s">
        <v>5106</v>
      </c>
      <c r="BE249" t="s">
        <v>5107</v>
      </c>
      <c r="BF249" t="str">
        <f>HYPERLINK("http://dx.doi.org/10.1117/12.2599886","http://dx.doi.org/10.1117/12.2599886")</f>
        <v>http://dx.doi.org/10.1117/12.2599886</v>
      </c>
      <c r="BG249" t="s">
        <v>74</v>
      </c>
      <c r="BH249" t="s">
        <v>74</v>
      </c>
      <c r="BI249">
        <v>6</v>
      </c>
      <c r="BJ249" t="s">
        <v>5108</v>
      </c>
      <c r="BK249" t="s">
        <v>4553</v>
      </c>
      <c r="BL249" t="s">
        <v>5109</v>
      </c>
      <c r="BM249" t="s">
        <v>5110</v>
      </c>
      <c r="BN249" t="s">
        <v>74</v>
      </c>
      <c r="BO249" t="s">
        <v>74</v>
      </c>
      <c r="BP249" t="s">
        <v>74</v>
      </c>
      <c r="BQ249" t="s">
        <v>74</v>
      </c>
      <c r="BR249" t="s">
        <v>106</v>
      </c>
      <c r="BS249" t="s">
        <v>5111</v>
      </c>
      <c r="BT249" t="str">
        <f>HYPERLINK("https%3A%2F%2Fwww.webofscience.com%2Fwos%2Fwoscc%2Ffull-record%2FWOS:000759218100024","View Full Record in Web of Science")</f>
        <v>View Full Record in Web of Science</v>
      </c>
    </row>
    <row r="250" spans="1:72" x14ac:dyDescent="0.15">
      <c r="A250" t="s">
        <v>72</v>
      </c>
      <c r="B250" t="s">
        <v>5112</v>
      </c>
      <c r="C250" t="s">
        <v>74</v>
      </c>
      <c r="D250" t="s">
        <v>74</v>
      </c>
      <c r="E250" t="s">
        <v>74</v>
      </c>
      <c r="F250" t="s">
        <v>5113</v>
      </c>
      <c r="G250" t="s">
        <v>74</v>
      </c>
      <c r="H250" t="s">
        <v>74</v>
      </c>
      <c r="I250" t="s">
        <v>5114</v>
      </c>
      <c r="J250" t="s">
        <v>5115</v>
      </c>
      <c r="K250" t="s">
        <v>74</v>
      </c>
      <c r="L250" t="s">
        <v>74</v>
      </c>
      <c r="M250" t="s">
        <v>78</v>
      </c>
      <c r="N250" t="s">
        <v>79</v>
      </c>
      <c r="O250" t="s">
        <v>74</v>
      </c>
      <c r="P250" t="s">
        <v>74</v>
      </c>
      <c r="Q250" t="s">
        <v>74</v>
      </c>
      <c r="R250" t="s">
        <v>74</v>
      </c>
      <c r="S250" t="s">
        <v>74</v>
      </c>
      <c r="T250" t="s">
        <v>5116</v>
      </c>
      <c r="U250" t="s">
        <v>5117</v>
      </c>
      <c r="V250" t="s">
        <v>5118</v>
      </c>
      <c r="W250" t="s">
        <v>5119</v>
      </c>
      <c r="X250" t="s">
        <v>5120</v>
      </c>
      <c r="Y250" t="s">
        <v>5121</v>
      </c>
      <c r="Z250" t="s">
        <v>5122</v>
      </c>
      <c r="AA250" t="s">
        <v>5123</v>
      </c>
      <c r="AB250" t="s">
        <v>5124</v>
      </c>
      <c r="AC250" t="s">
        <v>5125</v>
      </c>
      <c r="AD250" t="s">
        <v>74</v>
      </c>
      <c r="AE250" t="s">
        <v>5126</v>
      </c>
      <c r="AF250" t="s">
        <v>74</v>
      </c>
      <c r="AG250">
        <v>39</v>
      </c>
      <c r="AH250">
        <v>2</v>
      </c>
      <c r="AI250">
        <v>2</v>
      </c>
      <c r="AJ250">
        <v>1</v>
      </c>
      <c r="AK250">
        <v>3</v>
      </c>
      <c r="AL250" t="s">
        <v>5127</v>
      </c>
      <c r="AM250" t="s">
        <v>5128</v>
      </c>
      <c r="AN250" t="s">
        <v>5129</v>
      </c>
      <c r="AO250" t="s">
        <v>5130</v>
      </c>
      <c r="AP250" t="s">
        <v>5131</v>
      </c>
      <c r="AQ250" t="s">
        <v>74</v>
      </c>
      <c r="AR250" t="s">
        <v>5132</v>
      </c>
      <c r="AS250" t="s">
        <v>5133</v>
      </c>
      <c r="AT250" t="s">
        <v>74</v>
      </c>
      <c r="AU250">
        <v>2021</v>
      </c>
      <c r="AV250">
        <v>252</v>
      </c>
      <c r="AW250" t="s">
        <v>74</v>
      </c>
      <c r="AX250" t="s">
        <v>74</v>
      </c>
      <c r="AY250" t="s">
        <v>74</v>
      </c>
      <c r="AZ250" t="s">
        <v>74</v>
      </c>
      <c r="BA250" t="s">
        <v>74</v>
      </c>
      <c r="BB250">
        <v>779</v>
      </c>
      <c r="BC250">
        <v>787</v>
      </c>
      <c r="BD250" t="s">
        <v>74</v>
      </c>
      <c r="BE250" t="s">
        <v>5134</v>
      </c>
      <c r="BF250" t="str">
        <f>HYPERLINK("http://dx.doi.org/10.31897/PMI.2021.6.1","http://dx.doi.org/10.31897/PMI.2021.6.1")</f>
        <v>http://dx.doi.org/10.31897/PMI.2021.6.1</v>
      </c>
      <c r="BG250" t="s">
        <v>74</v>
      </c>
      <c r="BH250" t="s">
        <v>74</v>
      </c>
      <c r="BI250">
        <v>9</v>
      </c>
      <c r="BJ250" t="s">
        <v>5135</v>
      </c>
      <c r="BK250" t="s">
        <v>3050</v>
      </c>
      <c r="BL250" t="s">
        <v>5135</v>
      </c>
      <c r="BM250" t="s">
        <v>5136</v>
      </c>
      <c r="BN250" t="s">
        <v>74</v>
      </c>
      <c r="BO250" t="s">
        <v>159</v>
      </c>
      <c r="BP250" t="s">
        <v>74</v>
      </c>
      <c r="BQ250" t="s">
        <v>74</v>
      </c>
      <c r="BR250" t="s">
        <v>106</v>
      </c>
      <c r="BS250" t="s">
        <v>5137</v>
      </c>
      <c r="BT250" t="str">
        <f>HYPERLINK("https%3A%2F%2Fwww.webofscience.com%2Fwos%2Fwoscc%2Ffull-record%2FWOS:000753955900002","View Full Record in Web of Science")</f>
        <v>View Full Record in Web of Science</v>
      </c>
    </row>
    <row r="251" spans="1:72" x14ac:dyDescent="0.15">
      <c r="A251" t="s">
        <v>72</v>
      </c>
      <c r="B251" t="s">
        <v>5138</v>
      </c>
      <c r="C251" t="s">
        <v>74</v>
      </c>
      <c r="D251" t="s">
        <v>74</v>
      </c>
      <c r="E251" t="s">
        <v>74</v>
      </c>
      <c r="F251" t="s">
        <v>5139</v>
      </c>
      <c r="G251" t="s">
        <v>74</v>
      </c>
      <c r="H251" t="s">
        <v>74</v>
      </c>
      <c r="I251" t="s">
        <v>5140</v>
      </c>
      <c r="J251" t="s">
        <v>5028</v>
      </c>
      <c r="K251" t="s">
        <v>74</v>
      </c>
      <c r="L251" t="s">
        <v>74</v>
      </c>
      <c r="M251" t="s">
        <v>4967</v>
      </c>
      <c r="N251" t="s">
        <v>79</v>
      </c>
      <c r="O251" t="s">
        <v>74</v>
      </c>
      <c r="P251" t="s">
        <v>74</v>
      </c>
      <c r="Q251" t="s">
        <v>74</v>
      </c>
      <c r="R251" t="s">
        <v>74</v>
      </c>
      <c r="S251" t="s">
        <v>74</v>
      </c>
      <c r="T251" t="s">
        <v>5141</v>
      </c>
      <c r="U251" t="s">
        <v>5142</v>
      </c>
      <c r="V251" t="s">
        <v>5143</v>
      </c>
      <c r="W251" t="s">
        <v>5144</v>
      </c>
      <c r="X251" t="s">
        <v>5145</v>
      </c>
      <c r="Y251" t="s">
        <v>5034</v>
      </c>
      <c r="Z251" t="s">
        <v>5146</v>
      </c>
      <c r="AA251" t="s">
        <v>5147</v>
      </c>
      <c r="AB251" t="s">
        <v>5148</v>
      </c>
      <c r="AC251" t="s">
        <v>74</v>
      </c>
      <c r="AD251" t="s">
        <v>74</v>
      </c>
      <c r="AE251" t="s">
        <v>74</v>
      </c>
      <c r="AF251" t="s">
        <v>74</v>
      </c>
      <c r="AG251">
        <v>74</v>
      </c>
      <c r="AH251">
        <v>0</v>
      </c>
      <c r="AI251">
        <v>0</v>
      </c>
      <c r="AJ251">
        <v>0</v>
      </c>
      <c r="AK251">
        <v>1</v>
      </c>
      <c r="AL251" t="s">
        <v>5038</v>
      </c>
      <c r="AM251" t="s">
        <v>5039</v>
      </c>
      <c r="AN251" t="s">
        <v>5040</v>
      </c>
      <c r="AO251" t="s">
        <v>5041</v>
      </c>
      <c r="AP251" t="s">
        <v>74</v>
      </c>
      <c r="AQ251" t="s">
        <v>74</v>
      </c>
      <c r="AR251" t="s">
        <v>5042</v>
      </c>
      <c r="AS251" t="s">
        <v>5043</v>
      </c>
      <c r="AT251" t="s">
        <v>74</v>
      </c>
      <c r="AU251">
        <v>2021</v>
      </c>
      <c r="AV251" t="s">
        <v>74</v>
      </c>
      <c r="AW251">
        <v>3</v>
      </c>
      <c r="AX251" t="s">
        <v>74</v>
      </c>
      <c r="AY251" t="s">
        <v>74</v>
      </c>
      <c r="AZ251" t="s">
        <v>74</v>
      </c>
      <c r="BA251" t="s">
        <v>74</v>
      </c>
      <c r="BB251">
        <v>15</v>
      </c>
      <c r="BC251">
        <v>26</v>
      </c>
      <c r="BD251" t="s">
        <v>74</v>
      </c>
      <c r="BE251" t="s">
        <v>5149</v>
      </c>
      <c r="BF251" t="str">
        <f>HYPERLINK("http://dx.doi.org/10.17721/1728-2713.94.02","http://dx.doi.org/10.17721/1728-2713.94.02")</f>
        <v>http://dx.doi.org/10.17721/1728-2713.94.02</v>
      </c>
      <c r="BG251" t="s">
        <v>74</v>
      </c>
      <c r="BH251" t="s">
        <v>74</v>
      </c>
      <c r="BI251">
        <v>12</v>
      </c>
      <c r="BJ251" t="s">
        <v>402</v>
      </c>
      <c r="BK251" t="s">
        <v>3050</v>
      </c>
      <c r="BL251" t="s">
        <v>402</v>
      </c>
      <c r="BM251" t="s">
        <v>5150</v>
      </c>
      <c r="BN251" t="s">
        <v>74</v>
      </c>
      <c r="BO251" t="s">
        <v>3283</v>
      </c>
      <c r="BP251" t="s">
        <v>74</v>
      </c>
      <c r="BQ251" t="s">
        <v>74</v>
      </c>
      <c r="BR251" t="s">
        <v>106</v>
      </c>
      <c r="BS251" t="s">
        <v>5151</v>
      </c>
      <c r="BT251" t="str">
        <f>HYPERLINK("https%3A%2F%2Fwww.webofscience.com%2Fwos%2Fwoscc%2Ffull-record%2FWOS:000754902300002","View Full Record in Web of Science")</f>
        <v>View Full Record in Web of Science</v>
      </c>
    </row>
    <row r="252" spans="1:72" x14ac:dyDescent="0.15">
      <c r="A252" t="s">
        <v>72</v>
      </c>
      <c r="B252" t="s">
        <v>5152</v>
      </c>
      <c r="C252" t="s">
        <v>74</v>
      </c>
      <c r="D252" t="s">
        <v>74</v>
      </c>
      <c r="E252" t="s">
        <v>74</v>
      </c>
      <c r="F252" t="s">
        <v>5153</v>
      </c>
      <c r="G252" t="s">
        <v>74</v>
      </c>
      <c r="H252" t="s">
        <v>74</v>
      </c>
      <c r="I252" t="s">
        <v>5154</v>
      </c>
      <c r="J252" t="s">
        <v>5155</v>
      </c>
      <c r="K252" t="s">
        <v>74</v>
      </c>
      <c r="L252" t="s">
        <v>74</v>
      </c>
      <c r="M252" t="s">
        <v>78</v>
      </c>
      <c r="N252" t="s">
        <v>79</v>
      </c>
      <c r="O252" t="s">
        <v>74</v>
      </c>
      <c r="P252" t="s">
        <v>74</v>
      </c>
      <c r="Q252" t="s">
        <v>74</v>
      </c>
      <c r="R252" t="s">
        <v>74</v>
      </c>
      <c r="S252" t="s">
        <v>74</v>
      </c>
      <c r="T252" t="s">
        <v>5156</v>
      </c>
      <c r="U252" t="s">
        <v>5157</v>
      </c>
      <c r="V252" t="s">
        <v>5158</v>
      </c>
      <c r="W252" t="s">
        <v>5159</v>
      </c>
      <c r="X252" t="s">
        <v>5160</v>
      </c>
      <c r="Y252" t="s">
        <v>5161</v>
      </c>
      <c r="Z252" t="s">
        <v>5162</v>
      </c>
      <c r="AA252" t="s">
        <v>5163</v>
      </c>
      <c r="AB252" t="s">
        <v>5164</v>
      </c>
      <c r="AC252" t="s">
        <v>5165</v>
      </c>
      <c r="AD252" t="s">
        <v>5166</v>
      </c>
      <c r="AE252" t="s">
        <v>5167</v>
      </c>
      <c r="AF252" t="s">
        <v>74</v>
      </c>
      <c r="AG252">
        <v>65</v>
      </c>
      <c r="AH252">
        <v>10</v>
      </c>
      <c r="AI252">
        <v>10</v>
      </c>
      <c r="AJ252">
        <v>1</v>
      </c>
      <c r="AK252">
        <v>6</v>
      </c>
      <c r="AL252" t="s">
        <v>5168</v>
      </c>
      <c r="AM252" t="s">
        <v>5169</v>
      </c>
      <c r="AN252" t="s">
        <v>5170</v>
      </c>
      <c r="AO252" t="s">
        <v>5171</v>
      </c>
      <c r="AP252" t="s">
        <v>5172</v>
      </c>
      <c r="AQ252" t="s">
        <v>74</v>
      </c>
      <c r="AR252" t="s">
        <v>5155</v>
      </c>
      <c r="AS252" t="s">
        <v>5173</v>
      </c>
      <c r="AT252" t="s">
        <v>74</v>
      </c>
      <c r="AU252">
        <v>2021</v>
      </c>
      <c r="AV252">
        <v>74</v>
      </c>
      <c r="AW252">
        <v>5</v>
      </c>
      <c r="AX252" t="s">
        <v>74</v>
      </c>
      <c r="AY252">
        <v>1</v>
      </c>
      <c r="AZ252" t="s">
        <v>74</v>
      </c>
      <c r="BA252" t="s">
        <v>74</v>
      </c>
      <c r="BB252">
        <v>56</v>
      </c>
      <c r="BC252">
        <v>68</v>
      </c>
      <c r="BD252" t="s">
        <v>74</v>
      </c>
      <c r="BE252" t="s">
        <v>5174</v>
      </c>
      <c r="BF252" t="str">
        <f>HYPERLINK("http://dx.doi.org/10.14430/arctic74330","http://dx.doi.org/10.14430/arctic74330")</f>
        <v>http://dx.doi.org/10.14430/arctic74330</v>
      </c>
      <c r="BG252" t="s">
        <v>74</v>
      </c>
      <c r="BH252" t="s">
        <v>74</v>
      </c>
      <c r="BI252">
        <v>13</v>
      </c>
      <c r="BJ252" t="s">
        <v>3898</v>
      </c>
      <c r="BK252" t="s">
        <v>103</v>
      </c>
      <c r="BL252" t="s">
        <v>3899</v>
      </c>
      <c r="BM252" t="s">
        <v>5175</v>
      </c>
      <c r="BN252" t="s">
        <v>74</v>
      </c>
      <c r="BO252" t="s">
        <v>899</v>
      </c>
      <c r="BP252" t="s">
        <v>74</v>
      </c>
      <c r="BQ252" t="s">
        <v>74</v>
      </c>
      <c r="BR252" t="s">
        <v>106</v>
      </c>
      <c r="BS252" t="s">
        <v>5176</v>
      </c>
      <c r="BT252" t="str">
        <f>HYPERLINK("https%3A%2F%2Fwww.webofscience.com%2Fwos%2Fwoscc%2Ffull-record%2FWOS:000751616800004","View Full Record in Web of Science")</f>
        <v>View Full Record in Web of Science</v>
      </c>
    </row>
    <row r="253" spans="1:72" x14ac:dyDescent="0.15">
      <c r="A253" t="s">
        <v>4589</v>
      </c>
      <c r="B253" t="s">
        <v>5177</v>
      </c>
      <c r="C253" t="s">
        <v>74</v>
      </c>
      <c r="D253" t="s">
        <v>4591</v>
      </c>
      <c r="E253" t="s">
        <v>74</v>
      </c>
      <c r="F253" t="s">
        <v>5178</v>
      </c>
      <c r="G253" t="s">
        <v>74</v>
      </c>
      <c r="H253" t="s">
        <v>74</v>
      </c>
      <c r="I253" t="s">
        <v>5179</v>
      </c>
      <c r="J253" t="s">
        <v>4594</v>
      </c>
      <c r="K253" t="s">
        <v>4595</v>
      </c>
      <c r="L253" t="s">
        <v>74</v>
      </c>
      <c r="M253" t="s">
        <v>78</v>
      </c>
      <c r="N253" t="s">
        <v>4596</v>
      </c>
      <c r="O253" t="s">
        <v>74</v>
      </c>
      <c r="P253" t="s">
        <v>74</v>
      </c>
      <c r="Q253" t="s">
        <v>74</v>
      </c>
      <c r="R253" t="s">
        <v>74</v>
      </c>
      <c r="S253" t="s">
        <v>74</v>
      </c>
      <c r="T253" t="s">
        <v>74</v>
      </c>
      <c r="U253" t="s">
        <v>5180</v>
      </c>
      <c r="V253" t="s">
        <v>5181</v>
      </c>
      <c r="W253" t="s">
        <v>5182</v>
      </c>
      <c r="X253" t="s">
        <v>5183</v>
      </c>
      <c r="Y253" t="s">
        <v>5184</v>
      </c>
      <c r="Z253" t="s">
        <v>5185</v>
      </c>
      <c r="AA253" t="s">
        <v>74</v>
      </c>
      <c r="AB253" t="s">
        <v>74</v>
      </c>
      <c r="AC253" t="s">
        <v>5186</v>
      </c>
      <c r="AD253" t="s">
        <v>5186</v>
      </c>
      <c r="AE253" t="s">
        <v>5187</v>
      </c>
      <c r="AF253" t="s">
        <v>74</v>
      </c>
      <c r="AG253">
        <v>76</v>
      </c>
      <c r="AH253">
        <v>6</v>
      </c>
      <c r="AI253">
        <v>6</v>
      </c>
      <c r="AJ253">
        <v>0</v>
      </c>
      <c r="AK253">
        <v>2</v>
      </c>
      <c r="AL253" t="s">
        <v>4607</v>
      </c>
      <c r="AM253" t="s">
        <v>1914</v>
      </c>
      <c r="AN253" t="s">
        <v>4608</v>
      </c>
      <c r="AO253" t="s">
        <v>4609</v>
      </c>
      <c r="AP253" t="s">
        <v>74</v>
      </c>
      <c r="AQ253" t="s">
        <v>4610</v>
      </c>
      <c r="AR253" t="s">
        <v>4611</v>
      </c>
      <c r="AS253" t="s">
        <v>74</v>
      </c>
      <c r="AT253" t="s">
        <v>74</v>
      </c>
      <c r="AU253">
        <v>2021</v>
      </c>
      <c r="AV253">
        <v>55</v>
      </c>
      <c r="AW253" t="s">
        <v>74</v>
      </c>
      <c r="AX253" t="s">
        <v>74</v>
      </c>
      <c r="AY253" t="s">
        <v>74</v>
      </c>
      <c r="AZ253" t="s">
        <v>74</v>
      </c>
      <c r="BA253" t="s">
        <v>74</v>
      </c>
      <c r="BB253">
        <v>615</v>
      </c>
      <c r="BC253">
        <v>628</v>
      </c>
      <c r="BD253" t="s">
        <v>74</v>
      </c>
      <c r="BE253" t="s">
        <v>5188</v>
      </c>
      <c r="BF253" t="str">
        <f>HYPERLINK("http://dx.doi.org/10.1144/M55-2018-85","http://dx.doi.org/10.1144/M55-2018-85")</f>
        <v>http://dx.doi.org/10.1144/M55-2018-85</v>
      </c>
      <c r="BG253" t="s">
        <v>4613</v>
      </c>
      <c r="BH253" t="s">
        <v>74</v>
      </c>
      <c r="BI253">
        <v>14</v>
      </c>
      <c r="BJ253" t="s">
        <v>4614</v>
      </c>
      <c r="BK253" t="s">
        <v>4615</v>
      </c>
      <c r="BL253" t="s">
        <v>4614</v>
      </c>
      <c r="BM253" t="s">
        <v>4616</v>
      </c>
      <c r="BN253" t="s">
        <v>74</v>
      </c>
      <c r="BO253" t="s">
        <v>74</v>
      </c>
      <c r="BP253" t="s">
        <v>74</v>
      </c>
      <c r="BQ253" t="s">
        <v>74</v>
      </c>
      <c r="BR253" t="s">
        <v>106</v>
      </c>
      <c r="BS253" t="s">
        <v>5189</v>
      </c>
      <c r="BT253" t="str">
        <f>HYPERLINK("https%3A%2F%2Fwww.webofscience.com%2Fwos%2Fwoscc%2Ffull-record%2FWOS:000683732500030","View Full Record in Web of Science")</f>
        <v>View Full Record in Web of Science</v>
      </c>
    </row>
    <row r="254" spans="1:72" x14ac:dyDescent="0.15">
      <c r="A254" t="s">
        <v>72</v>
      </c>
      <c r="B254" t="s">
        <v>5190</v>
      </c>
      <c r="C254" t="s">
        <v>74</v>
      </c>
      <c r="D254" t="s">
        <v>74</v>
      </c>
      <c r="E254" t="s">
        <v>74</v>
      </c>
      <c r="F254" t="s">
        <v>5191</v>
      </c>
      <c r="G254" t="s">
        <v>74</v>
      </c>
      <c r="H254" t="s">
        <v>74</v>
      </c>
      <c r="I254" t="s">
        <v>5192</v>
      </c>
      <c r="J254" t="s">
        <v>5193</v>
      </c>
      <c r="K254" t="s">
        <v>74</v>
      </c>
      <c r="L254" t="s">
        <v>74</v>
      </c>
      <c r="M254" t="s">
        <v>78</v>
      </c>
      <c r="N254" t="s">
        <v>79</v>
      </c>
      <c r="O254" t="s">
        <v>74</v>
      </c>
      <c r="P254" t="s">
        <v>74</v>
      </c>
      <c r="Q254" t="s">
        <v>74</v>
      </c>
      <c r="R254" t="s">
        <v>74</v>
      </c>
      <c r="S254" t="s">
        <v>74</v>
      </c>
      <c r="T254" t="s">
        <v>5194</v>
      </c>
      <c r="U254" t="s">
        <v>5195</v>
      </c>
      <c r="V254" t="s">
        <v>5196</v>
      </c>
      <c r="W254" t="s">
        <v>5197</v>
      </c>
      <c r="X254" t="s">
        <v>5198</v>
      </c>
      <c r="Y254" t="s">
        <v>5199</v>
      </c>
      <c r="Z254" t="s">
        <v>5200</v>
      </c>
      <c r="AA254" t="s">
        <v>5201</v>
      </c>
      <c r="AB254" t="s">
        <v>5202</v>
      </c>
      <c r="AC254" t="s">
        <v>5203</v>
      </c>
      <c r="AD254" t="s">
        <v>5204</v>
      </c>
      <c r="AE254" t="s">
        <v>5205</v>
      </c>
      <c r="AF254" t="s">
        <v>74</v>
      </c>
      <c r="AG254">
        <v>72</v>
      </c>
      <c r="AH254">
        <v>3</v>
      </c>
      <c r="AI254">
        <v>3</v>
      </c>
      <c r="AJ254">
        <v>2</v>
      </c>
      <c r="AK254">
        <v>2</v>
      </c>
      <c r="AL254" t="s">
        <v>446</v>
      </c>
      <c r="AM254" t="s">
        <v>447</v>
      </c>
      <c r="AN254" t="s">
        <v>448</v>
      </c>
      <c r="AO254" t="s">
        <v>5206</v>
      </c>
      <c r="AP254" t="s">
        <v>5207</v>
      </c>
      <c r="AQ254" t="s">
        <v>74</v>
      </c>
      <c r="AR254" t="s">
        <v>5208</v>
      </c>
      <c r="AS254" t="s">
        <v>5209</v>
      </c>
      <c r="AT254" t="s">
        <v>74</v>
      </c>
      <c r="AU254">
        <v>2021</v>
      </c>
      <c r="AV254">
        <v>46</v>
      </c>
      <c r="AW254" t="s">
        <v>74</v>
      </c>
      <c r="AX254" t="s">
        <v>74</v>
      </c>
      <c r="AY254" t="s">
        <v>74</v>
      </c>
      <c r="AZ254" t="s">
        <v>74</v>
      </c>
      <c r="BA254" t="s">
        <v>74</v>
      </c>
      <c r="BB254">
        <v>91</v>
      </c>
      <c r="BC254">
        <v>103</v>
      </c>
      <c r="BD254" t="s">
        <v>74</v>
      </c>
      <c r="BE254" t="s">
        <v>5210</v>
      </c>
      <c r="BF254" t="str">
        <f>HYPERLINK("http://dx.doi.org/10.3354/esr01147","http://dx.doi.org/10.3354/esr01147")</f>
        <v>http://dx.doi.org/10.3354/esr01147</v>
      </c>
      <c r="BG254" t="s">
        <v>74</v>
      </c>
      <c r="BH254" t="s">
        <v>74</v>
      </c>
      <c r="BI254">
        <v>13</v>
      </c>
      <c r="BJ254" t="s">
        <v>5211</v>
      </c>
      <c r="BK254" t="s">
        <v>103</v>
      </c>
      <c r="BL254" t="s">
        <v>5212</v>
      </c>
      <c r="BM254" t="s">
        <v>5213</v>
      </c>
      <c r="BN254" t="s">
        <v>74</v>
      </c>
      <c r="BO254" t="s">
        <v>3137</v>
      </c>
      <c r="BP254" t="s">
        <v>74</v>
      </c>
      <c r="BQ254" t="s">
        <v>74</v>
      </c>
      <c r="BR254" t="s">
        <v>106</v>
      </c>
      <c r="BS254" t="s">
        <v>5214</v>
      </c>
      <c r="BT254" t="str">
        <f>HYPERLINK("https%3A%2F%2Fwww.webofscience.com%2Fwos%2Fwoscc%2Ffull-record%2FWOS:000751741800001","View Full Record in Web of Science")</f>
        <v>View Full Record in Web of Science</v>
      </c>
    </row>
    <row r="255" spans="1:72" x14ac:dyDescent="0.15">
      <c r="A255" t="s">
        <v>72</v>
      </c>
      <c r="B255" t="s">
        <v>5215</v>
      </c>
      <c r="C255" t="s">
        <v>74</v>
      </c>
      <c r="D255" t="s">
        <v>74</v>
      </c>
      <c r="E255" t="s">
        <v>74</v>
      </c>
      <c r="F255" t="s">
        <v>5216</v>
      </c>
      <c r="G255" t="s">
        <v>74</v>
      </c>
      <c r="H255" t="s">
        <v>74</v>
      </c>
      <c r="I255" t="s">
        <v>5217</v>
      </c>
      <c r="J255" t="s">
        <v>5218</v>
      </c>
      <c r="K255" t="s">
        <v>74</v>
      </c>
      <c r="L255" t="s">
        <v>74</v>
      </c>
      <c r="M255" t="s">
        <v>4693</v>
      </c>
      <c r="N255" t="s">
        <v>79</v>
      </c>
      <c r="O255" t="s">
        <v>74</v>
      </c>
      <c r="P255" t="s">
        <v>74</v>
      </c>
      <c r="Q255" t="s">
        <v>74</v>
      </c>
      <c r="R255" t="s">
        <v>74</v>
      </c>
      <c r="S255" t="s">
        <v>74</v>
      </c>
      <c r="T255" t="s">
        <v>5219</v>
      </c>
      <c r="U255" t="s">
        <v>74</v>
      </c>
      <c r="V255" t="s">
        <v>5220</v>
      </c>
      <c r="W255" t="s">
        <v>5221</v>
      </c>
      <c r="X255" t="s">
        <v>5222</v>
      </c>
      <c r="Y255" t="s">
        <v>5223</v>
      </c>
      <c r="Z255" t="s">
        <v>5224</v>
      </c>
      <c r="AA255" t="s">
        <v>74</v>
      </c>
      <c r="AB255" t="s">
        <v>74</v>
      </c>
      <c r="AC255" t="s">
        <v>74</v>
      </c>
      <c r="AD255" t="s">
        <v>74</v>
      </c>
      <c r="AE255" t="s">
        <v>74</v>
      </c>
      <c r="AF255" t="s">
        <v>74</v>
      </c>
      <c r="AG255">
        <v>62</v>
      </c>
      <c r="AH255">
        <v>0</v>
      </c>
      <c r="AI255">
        <v>0</v>
      </c>
      <c r="AJ255">
        <v>1</v>
      </c>
      <c r="AK255">
        <v>4</v>
      </c>
      <c r="AL255" t="s">
        <v>5225</v>
      </c>
      <c r="AM255" t="s">
        <v>5226</v>
      </c>
      <c r="AN255" t="s">
        <v>5227</v>
      </c>
      <c r="AO255" t="s">
        <v>5228</v>
      </c>
      <c r="AP255" t="s">
        <v>74</v>
      </c>
      <c r="AQ255" t="s">
        <v>74</v>
      </c>
      <c r="AR255" t="s">
        <v>5229</v>
      </c>
      <c r="AS255" t="s">
        <v>5230</v>
      </c>
      <c r="AT255" t="s">
        <v>74</v>
      </c>
      <c r="AU255">
        <v>2021</v>
      </c>
      <c r="AV255" t="s">
        <v>74</v>
      </c>
      <c r="AW255">
        <v>47</v>
      </c>
      <c r="AX255" t="s">
        <v>74</v>
      </c>
      <c r="AY255" t="s">
        <v>74</v>
      </c>
      <c r="AZ255" t="s">
        <v>74</v>
      </c>
      <c r="BA255" t="s">
        <v>74</v>
      </c>
      <c r="BB255">
        <v>2</v>
      </c>
      <c r="BC255">
        <v>19</v>
      </c>
      <c r="BD255" t="s">
        <v>74</v>
      </c>
      <c r="BE255" t="s">
        <v>5231</v>
      </c>
      <c r="BF255" t="str">
        <f>HYPERLINK("http://dx.doi.org/10.32995/rev180.Num-47.(2021).art-792","http://dx.doi.org/10.32995/rev180.Num-47.(2021).art-792")</f>
        <v>http://dx.doi.org/10.32995/rev180.Num-47.(2021).art-792</v>
      </c>
      <c r="BG255" t="s">
        <v>74</v>
      </c>
      <c r="BH255" t="s">
        <v>74</v>
      </c>
      <c r="BI255">
        <v>18</v>
      </c>
      <c r="BJ255" t="s">
        <v>5232</v>
      </c>
      <c r="BK255" t="s">
        <v>4339</v>
      </c>
      <c r="BL255" t="s">
        <v>5232</v>
      </c>
      <c r="BM255" t="s">
        <v>5233</v>
      </c>
      <c r="BN255" t="s">
        <v>74</v>
      </c>
      <c r="BO255" t="s">
        <v>1105</v>
      </c>
      <c r="BP255" t="s">
        <v>74</v>
      </c>
      <c r="BQ255" t="s">
        <v>74</v>
      </c>
      <c r="BR255" t="s">
        <v>106</v>
      </c>
      <c r="BS255" t="s">
        <v>5234</v>
      </c>
      <c r="BT255" t="str">
        <f>HYPERLINK("https%3A%2F%2Fwww.webofscience.com%2Fwos%2Fwoscc%2Ffull-record%2FWOS:000744199100004","View Full Record in Web of Science")</f>
        <v>View Full Record in Web of Science</v>
      </c>
    </row>
    <row r="256" spans="1:72" x14ac:dyDescent="0.15">
      <c r="A256" t="s">
        <v>4589</v>
      </c>
      <c r="B256" t="s">
        <v>5235</v>
      </c>
      <c r="C256" t="s">
        <v>74</v>
      </c>
      <c r="D256" t="s">
        <v>5236</v>
      </c>
      <c r="E256" t="s">
        <v>74</v>
      </c>
      <c r="F256" t="s">
        <v>5237</v>
      </c>
      <c r="G256" t="s">
        <v>74</v>
      </c>
      <c r="H256" t="s">
        <v>74</v>
      </c>
      <c r="I256" t="s">
        <v>5238</v>
      </c>
      <c r="J256" t="s">
        <v>5239</v>
      </c>
      <c r="K256" t="s">
        <v>5240</v>
      </c>
      <c r="L256" t="s">
        <v>74</v>
      </c>
      <c r="M256" t="s">
        <v>78</v>
      </c>
      <c r="N256" t="s">
        <v>5241</v>
      </c>
      <c r="O256" t="s">
        <v>74</v>
      </c>
      <c r="P256" t="s">
        <v>74</v>
      </c>
      <c r="Q256" t="s">
        <v>74</v>
      </c>
      <c r="R256" t="s">
        <v>74</v>
      </c>
      <c r="S256" t="s">
        <v>74</v>
      </c>
      <c r="T256" t="s">
        <v>74</v>
      </c>
      <c r="U256" t="s">
        <v>5242</v>
      </c>
      <c r="V256" t="s">
        <v>5243</v>
      </c>
      <c r="W256" t="s">
        <v>5244</v>
      </c>
      <c r="X256" t="s">
        <v>5245</v>
      </c>
      <c r="Y256" t="s">
        <v>5246</v>
      </c>
      <c r="Z256" t="s">
        <v>5247</v>
      </c>
      <c r="AA256" t="s">
        <v>5248</v>
      </c>
      <c r="AB256" t="s">
        <v>5249</v>
      </c>
      <c r="AC256" t="s">
        <v>74</v>
      </c>
      <c r="AD256" t="s">
        <v>74</v>
      </c>
      <c r="AE256" t="s">
        <v>74</v>
      </c>
      <c r="AF256" t="s">
        <v>74</v>
      </c>
      <c r="AG256">
        <v>41</v>
      </c>
      <c r="AH256">
        <v>4</v>
      </c>
      <c r="AI256">
        <v>6</v>
      </c>
      <c r="AJ256">
        <v>3</v>
      </c>
      <c r="AK256">
        <v>11</v>
      </c>
      <c r="AL256" t="s">
        <v>207</v>
      </c>
      <c r="AM256" t="s">
        <v>473</v>
      </c>
      <c r="AN256" t="s">
        <v>5250</v>
      </c>
      <c r="AO256" t="s">
        <v>5251</v>
      </c>
      <c r="AP256" t="s">
        <v>74</v>
      </c>
      <c r="AQ256" t="s">
        <v>5252</v>
      </c>
      <c r="AR256" t="s">
        <v>5253</v>
      </c>
      <c r="AS256" t="s">
        <v>5254</v>
      </c>
      <c r="AT256" t="s">
        <v>74</v>
      </c>
      <c r="AU256">
        <v>2021</v>
      </c>
      <c r="AV256">
        <v>241</v>
      </c>
      <c r="AW256" t="s">
        <v>74</v>
      </c>
      <c r="AX256" t="s">
        <v>74</v>
      </c>
      <c r="AY256" t="s">
        <v>74</v>
      </c>
      <c r="AZ256" t="s">
        <v>74</v>
      </c>
      <c r="BA256" t="s">
        <v>74</v>
      </c>
      <c r="BB256">
        <v>1</v>
      </c>
      <c r="BC256">
        <v>9</v>
      </c>
      <c r="BD256" t="s">
        <v>74</v>
      </c>
      <c r="BE256" t="s">
        <v>5255</v>
      </c>
      <c r="BF256" t="str">
        <f>HYPERLINK("http://dx.doi.org/10.1007/978-3-030-71330-0_1","http://dx.doi.org/10.1007/978-3-030-71330-0_1")</f>
        <v>http://dx.doi.org/10.1007/978-3-030-71330-0_1</v>
      </c>
      <c r="BG256" t="s">
        <v>5256</v>
      </c>
      <c r="BH256" t="s">
        <v>74</v>
      </c>
      <c r="BI256">
        <v>9</v>
      </c>
      <c r="BJ256" t="s">
        <v>1272</v>
      </c>
      <c r="BK256" t="s">
        <v>4615</v>
      </c>
      <c r="BL256" t="s">
        <v>1053</v>
      </c>
      <c r="BM256" t="s">
        <v>5257</v>
      </c>
      <c r="BN256" t="s">
        <v>74</v>
      </c>
      <c r="BO256" t="s">
        <v>74</v>
      </c>
      <c r="BP256" t="s">
        <v>74</v>
      </c>
      <c r="BQ256" t="s">
        <v>74</v>
      </c>
      <c r="BR256" t="s">
        <v>106</v>
      </c>
      <c r="BS256" t="s">
        <v>5258</v>
      </c>
      <c r="BT256" t="str">
        <f>HYPERLINK("https%3A%2F%2Fwww.webofscience.com%2Fwos%2Fwoscc%2Ffull-record%2FWOS:000743588800002","View Full Record in Web of Science")</f>
        <v>View Full Record in Web of Science</v>
      </c>
    </row>
    <row r="257" spans="1:72" x14ac:dyDescent="0.15">
      <c r="A257" t="s">
        <v>4589</v>
      </c>
      <c r="B257" t="s">
        <v>5259</v>
      </c>
      <c r="C257" t="s">
        <v>74</v>
      </c>
      <c r="D257" t="s">
        <v>5236</v>
      </c>
      <c r="E257" t="s">
        <v>74</v>
      </c>
      <c r="F257" t="s">
        <v>5260</v>
      </c>
      <c r="G257" t="s">
        <v>74</v>
      </c>
      <c r="H257" t="s">
        <v>74</v>
      </c>
      <c r="I257" t="s">
        <v>5261</v>
      </c>
      <c r="J257" t="s">
        <v>5239</v>
      </c>
      <c r="K257" t="s">
        <v>5240</v>
      </c>
      <c r="L257" t="s">
        <v>74</v>
      </c>
      <c r="M257" t="s">
        <v>78</v>
      </c>
      <c r="N257" t="s">
        <v>4596</v>
      </c>
      <c r="O257" t="s">
        <v>74</v>
      </c>
      <c r="P257" t="s">
        <v>74</v>
      </c>
      <c r="Q257" t="s">
        <v>74</v>
      </c>
      <c r="R257" t="s">
        <v>74</v>
      </c>
      <c r="S257" t="s">
        <v>74</v>
      </c>
      <c r="T257" t="s">
        <v>74</v>
      </c>
      <c r="U257" t="s">
        <v>5262</v>
      </c>
      <c r="V257" t="s">
        <v>5263</v>
      </c>
      <c r="W257" t="s">
        <v>5264</v>
      </c>
      <c r="X257" t="s">
        <v>5265</v>
      </c>
      <c r="Y257" t="s">
        <v>5266</v>
      </c>
      <c r="Z257" t="s">
        <v>5267</v>
      </c>
      <c r="AA257" t="s">
        <v>5268</v>
      </c>
      <c r="AB257" t="s">
        <v>5269</v>
      </c>
      <c r="AC257" t="s">
        <v>74</v>
      </c>
      <c r="AD257" t="s">
        <v>74</v>
      </c>
      <c r="AE257" t="s">
        <v>74</v>
      </c>
      <c r="AF257" t="s">
        <v>74</v>
      </c>
      <c r="AG257">
        <v>45</v>
      </c>
      <c r="AH257">
        <v>4</v>
      </c>
      <c r="AI257">
        <v>4</v>
      </c>
      <c r="AJ257">
        <v>5</v>
      </c>
      <c r="AK257">
        <v>12</v>
      </c>
      <c r="AL257" t="s">
        <v>207</v>
      </c>
      <c r="AM257" t="s">
        <v>473</v>
      </c>
      <c r="AN257" t="s">
        <v>5250</v>
      </c>
      <c r="AO257" t="s">
        <v>5251</v>
      </c>
      <c r="AP257" t="s">
        <v>74</v>
      </c>
      <c r="AQ257" t="s">
        <v>5252</v>
      </c>
      <c r="AR257" t="s">
        <v>5253</v>
      </c>
      <c r="AS257" t="s">
        <v>5254</v>
      </c>
      <c r="AT257" t="s">
        <v>74</v>
      </c>
      <c r="AU257">
        <v>2021</v>
      </c>
      <c r="AV257">
        <v>241</v>
      </c>
      <c r="AW257" t="s">
        <v>74</v>
      </c>
      <c r="AX257" t="s">
        <v>74</v>
      </c>
      <c r="AY257" t="s">
        <v>74</v>
      </c>
      <c r="AZ257" t="s">
        <v>74</v>
      </c>
      <c r="BA257" t="s">
        <v>74</v>
      </c>
      <c r="BB257">
        <v>13</v>
      </c>
      <c r="BC257">
        <v>25</v>
      </c>
      <c r="BD257" t="s">
        <v>74</v>
      </c>
      <c r="BE257" t="s">
        <v>5270</v>
      </c>
      <c r="BF257" t="str">
        <f>HYPERLINK("http://dx.doi.org/10.1007/978-3-030-71330-0_2","http://dx.doi.org/10.1007/978-3-030-71330-0_2")</f>
        <v>http://dx.doi.org/10.1007/978-3-030-71330-0_2</v>
      </c>
      <c r="BG257" t="s">
        <v>5256</v>
      </c>
      <c r="BH257" t="s">
        <v>74</v>
      </c>
      <c r="BI257">
        <v>13</v>
      </c>
      <c r="BJ257" t="s">
        <v>1272</v>
      </c>
      <c r="BK257" t="s">
        <v>4615</v>
      </c>
      <c r="BL257" t="s">
        <v>1053</v>
      </c>
      <c r="BM257" t="s">
        <v>5257</v>
      </c>
      <c r="BN257" t="s">
        <v>74</v>
      </c>
      <c r="BO257" t="s">
        <v>74</v>
      </c>
      <c r="BP257" t="s">
        <v>74</v>
      </c>
      <c r="BQ257" t="s">
        <v>74</v>
      </c>
      <c r="BR257" t="s">
        <v>106</v>
      </c>
      <c r="BS257" t="s">
        <v>5271</v>
      </c>
      <c r="BT257" t="str">
        <f>HYPERLINK("https%3A%2F%2Fwww.webofscience.com%2Fwos%2Fwoscc%2Ffull-record%2FWOS:000743588800003","View Full Record in Web of Science")</f>
        <v>View Full Record in Web of Science</v>
      </c>
    </row>
    <row r="258" spans="1:72" x14ac:dyDescent="0.15">
      <c r="A258" t="s">
        <v>72</v>
      </c>
      <c r="B258" t="s">
        <v>5272</v>
      </c>
      <c r="C258" t="s">
        <v>74</v>
      </c>
      <c r="D258" t="s">
        <v>74</v>
      </c>
      <c r="E258" t="s">
        <v>74</v>
      </c>
      <c r="F258" t="s">
        <v>5273</v>
      </c>
      <c r="G258" t="s">
        <v>74</v>
      </c>
      <c r="H258" t="s">
        <v>74</v>
      </c>
      <c r="I258" t="s">
        <v>5274</v>
      </c>
      <c r="J258" t="s">
        <v>5275</v>
      </c>
      <c r="K258" t="s">
        <v>74</v>
      </c>
      <c r="L258" t="s">
        <v>74</v>
      </c>
      <c r="M258" t="s">
        <v>78</v>
      </c>
      <c r="N258" t="s">
        <v>79</v>
      </c>
      <c r="O258" t="s">
        <v>74</v>
      </c>
      <c r="P258" t="s">
        <v>74</v>
      </c>
      <c r="Q258" t="s">
        <v>74</v>
      </c>
      <c r="R258" t="s">
        <v>74</v>
      </c>
      <c r="S258" t="s">
        <v>74</v>
      </c>
      <c r="T258" t="s">
        <v>5276</v>
      </c>
      <c r="U258" t="s">
        <v>5277</v>
      </c>
      <c r="V258" t="s">
        <v>5278</v>
      </c>
      <c r="W258" t="s">
        <v>5279</v>
      </c>
      <c r="X258" t="s">
        <v>5280</v>
      </c>
      <c r="Y258" t="s">
        <v>5281</v>
      </c>
      <c r="Z258" t="s">
        <v>5282</v>
      </c>
      <c r="AA258" t="s">
        <v>74</v>
      </c>
      <c r="AB258" t="s">
        <v>74</v>
      </c>
      <c r="AC258" t="s">
        <v>5283</v>
      </c>
      <c r="AD258" t="s">
        <v>5284</v>
      </c>
      <c r="AE258" t="s">
        <v>5285</v>
      </c>
      <c r="AF258" t="s">
        <v>74</v>
      </c>
      <c r="AG258">
        <v>43</v>
      </c>
      <c r="AH258">
        <v>0</v>
      </c>
      <c r="AI258">
        <v>0</v>
      </c>
      <c r="AJ258">
        <v>0</v>
      </c>
      <c r="AK258">
        <v>3</v>
      </c>
      <c r="AL258" t="s">
        <v>5286</v>
      </c>
      <c r="AM258" t="s">
        <v>5287</v>
      </c>
      <c r="AN258" t="s">
        <v>5288</v>
      </c>
      <c r="AO258" t="s">
        <v>5289</v>
      </c>
      <c r="AP258" t="s">
        <v>5290</v>
      </c>
      <c r="AQ258" t="s">
        <v>74</v>
      </c>
      <c r="AR258" t="s">
        <v>5275</v>
      </c>
      <c r="AS258" t="s">
        <v>5291</v>
      </c>
      <c r="AT258" t="s">
        <v>74</v>
      </c>
      <c r="AU258">
        <v>2021</v>
      </c>
      <c r="AV258">
        <v>38</v>
      </c>
      <c r="AW258">
        <v>2</v>
      </c>
      <c r="AX258" t="s">
        <v>74</v>
      </c>
      <c r="AY258" t="s">
        <v>74</v>
      </c>
      <c r="AZ258" t="s">
        <v>74</v>
      </c>
      <c r="BA258" t="s">
        <v>74</v>
      </c>
      <c r="BB258">
        <v>211</v>
      </c>
      <c r="BC258">
        <v>218</v>
      </c>
      <c r="BD258" t="s">
        <v>74</v>
      </c>
      <c r="BE258" t="s">
        <v>5292</v>
      </c>
      <c r="BF258" t="str">
        <f>HYPERLINK("http://dx.doi.org/10.12714/egejfas.38.2.10","http://dx.doi.org/10.12714/egejfas.38.2.10")</f>
        <v>http://dx.doi.org/10.12714/egejfas.38.2.10</v>
      </c>
      <c r="BG258" t="s">
        <v>74</v>
      </c>
      <c r="BH258" t="s">
        <v>74</v>
      </c>
      <c r="BI258">
        <v>8</v>
      </c>
      <c r="BJ258" t="s">
        <v>584</v>
      </c>
      <c r="BK258" t="s">
        <v>3050</v>
      </c>
      <c r="BL258" t="s">
        <v>584</v>
      </c>
      <c r="BM258" t="s">
        <v>5293</v>
      </c>
      <c r="BN258" t="s">
        <v>74</v>
      </c>
      <c r="BO258" t="s">
        <v>326</v>
      </c>
      <c r="BP258" t="s">
        <v>74</v>
      </c>
      <c r="BQ258" t="s">
        <v>74</v>
      </c>
      <c r="BR258" t="s">
        <v>106</v>
      </c>
      <c r="BS258" t="s">
        <v>5294</v>
      </c>
      <c r="BT258" t="str">
        <f>HYPERLINK("https%3A%2F%2Fwww.webofscience.com%2Fwos%2Fwoscc%2Ffull-record%2FWOS:000745059200010","View Full Record in Web of Science")</f>
        <v>View Full Record in Web of Science</v>
      </c>
    </row>
    <row r="259" spans="1:72" x14ac:dyDescent="0.15">
      <c r="A259" t="s">
        <v>72</v>
      </c>
      <c r="B259" t="s">
        <v>5295</v>
      </c>
      <c r="C259" t="s">
        <v>74</v>
      </c>
      <c r="D259" t="s">
        <v>74</v>
      </c>
      <c r="E259" t="s">
        <v>74</v>
      </c>
      <c r="F259" t="s">
        <v>5296</v>
      </c>
      <c r="G259" t="s">
        <v>74</v>
      </c>
      <c r="H259" t="s">
        <v>74</v>
      </c>
      <c r="I259" t="s">
        <v>5297</v>
      </c>
      <c r="J259" t="s">
        <v>5298</v>
      </c>
      <c r="K259" t="s">
        <v>74</v>
      </c>
      <c r="L259" t="s">
        <v>74</v>
      </c>
      <c r="M259" t="s">
        <v>78</v>
      </c>
      <c r="N259" t="s">
        <v>79</v>
      </c>
      <c r="O259" t="s">
        <v>74</v>
      </c>
      <c r="P259" t="s">
        <v>74</v>
      </c>
      <c r="Q259" t="s">
        <v>74</v>
      </c>
      <c r="R259" t="s">
        <v>74</v>
      </c>
      <c r="S259" t="s">
        <v>74</v>
      </c>
      <c r="T259" t="s">
        <v>5299</v>
      </c>
      <c r="U259" t="s">
        <v>74</v>
      </c>
      <c r="V259" t="s">
        <v>5300</v>
      </c>
      <c r="W259" t="s">
        <v>5301</v>
      </c>
      <c r="X259" t="s">
        <v>5302</v>
      </c>
      <c r="Y259" t="s">
        <v>5303</v>
      </c>
      <c r="Z259" t="s">
        <v>5304</v>
      </c>
      <c r="AA259" t="s">
        <v>5305</v>
      </c>
      <c r="AB259" t="s">
        <v>74</v>
      </c>
      <c r="AC259" t="s">
        <v>74</v>
      </c>
      <c r="AD259" t="s">
        <v>74</v>
      </c>
      <c r="AE259" t="s">
        <v>74</v>
      </c>
      <c r="AF259" t="s">
        <v>74</v>
      </c>
      <c r="AG259">
        <v>22</v>
      </c>
      <c r="AH259">
        <v>0</v>
      </c>
      <c r="AI259">
        <v>0</v>
      </c>
      <c r="AJ259">
        <v>0</v>
      </c>
      <c r="AK259">
        <v>1</v>
      </c>
      <c r="AL259" t="s">
        <v>5306</v>
      </c>
      <c r="AM259" t="s">
        <v>5307</v>
      </c>
      <c r="AN259" t="s">
        <v>5308</v>
      </c>
      <c r="AO259" t="s">
        <v>5309</v>
      </c>
      <c r="AP259" t="s">
        <v>5310</v>
      </c>
      <c r="AQ259" t="s">
        <v>74</v>
      </c>
      <c r="AR259" t="s">
        <v>5311</v>
      </c>
      <c r="AS259" t="s">
        <v>5312</v>
      </c>
      <c r="AT259" t="s">
        <v>374</v>
      </c>
      <c r="AU259">
        <v>2021</v>
      </c>
      <c r="AV259">
        <v>38</v>
      </c>
      <c r="AW259">
        <v>2</v>
      </c>
      <c r="AX259" t="s">
        <v>74</v>
      </c>
      <c r="AY259" t="s">
        <v>74</v>
      </c>
      <c r="AZ259" t="s">
        <v>74</v>
      </c>
      <c r="BA259" t="s">
        <v>74</v>
      </c>
      <c r="BB259">
        <v>109</v>
      </c>
      <c r="BC259">
        <v>112</v>
      </c>
      <c r="BD259" t="s">
        <v>74</v>
      </c>
      <c r="BE259" t="s">
        <v>5313</v>
      </c>
      <c r="BF259" t="str">
        <f>HYPERLINK("http://dx.doi.org/10.4003/006.038.0205","http://dx.doi.org/10.4003/006.038.0205")</f>
        <v>http://dx.doi.org/10.4003/006.038.0205</v>
      </c>
      <c r="BG259" t="s">
        <v>74</v>
      </c>
      <c r="BH259" t="s">
        <v>74</v>
      </c>
      <c r="BI259">
        <v>4</v>
      </c>
      <c r="BJ259" t="s">
        <v>3209</v>
      </c>
      <c r="BK259" t="s">
        <v>103</v>
      </c>
      <c r="BL259" t="s">
        <v>3209</v>
      </c>
      <c r="BM259" t="s">
        <v>5314</v>
      </c>
      <c r="BN259" t="s">
        <v>74</v>
      </c>
      <c r="BO259" t="s">
        <v>74</v>
      </c>
      <c r="BP259" t="s">
        <v>74</v>
      </c>
      <c r="BQ259" t="s">
        <v>74</v>
      </c>
      <c r="BR259" t="s">
        <v>106</v>
      </c>
      <c r="BS259" t="s">
        <v>5315</v>
      </c>
      <c r="BT259" t="str">
        <f>HYPERLINK("https%3A%2F%2Fwww.webofscience.com%2Fwos%2Fwoscc%2Ffull-record%2FWOS:000743410100005","View Full Record in Web of Science")</f>
        <v>View Full Record in Web of Science</v>
      </c>
    </row>
    <row r="260" spans="1:72" x14ac:dyDescent="0.15">
      <c r="A260" t="s">
        <v>72</v>
      </c>
      <c r="B260" t="s">
        <v>5316</v>
      </c>
      <c r="C260" t="s">
        <v>74</v>
      </c>
      <c r="D260" t="s">
        <v>74</v>
      </c>
      <c r="E260" t="s">
        <v>74</v>
      </c>
      <c r="F260" t="s">
        <v>5317</v>
      </c>
      <c r="G260" t="s">
        <v>74</v>
      </c>
      <c r="H260" t="s">
        <v>74</v>
      </c>
      <c r="I260" t="s">
        <v>5318</v>
      </c>
      <c r="J260" t="s">
        <v>5319</v>
      </c>
      <c r="K260" t="s">
        <v>74</v>
      </c>
      <c r="L260" t="s">
        <v>74</v>
      </c>
      <c r="M260" t="s">
        <v>78</v>
      </c>
      <c r="N260" t="s">
        <v>79</v>
      </c>
      <c r="O260" t="s">
        <v>74</v>
      </c>
      <c r="P260" t="s">
        <v>74</v>
      </c>
      <c r="Q260" t="s">
        <v>74</v>
      </c>
      <c r="R260" t="s">
        <v>74</v>
      </c>
      <c r="S260" t="s">
        <v>74</v>
      </c>
      <c r="T260" t="s">
        <v>5320</v>
      </c>
      <c r="U260" t="s">
        <v>5321</v>
      </c>
      <c r="V260" t="s">
        <v>5322</v>
      </c>
      <c r="W260" t="s">
        <v>5323</v>
      </c>
      <c r="X260" t="s">
        <v>5324</v>
      </c>
      <c r="Y260" t="s">
        <v>5325</v>
      </c>
      <c r="Z260" t="s">
        <v>5326</v>
      </c>
      <c r="AA260" t="s">
        <v>5327</v>
      </c>
      <c r="AB260" t="s">
        <v>5328</v>
      </c>
      <c r="AC260" t="s">
        <v>5329</v>
      </c>
      <c r="AD260" t="s">
        <v>5330</v>
      </c>
      <c r="AE260" t="s">
        <v>5331</v>
      </c>
      <c r="AF260" t="s">
        <v>74</v>
      </c>
      <c r="AG260">
        <v>32</v>
      </c>
      <c r="AH260">
        <v>1</v>
      </c>
      <c r="AI260">
        <v>1</v>
      </c>
      <c r="AJ260">
        <v>2</v>
      </c>
      <c r="AK260">
        <v>4</v>
      </c>
      <c r="AL260" t="s">
        <v>5332</v>
      </c>
      <c r="AM260" t="s">
        <v>5333</v>
      </c>
      <c r="AN260" t="s">
        <v>5334</v>
      </c>
      <c r="AO260" t="s">
        <v>5335</v>
      </c>
      <c r="AP260" t="s">
        <v>5336</v>
      </c>
      <c r="AQ260" t="s">
        <v>74</v>
      </c>
      <c r="AR260" t="s">
        <v>5337</v>
      </c>
      <c r="AS260" t="s">
        <v>5338</v>
      </c>
      <c r="AT260" t="s">
        <v>74</v>
      </c>
      <c r="AU260">
        <v>2021</v>
      </c>
      <c r="AV260">
        <v>56</v>
      </c>
      <c r="AW260">
        <v>2</v>
      </c>
      <c r="AX260" t="s">
        <v>74</v>
      </c>
      <c r="AY260" t="s">
        <v>74</v>
      </c>
      <c r="AZ260" t="s">
        <v>74</v>
      </c>
      <c r="BA260" t="s">
        <v>74</v>
      </c>
      <c r="BB260">
        <v>151</v>
      </c>
      <c r="BC260">
        <v>156</v>
      </c>
      <c r="BD260" t="s">
        <v>74</v>
      </c>
      <c r="BE260" t="s">
        <v>5339</v>
      </c>
      <c r="BF260" t="str">
        <f>HYPERLINK("http://dx.doi.org/10.22370/rbmo.2021.56.2.3059","http://dx.doi.org/10.22370/rbmo.2021.56.2.3059")</f>
        <v>http://dx.doi.org/10.22370/rbmo.2021.56.2.3059</v>
      </c>
      <c r="BG260" t="s">
        <v>74</v>
      </c>
      <c r="BH260" t="s">
        <v>74</v>
      </c>
      <c r="BI260">
        <v>6</v>
      </c>
      <c r="BJ260" t="s">
        <v>3281</v>
      </c>
      <c r="BK260" t="s">
        <v>103</v>
      </c>
      <c r="BL260" t="s">
        <v>3281</v>
      </c>
      <c r="BM260" t="s">
        <v>5340</v>
      </c>
      <c r="BN260" t="s">
        <v>74</v>
      </c>
      <c r="BO260" t="s">
        <v>5341</v>
      </c>
      <c r="BP260" t="s">
        <v>74</v>
      </c>
      <c r="BQ260" t="s">
        <v>74</v>
      </c>
      <c r="BR260" t="s">
        <v>106</v>
      </c>
      <c r="BS260" t="s">
        <v>5342</v>
      </c>
      <c r="BT260" t="str">
        <f>HYPERLINK("https%3A%2F%2Fwww.webofscience.com%2Fwos%2Fwoscc%2Ffull-record%2FWOS:000742398200007","View Full Record in Web of Science")</f>
        <v>View Full Record in Web of Science</v>
      </c>
    </row>
    <row r="261" spans="1:72" x14ac:dyDescent="0.15">
      <c r="A261" t="s">
        <v>72</v>
      </c>
      <c r="B261" t="s">
        <v>5343</v>
      </c>
      <c r="C261" t="s">
        <v>74</v>
      </c>
      <c r="D261" t="s">
        <v>74</v>
      </c>
      <c r="E261" t="s">
        <v>74</v>
      </c>
      <c r="F261" t="s">
        <v>5344</v>
      </c>
      <c r="G261" t="s">
        <v>74</v>
      </c>
      <c r="H261" t="s">
        <v>74</v>
      </c>
      <c r="I261" t="s">
        <v>5345</v>
      </c>
      <c r="J261" t="s">
        <v>5346</v>
      </c>
      <c r="K261" t="s">
        <v>74</v>
      </c>
      <c r="L261" t="s">
        <v>74</v>
      </c>
      <c r="M261" t="s">
        <v>5347</v>
      </c>
      <c r="N261" t="s">
        <v>79</v>
      </c>
      <c r="O261" t="s">
        <v>74</v>
      </c>
      <c r="P261" t="s">
        <v>74</v>
      </c>
      <c r="Q261" t="s">
        <v>74</v>
      </c>
      <c r="R261" t="s">
        <v>74</v>
      </c>
      <c r="S261" t="s">
        <v>74</v>
      </c>
      <c r="T261" t="s">
        <v>5348</v>
      </c>
      <c r="U261" t="s">
        <v>5349</v>
      </c>
      <c r="V261" t="s">
        <v>5350</v>
      </c>
      <c r="W261" t="s">
        <v>5351</v>
      </c>
      <c r="X261" t="s">
        <v>5352</v>
      </c>
      <c r="Y261" t="s">
        <v>5353</v>
      </c>
      <c r="Z261" t="s">
        <v>5354</v>
      </c>
      <c r="AA261" t="s">
        <v>5355</v>
      </c>
      <c r="AB261" t="s">
        <v>5356</v>
      </c>
      <c r="AC261" t="s">
        <v>74</v>
      </c>
      <c r="AD261" t="s">
        <v>74</v>
      </c>
      <c r="AE261" t="s">
        <v>74</v>
      </c>
      <c r="AF261" t="s">
        <v>74</v>
      </c>
      <c r="AG261">
        <v>42</v>
      </c>
      <c r="AH261">
        <v>1</v>
      </c>
      <c r="AI261">
        <v>1</v>
      </c>
      <c r="AJ261">
        <v>0</v>
      </c>
      <c r="AK261">
        <v>8</v>
      </c>
      <c r="AL261" t="s">
        <v>1096</v>
      </c>
      <c r="AM261" t="s">
        <v>5357</v>
      </c>
      <c r="AN261" t="s">
        <v>5358</v>
      </c>
      <c r="AO261" t="s">
        <v>5359</v>
      </c>
      <c r="AP261" t="s">
        <v>5360</v>
      </c>
      <c r="AQ261" t="s">
        <v>74</v>
      </c>
      <c r="AR261" t="s">
        <v>5361</v>
      </c>
      <c r="AS261" t="s">
        <v>5362</v>
      </c>
      <c r="AT261" t="s">
        <v>74</v>
      </c>
      <c r="AU261">
        <v>2021</v>
      </c>
      <c r="AV261">
        <v>66</v>
      </c>
      <c r="AW261">
        <v>36</v>
      </c>
      <c r="AX261" t="s">
        <v>74</v>
      </c>
      <c r="AY261" t="s">
        <v>74</v>
      </c>
      <c r="AZ261" t="s">
        <v>74</v>
      </c>
      <c r="BA261" t="s">
        <v>74</v>
      </c>
      <c r="BB261">
        <v>4691</v>
      </c>
      <c r="BC261">
        <v>4699</v>
      </c>
      <c r="BD261" t="s">
        <v>74</v>
      </c>
      <c r="BE261" t="s">
        <v>5363</v>
      </c>
      <c r="BF261" t="str">
        <f>HYPERLINK("http://dx.doi.org/10.1360/TB-2021-0773","http://dx.doi.org/10.1360/TB-2021-0773")</f>
        <v>http://dx.doi.org/10.1360/TB-2021-0773</v>
      </c>
      <c r="BG261" t="s">
        <v>74</v>
      </c>
      <c r="BH261" t="s">
        <v>74</v>
      </c>
      <c r="BI261">
        <v>9</v>
      </c>
      <c r="BJ261" t="s">
        <v>534</v>
      </c>
      <c r="BK261" t="s">
        <v>3050</v>
      </c>
      <c r="BL261" t="s">
        <v>535</v>
      </c>
      <c r="BM261" t="s">
        <v>5364</v>
      </c>
      <c r="BN261" t="s">
        <v>74</v>
      </c>
      <c r="BO261" t="s">
        <v>74</v>
      </c>
      <c r="BP261" t="s">
        <v>74</v>
      </c>
      <c r="BQ261" t="s">
        <v>74</v>
      </c>
      <c r="BR261" t="s">
        <v>106</v>
      </c>
      <c r="BS261" t="s">
        <v>5365</v>
      </c>
      <c r="BT261" t="str">
        <f>HYPERLINK("https%3A%2F%2Fwww.webofscience.com%2Fwos%2Fwoscc%2Ffull-record%2FWOS:000739336100009","View Full Record in Web of Science")</f>
        <v>View Full Record in Web of Science</v>
      </c>
    </row>
    <row r="262" spans="1:72" x14ac:dyDescent="0.15">
      <c r="A262" t="s">
        <v>72</v>
      </c>
      <c r="B262" t="s">
        <v>5366</v>
      </c>
      <c r="C262" t="s">
        <v>74</v>
      </c>
      <c r="D262" t="s">
        <v>74</v>
      </c>
      <c r="E262" t="s">
        <v>74</v>
      </c>
      <c r="F262" t="s">
        <v>5367</v>
      </c>
      <c r="G262" t="s">
        <v>74</v>
      </c>
      <c r="H262" t="s">
        <v>74</v>
      </c>
      <c r="I262" t="s">
        <v>5368</v>
      </c>
      <c r="J262" t="s">
        <v>5369</v>
      </c>
      <c r="K262" t="s">
        <v>74</v>
      </c>
      <c r="L262" t="s">
        <v>74</v>
      </c>
      <c r="M262" t="s">
        <v>78</v>
      </c>
      <c r="N262" t="s">
        <v>79</v>
      </c>
      <c r="O262" t="s">
        <v>74</v>
      </c>
      <c r="P262" t="s">
        <v>74</v>
      </c>
      <c r="Q262" t="s">
        <v>74</v>
      </c>
      <c r="R262" t="s">
        <v>74</v>
      </c>
      <c r="S262" t="s">
        <v>74</v>
      </c>
      <c r="T262" t="s">
        <v>5370</v>
      </c>
      <c r="U262" t="s">
        <v>5371</v>
      </c>
      <c r="V262" t="s">
        <v>5372</v>
      </c>
      <c r="W262" t="s">
        <v>5373</v>
      </c>
      <c r="X262" t="s">
        <v>5374</v>
      </c>
      <c r="Y262" t="s">
        <v>5375</v>
      </c>
      <c r="Z262" t="s">
        <v>5376</v>
      </c>
      <c r="AA262" t="s">
        <v>5377</v>
      </c>
      <c r="AB262" t="s">
        <v>5378</v>
      </c>
      <c r="AC262" t="s">
        <v>5379</v>
      </c>
      <c r="AD262" t="s">
        <v>5380</v>
      </c>
      <c r="AE262" t="s">
        <v>5381</v>
      </c>
      <c r="AF262" t="s">
        <v>74</v>
      </c>
      <c r="AG262">
        <v>29</v>
      </c>
      <c r="AH262">
        <v>1</v>
      </c>
      <c r="AI262">
        <v>1</v>
      </c>
      <c r="AJ262">
        <v>0</v>
      </c>
      <c r="AK262">
        <v>2</v>
      </c>
      <c r="AL262" t="s">
        <v>5382</v>
      </c>
      <c r="AM262" t="s">
        <v>5383</v>
      </c>
      <c r="AN262" t="s">
        <v>5384</v>
      </c>
      <c r="AO262" t="s">
        <v>5385</v>
      </c>
      <c r="AP262" t="s">
        <v>5386</v>
      </c>
      <c r="AQ262" t="s">
        <v>74</v>
      </c>
      <c r="AR262" t="s">
        <v>5387</v>
      </c>
      <c r="AS262" t="s">
        <v>5388</v>
      </c>
      <c r="AT262" t="s">
        <v>74</v>
      </c>
      <c r="AU262">
        <v>2021</v>
      </c>
      <c r="AV262">
        <v>13</v>
      </c>
      <c r="AW262">
        <v>4</v>
      </c>
      <c r="AX262" t="s">
        <v>74</v>
      </c>
      <c r="AY262" t="s">
        <v>74</v>
      </c>
      <c r="AZ262" t="s">
        <v>74</v>
      </c>
      <c r="BA262" t="s">
        <v>74</v>
      </c>
      <c r="BB262">
        <v>24</v>
      </c>
      <c r="BC262">
        <v>34</v>
      </c>
      <c r="BD262" t="s">
        <v>74</v>
      </c>
      <c r="BE262" t="s">
        <v>5389</v>
      </c>
      <c r="BF262" t="str">
        <f>HYPERLINK("http://dx.doi.org/10.34302/crpjfst/2021.13.4.3","http://dx.doi.org/10.34302/crpjfst/2021.13.4.3")</f>
        <v>http://dx.doi.org/10.34302/crpjfst/2021.13.4.3</v>
      </c>
      <c r="BG262" t="s">
        <v>74</v>
      </c>
      <c r="BH262" t="s">
        <v>74</v>
      </c>
      <c r="BI262">
        <v>11</v>
      </c>
      <c r="BJ262" t="s">
        <v>5390</v>
      </c>
      <c r="BK262" t="s">
        <v>3050</v>
      </c>
      <c r="BL262" t="s">
        <v>5390</v>
      </c>
      <c r="BM262" t="s">
        <v>5391</v>
      </c>
      <c r="BN262" t="s">
        <v>74</v>
      </c>
      <c r="BO262" t="s">
        <v>326</v>
      </c>
      <c r="BP262" t="s">
        <v>74</v>
      </c>
      <c r="BQ262" t="s">
        <v>74</v>
      </c>
      <c r="BR262" t="s">
        <v>106</v>
      </c>
      <c r="BS262" t="s">
        <v>5392</v>
      </c>
      <c r="BT262" t="str">
        <f>HYPERLINK("https%3A%2F%2Fwww.webofscience.com%2Fwos%2Fwoscc%2Ffull-record%2FWOS:000739206200003","View Full Record in Web of Science")</f>
        <v>View Full Record in Web of Science</v>
      </c>
    </row>
    <row r="263" spans="1:72" x14ac:dyDescent="0.15">
      <c r="A263" t="s">
        <v>72</v>
      </c>
      <c r="B263" t="s">
        <v>5393</v>
      </c>
      <c r="C263" t="s">
        <v>74</v>
      </c>
      <c r="D263" t="s">
        <v>74</v>
      </c>
      <c r="E263" t="s">
        <v>74</v>
      </c>
      <c r="F263" t="s">
        <v>5394</v>
      </c>
      <c r="G263" t="s">
        <v>74</v>
      </c>
      <c r="H263" t="s">
        <v>74</v>
      </c>
      <c r="I263" t="s">
        <v>5395</v>
      </c>
      <c r="J263" t="s">
        <v>5396</v>
      </c>
      <c r="K263" t="s">
        <v>74</v>
      </c>
      <c r="L263" t="s">
        <v>74</v>
      </c>
      <c r="M263" t="s">
        <v>78</v>
      </c>
      <c r="N263" t="s">
        <v>79</v>
      </c>
      <c r="O263" t="s">
        <v>74</v>
      </c>
      <c r="P263" t="s">
        <v>74</v>
      </c>
      <c r="Q263" t="s">
        <v>74</v>
      </c>
      <c r="R263" t="s">
        <v>74</v>
      </c>
      <c r="S263" t="s">
        <v>74</v>
      </c>
      <c r="T263" t="s">
        <v>5397</v>
      </c>
      <c r="U263" t="s">
        <v>5398</v>
      </c>
      <c r="V263" t="s">
        <v>5399</v>
      </c>
      <c r="W263" t="s">
        <v>5400</v>
      </c>
      <c r="X263" t="s">
        <v>5401</v>
      </c>
      <c r="Y263" t="s">
        <v>5402</v>
      </c>
      <c r="Z263" t="s">
        <v>5403</v>
      </c>
      <c r="AA263" t="s">
        <v>5404</v>
      </c>
      <c r="AB263" t="s">
        <v>5405</v>
      </c>
      <c r="AC263" t="s">
        <v>5406</v>
      </c>
      <c r="AD263" t="s">
        <v>5407</v>
      </c>
      <c r="AE263" t="s">
        <v>5408</v>
      </c>
      <c r="AF263" t="s">
        <v>74</v>
      </c>
      <c r="AG263">
        <v>237</v>
      </c>
      <c r="AH263">
        <v>11</v>
      </c>
      <c r="AI263">
        <v>12</v>
      </c>
      <c r="AJ263">
        <v>2</v>
      </c>
      <c r="AK263">
        <v>10</v>
      </c>
      <c r="AL263" t="s">
        <v>5409</v>
      </c>
      <c r="AM263" t="s">
        <v>5410</v>
      </c>
      <c r="AN263" t="s">
        <v>5411</v>
      </c>
      <c r="AO263" t="s">
        <v>5412</v>
      </c>
      <c r="AP263" t="s">
        <v>5413</v>
      </c>
      <c r="AQ263" t="s">
        <v>74</v>
      </c>
      <c r="AR263" t="s">
        <v>5396</v>
      </c>
      <c r="AS263" t="s">
        <v>5414</v>
      </c>
      <c r="AT263" t="s">
        <v>74</v>
      </c>
      <c r="AU263">
        <v>2021</v>
      </c>
      <c r="AV263">
        <v>12</v>
      </c>
      <c r="AW263">
        <v>1</v>
      </c>
      <c r="AX263" t="s">
        <v>74</v>
      </c>
      <c r="AY263" t="s">
        <v>74</v>
      </c>
      <c r="AZ263" t="s">
        <v>74</v>
      </c>
      <c r="BA263" t="s">
        <v>74</v>
      </c>
      <c r="BB263">
        <v>1186</v>
      </c>
      <c r="BC263">
        <v>1229</v>
      </c>
      <c r="BD263" t="s">
        <v>74</v>
      </c>
      <c r="BE263" t="s">
        <v>5415</v>
      </c>
      <c r="BF263" t="str">
        <f>HYPERLINK("http://dx.doi.org/10.5943/mycosphere/12/1/17","http://dx.doi.org/10.5943/mycosphere/12/1/17")</f>
        <v>http://dx.doi.org/10.5943/mycosphere/12/1/17</v>
      </c>
      <c r="BG263" t="s">
        <v>74</v>
      </c>
      <c r="BH263" t="s">
        <v>74</v>
      </c>
      <c r="BI263">
        <v>44</v>
      </c>
      <c r="BJ263" t="s">
        <v>5416</v>
      </c>
      <c r="BK263" t="s">
        <v>103</v>
      </c>
      <c r="BL263" t="s">
        <v>5416</v>
      </c>
      <c r="BM263" t="s">
        <v>5417</v>
      </c>
      <c r="BN263" t="s">
        <v>74</v>
      </c>
      <c r="BO263" t="s">
        <v>326</v>
      </c>
      <c r="BP263" t="s">
        <v>74</v>
      </c>
      <c r="BQ263" t="s">
        <v>74</v>
      </c>
      <c r="BR263" t="s">
        <v>106</v>
      </c>
      <c r="BS263" t="s">
        <v>5418</v>
      </c>
      <c r="BT263" t="str">
        <f>HYPERLINK("https%3A%2F%2Fwww.webofscience.com%2Fwos%2Fwoscc%2Ffull-record%2FWOS:000739205000001","View Full Record in Web of Science")</f>
        <v>View Full Record in Web of Science</v>
      </c>
    </row>
    <row r="264" spans="1:72" x14ac:dyDescent="0.15">
      <c r="A264" t="s">
        <v>72</v>
      </c>
      <c r="B264" t="s">
        <v>5419</v>
      </c>
      <c r="C264" t="s">
        <v>74</v>
      </c>
      <c r="D264" t="s">
        <v>74</v>
      </c>
      <c r="E264" t="s">
        <v>74</v>
      </c>
      <c r="F264" t="s">
        <v>5420</v>
      </c>
      <c r="G264" t="s">
        <v>74</v>
      </c>
      <c r="H264" t="s">
        <v>74</v>
      </c>
      <c r="I264" t="s">
        <v>5421</v>
      </c>
      <c r="J264" t="s">
        <v>5422</v>
      </c>
      <c r="K264" t="s">
        <v>74</v>
      </c>
      <c r="L264" t="s">
        <v>74</v>
      </c>
      <c r="M264" t="s">
        <v>78</v>
      </c>
      <c r="N264" t="s">
        <v>79</v>
      </c>
      <c r="O264" t="s">
        <v>74</v>
      </c>
      <c r="P264" t="s">
        <v>74</v>
      </c>
      <c r="Q264" t="s">
        <v>74</v>
      </c>
      <c r="R264" t="s">
        <v>74</v>
      </c>
      <c r="S264" t="s">
        <v>74</v>
      </c>
      <c r="T264" t="s">
        <v>5423</v>
      </c>
      <c r="U264" t="s">
        <v>5424</v>
      </c>
      <c r="V264" t="s">
        <v>5425</v>
      </c>
      <c r="W264" t="s">
        <v>5426</v>
      </c>
      <c r="X264" t="s">
        <v>5427</v>
      </c>
      <c r="Y264" t="s">
        <v>5428</v>
      </c>
      <c r="Z264" t="s">
        <v>5429</v>
      </c>
      <c r="AA264" t="s">
        <v>74</v>
      </c>
      <c r="AB264" t="s">
        <v>74</v>
      </c>
      <c r="AC264" t="s">
        <v>5430</v>
      </c>
      <c r="AD264" t="s">
        <v>5431</v>
      </c>
      <c r="AE264" t="s">
        <v>5432</v>
      </c>
      <c r="AF264" t="s">
        <v>74</v>
      </c>
      <c r="AG264">
        <v>57</v>
      </c>
      <c r="AH264">
        <v>0</v>
      </c>
      <c r="AI264">
        <v>0</v>
      </c>
      <c r="AJ264">
        <v>0</v>
      </c>
      <c r="AK264">
        <v>7</v>
      </c>
      <c r="AL264" t="s">
        <v>5433</v>
      </c>
      <c r="AM264" t="s">
        <v>1184</v>
      </c>
      <c r="AN264" t="s">
        <v>5434</v>
      </c>
      <c r="AO264" t="s">
        <v>5435</v>
      </c>
      <c r="AP264" t="s">
        <v>74</v>
      </c>
      <c r="AQ264" t="s">
        <v>74</v>
      </c>
      <c r="AR264" t="s">
        <v>5436</v>
      </c>
      <c r="AS264" t="s">
        <v>5437</v>
      </c>
      <c r="AT264" t="s">
        <v>74</v>
      </c>
      <c r="AU264">
        <v>2021</v>
      </c>
      <c r="AV264">
        <v>20</v>
      </c>
      <c r="AW264">
        <v>4</v>
      </c>
      <c r="AX264" t="s">
        <v>74</v>
      </c>
      <c r="AY264" t="s">
        <v>74</v>
      </c>
      <c r="AZ264" t="s">
        <v>74</v>
      </c>
      <c r="BA264" t="s">
        <v>74</v>
      </c>
      <c r="BB264">
        <v>2482</v>
      </c>
      <c r="BC264">
        <v>2515</v>
      </c>
      <c r="BD264" t="s">
        <v>74</v>
      </c>
      <c r="BE264" t="s">
        <v>5438</v>
      </c>
      <c r="BF264" t="str">
        <f>HYPERLINK("http://dx.doi.org/10.1137/21M1390098","http://dx.doi.org/10.1137/21M1390098")</f>
        <v>http://dx.doi.org/10.1137/21M1390098</v>
      </c>
      <c r="BG264" t="s">
        <v>74</v>
      </c>
      <c r="BH264" t="s">
        <v>74</v>
      </c>
      <c r="BI264">
        <v>34</v>
      </c>
      <c r="BJ264" t="s">
        <v>5439</v>
      </c>
      <c r="BK264" t="s">
        <v>103</v>
      </c>
      <c r="BL264" t="s">
        <v>5440</v>
      </c>
      <c r="BM264" t="s">
        <v>5441</v>
      </c>
      <c r="BN264" t="s">
        <v>74</v>
      </c>
      <c r="BO264" t="s">
        <v>1220</v>
      </c>
      <c r="BP264" t="s">
        <v>74</v>
      </c>
      <c r="BQ264" t="s">
        <v>74</v>
      </c>
      <c r="BR264" t="s">
        <v>106</v>
      </c>
      <c r="BS264" t="s">
        <v>5442</v>
      </c>
      <c r="BT264" t="str">
        <f>HYPERLINK("https%3A%2F%2Fwww.webofscience.com%2Fwos%2Fwoscc%2Ffull-record%2FWOS:000736237300004","View Full Record in Web of Science")</f>
        <v>View Full Record in Web of Science</v>
      </c>
    </row>
    <row r="265" spans="1:72" x14ac:dyDescent="0.15">
      <c r="A265" t="s">
        <v>72</v>
      </c>
      <c r="B265" t="s">
        <v>5443</v>
      </c>
      <c r="C265" t="s">
        <v>74</v>
      </c>
      <c r="D265" t="s">
        <v>74</v>
      </c>
      <c r="E265" t="s">
        <v>74</v>
      </c>
      <c r="F265" t="s">
        <v>5444</v>
      </c>
      <c r="G265" t="s">
        <v>74</v>
      </c>
      <c r="H265" t="s">
        <v>74</v>
      </c>
      <c r="I265" t="s">
        <v>5445</v>
      </c>
      <c r="J265" t="s">
        <v>5446</v>
      </c>
      <c r="K265" t="s">
        <v>74</v>
      </c>
      <c r="L265" t="s">
        <v>74</v>
      </c>
      <c r="M265" t="s">
        <v>5447</v>
      </c>
      <c r="N265" t="s">
        <v>79</v>
      </c>
      <c r="O265" t="s">
        <v>74</v>
      </c>
      <c r="P265" t="s">
        <v>74</v>
      </c>
      <c r="Q265" t="s">
        <v>74</v>
      </c>
      <c r="R265" t="s">
        <v>74</v>
      </c>
      <c r="S265" t="s">
        <v>74</v>
      </c>
      <c r="T265" t="s">
        <v>5448</v>
      </c>
      <c r="U265" t="s">
        <v>5449</v>
      </c>
      <c r="V265" t="s">
        <v>5450</v>
      </c>
      <c r="W265" t="s">
        <v>5451</v>
      </c>
      <c r="X265" t="s">
        <v>5452</v>
      </c>
      <c r="Y265" t="s">
        <v>5453</v>
      </c>
      <c r="Z265" t="s">
        <v>5454</v>
      </c>
      <c r="AA265" t="s">
        <v>5455</v>
      </c>
      <c r="AB265" t="s">
        <v>5456</v>
      </c>
      <c r="AC265" t="s">
        <v>5457</v>
      </c>
      <c r="AD265" t="s">
        <v>5458</v>
      </c>
      <c r="AE265" t="s">
        <v>5459</v>
      </c>
      <c r="AF265" t="s">
        <v>74</v>
      </c>
      <c r="AG265">
        <v>36</v>
      </c>
      <c r="AH265">
        <v>3</v>
      </c>
      <c r="AI265">
        <v>3</v>
      </c>
      <c r="AJ265">
        <v>0</v>
      </c>
      <c r="AK265">
        <v>4</v>
      </c>
      <c r="AL265" t="s">
        <v>5460</v>
      </c>
      <c r="AM265" t="s">
        <v>5461</v>
      </c>
      <c r="AN265" t="s">
        <v>5462</v>
      </c>
      <c r="AO265" t="s">
        <v>5463</v>
      </c>
      <c r="AP265" t="s">
        <v>5464</v>
      </c>
      <c r="AQ265" t="s">
        <v>74</v>
      </c>
      <c r="AR265" t="s">
        <v>5465</v>
      </c>
      <c r="AS265" t="s">
        <v>5466</v>
      </c>
      <c r="AT265" t="s">
        <v>74</v>
      </c>
      <c r="AU265">
        <v>2021</v>
      </c>
      <c r="AV265">
        <v>61</v>
      </c>
      <c r="AW265">
        <v>4</v>
      </c>
      <c r="AX265" t="s">
        <v>74</v>
      </c>
      <c r="AY265" t="s">
        <v>74</v>
      </c>
      <c r="AZ265" t="s">
        <v>74</v>
      </c>
      <c r="BA265" t="s">
        <v>74</v>
      </c>
      <c r="BB265">
        <v>500</v>
      </c>
      <c r="BC265">
        <v>520</v>
      </c>
      <c r="BD265" t="s">
        <v>74</v>
      </c>
      <c r="BE265" t="s">
        <v>5467</v>
      </c>
      <c r="BF265" t="str">
        <f>HYPERLINK("http://dx.doi.org/10.31857/S2076673421040104","http://dx.doi.org/10.31857/S2076673421040104")</f>
        <v>http://dx.doi.org/10.31857/S2076673421040104</v>
      </c>
      <c r="BG265" t="s">
        <v>74</v>
      </c>
      <c r="BH265" t="s">
        <v>74</v>
      </c>
      <c r="BI265">
        <v>21</v>
      </c>
      <c r="BJ265" t="s">
        <v>401</v>
      </c>
      <c r="BK265" t="s">
        <v>3050</v>
      </c>
      <c r="BL265" t="s">
        <v>402</v>
      </c>
      <c r="BM265" t="s">
        <v>5468</v>
      </c>
      <c r="BN265" t="s">
        <v>74</v>
      </c>
      <c r="BO265" t="s">
        <v>326</v>
      </c>
      <c r="BP265" t="s">
        <v>74</v>
      </c>
      <c r="BQ265" t="s">
        <v>74</v>
      </c>
      <c r="BR265" t="s">
        <v>106</v>
      </c>
      <c r="BS265" t="s">
        <v>5469</v>
      </c>
      <c r="BT265" t="str">
        <f>HYPERLINK("https%3A%2F%2Fwww.webofscience.com%2Fwos%2Fwoscc%2Ffull-record%2FWOS:000734845700002","View Full Record in Web of Science")</f>
        <v>View Full Record in Web of Science</v>
      </c>
    </row>
    <row r="266" spans="1:72" x14ac:dyDescent="0.15">
      <c r="A266" t="s">
        <v>72</v>
      </c>
      <c r="B266" t="s">
        <v>5470</v>
      </c>
      <c r="C266" t="s">
        <v>74</v>
      </c>
      <c r="D266" t="s">
        <v>74</v>
      </c>
      <c r="E266" t="s">
        <v>74</v>
      </c>
      <c r="F266" t="s">
        <v>5471</v>
      </c>
      <c r="G266" t="s">
        <v>74</v>
      </c>
      <c r="H266" t="s">
        <v>74</v>
      </c>
      <c r="I266" t="s">
        <v>5472</v>
      </c>
      <c r="J266" t="s">
        <v>5446</v>
      </c>
      <c r="K266" t="s">
        <v>74</v>
      </c>
      <c r="L266" t="s">
        <v>74</v>
      </c>
      <c r="M266" t="s">
        <v>5447</v>
      </c>
      <c r="N266" t="s">
        <v>79</v>
      </c>
      <c r="O266" t="s">
        <v>74</v>
      </c>
      <c r="P266" t="s">
        <v>74</v>
      </c>
      <c r="Q266" t="s">
        <v>74</v>
      </c>
      <c r="R266" t="s">
        <v>74</v>
      </c>
      <c r="S266" t="s">
        <v>74</v>
      </c>
      <c r="T266" t="s">
        <v>5473</v>
      </c>
      <c r="U266" t="s">
        <v>5474</v>
      </c>
      <c r="V266" t="s">
        <v>5475</v>
      </c>
      <c r="W266" t="s">
        <v>5476</v>
      </c>
      <c r="X266" t="s">
        <v>5477</v>
      </c>
      <c r="Y266" t="s">
        <v>5478</v>
      </c>
      <c r="Z266" t="s">
        <v>5479</v>
      </c>
      <c r="AA266" t="s">
        <v>5480</v>
      </c>
      <c r="AB266" t="s">
        <v>5481</v>
      </c>
      <c r="AC266" t="s">
        <v>74</v>
      </c>
      <c r="AD266" t="s">
        <v>74</v>
      </c>
      <c r="AE266" t="s">
        <v>74</v>
      </c>
      <c r="AF266" t="s">
        <v>74</v>
      </c>
      <c r="AG266">
        <v>27</v>
      </c>
      <c r="AH266">
        <v>0</v>
      </c>
      <c r="AI266">
        <v>0</v>
      </c>
      <c r="AJ266">
        <v>0</v>
      </c>
      <c r="AK266">
        <v>1</v>
      </c>
      <c r="AL266" t="s">
        <v>5460</v>
      </c>
      <c r="AM266" t="s">
        <v>5461</v>
      </c>
      <c r="AN266" t="s">
        <v>5462</v>
      </c>
      <c r="AO266" t="s">
        <v>5463</v>
      </c>
      <c r="AP266" t="s">
        <v>5464</v>
      </c>
      <c r="AQ266" t="s">
        <v>74</v>
      </c>
      <c r="AR266" t="s">
        <v>5465</v>
      </c>
      <c r="AS266" t="s">
        <v>5466</v>
      </c>
      <c r="AT266" t="s">
        <v>74</v>
      </c>
      <c r="AU266">
        <v>2021</v>
      </c>
      <c r="AV266">
        <v>61</v>
      </c>
      <c r="AW266">
        <v>4</v>
      </c>
      <c r="AX266" t="s">
        <v>74</v>
      </c>
      <c r="AY266" t="s">
        <v>74</v>
      </c>
      <c r="AZ266" t="s">
        <v>74</v>
      </c>
      <c r="BA266" t="s">
        <v>74</v>
      </c>
      <c r="BB266">
        <v>547</v>
      </c>
      <c r="BC266">
        <v>560</v>
      </c>
      <c r="BD266" t="s">
        <v>74</v>
      </c>
      <c r="BE266" t="s">
        <v>5482</v>
      </c>
      <c r="BF266" t="str">
        <f>HYPERLINK("http://dx.doi.org/10.31857/S2076673421040107","http://dx.doi.org/10.31857/S2076673421040107")</f>
        <v>http://dx.doi.org/10.31857/S2076673421040107</v>
      </c>
      <c r="BG266" t="s">
        <v>74</v>
      </c>
      <c r="BH266" t="s">
        <v>74</v>
      </c>
      <c r="BI266">
        <v>14</v>
      </c>
      <c r="BJ266" t="s">
        <v>401</v>
      </c>
      <c r="BK266" t="s">
        <v>3050</v>
      </c>
      <c r="BL266" t="s">
        <v>402</v>
      </c>
      <c r="BM266" t="s">
        <v>5468</v>
      </c>
      <c r="BN266" t="s">
        <v>74</v>
      </c>
      <c r="BO266" t="s">
        <v>326</v>
      </c>
      <c r="BP266" t="s">
        <v>74</v>
      </c>
      <c r="BQ266" t="s">
        <v>74</v>
      </c>
      <c r="BR266" t="s">
        <v>106</v>
      </c>
      <c r="BS266" t="s">
        <v>5483</v>
      </c>
      <c r="BT266" t="str">
        <f>HYPERLINK("https%3A%2F%2Fwww.webofscience.com%2Fwos%2Fwoscc%2Ffull-record%2FWOS:000734845700005","View Full Record in Web of Science")</f>
        <v>View Full Record in Web of Science</v>
      </c>
    </row>
    <row r="267" spans="1:72" x14ac:dyDescent="0.15">
      <c r="A267" t="s">
        <v>72</v>
      </c>
      <c r="B267" t="s">
        <v>5484</v>
      </c>
      <c r="C267" t="s">
        <v>74</v>
      </c>
      <c r="D267" t="s">
        <v>74</v>
      </c>
      <c r="E267" t="s">
        <v>74</v>
      </c>
      <c r="F267" t="s">
        <v>5485</v>
      </c>
      <c r="G267" t="s">
        <v>74</v>
      </c>
      <c r="H267" t="s">
        <v>74</v>
      </c>
      <c r="I267" t="s">
        <v>5486</v>
      </c>
      <c r="J267" t="s">
        <v>5446</v>
      </c>
      <c r="K267" t="s">
        <v>74</v>
      </c>
      <c r="L267" t="s">
        <v>74</v>
      </c>
      <c r="M267" t="s">
        <v>5447</v>
      </c>
      <c r="N267" t="s">
        <v>79</v>
      </c>
      <c r="O267" t="s">
        <v>74</v>
      </c>
      <c r="P267" t="s">
        <v>74</v>
      </c>
      <c r="Q267" t="s">
        <v>74</v>
      </c>
      <c r="R267" t="s">
        <v>74</v>
      </c>
      <c r="S267" t="s">
        <v>74</v>
      </c>
      <c r="T267" t="s">
        <v>5487</v>
      </c>
      <c r="U267" t="s">
        <v>5488</v>
      </c>
      <c r="V267" t="s">
        <v>5489</v>
      </c>
      <c r="W267" t="s">
        <v>5490</v>
      </c>
      <c r="X267" t="s">
        <v>5491</v>
      </c>
      <c r="Y267" t="s">
        <v>5492</v>
      </c>
      <c r="Z267" t="s">
        <v>5493</v>
      </c>
      <c r="AA267" t="s">
        <v>74</v>
      </c>
      <c r="AB267" t="s">
        <v>74</v>
      </c>
      <c r="AC267" t="s">
        <v>5494</v>
      </c>
      <c r="AD267" t="s">
        <v>5495</v>
      </c>
      <c r="AE267" t="s">
        <v>5496</v>
      </c>
      <c r="AF267" t="s">
        <v>74</v>
      </c>
      <c r="AG267">
        <v>25</v>
      </c>
      <c r="AH267">
        <v>0</v>
      </c>
      <c r="AI267">
        <v>0</v>
      </c>
      <c r="AJ267">
        <v>1</v>
      </c>
      <c r="AK267">
        <v>1</v>
      </c>
      <c r="AL267" t="s">
        <v>5460</v>
      </c>
      <c r="AM267" t="s">
        <v>5461</v>
      </c>
      <c r="AN267" t="s">
        <v>5462</v>
      </c>
      <c r="AO267" t="s">
        <v>5463</v>
      </c>
      <c r="AP267" t="s">
        <v>5464</v>
      </c>
      <c r="AQ267" t="s">
        <v>74</v>
      </c>
      <c r="AR267" t="s">
        <v>5465</v>
      </c>
      <c r="AS267" t="s">
        <v>5466</v>
      </c>
      <c r="AT267" t="s">
        <v>74</v>
      </c>
      <c r="AU267">
        <v>2021</v>
      </c>
      <c r="AV267">
        <v>61</v>
      </c>
      <c r="AW267">
        <v>4</v>
      </c>
      <c r="AX267" t="s">
        <v>74</v>
      </c>
      <c r="AY267" t="s">
        <v>74</v>
      </c>
      <c r="AZ267" t="s">
        <v>74</v>
      </c>
      <c r="BA267" t="s">
        <v>74</v>
      </c>
      <c r="BB267">
        <v>571</v>
      </c>
      <c r="BC267">
        <v>586</v>
      </c>
      <c r="BD267" t="s">
        <v>74</v>
      </c>
      <c r="BE267" t="s">
        <v>5497</v>
      </c>
      <c r="BF267" t="str">
        <f>HYPERLINK("http://dx.doi.org/10.31857/S2076673421040109","http://dx.doi.org/10.31857/S2076673421040109")</f>
        <v>http://dx.doi.org/10.31857/S2076673421040109</v>
      </c>
      <c r="BG267" t="s">
        <v>74</v>
      </c>
      <c r="BH267" t="s">
        <v>74</v>
      </c>
      <c r="BI267">
        <v>16</v>
      </c>
      <c r="BJ267" t="s">
        <v>401</v>
      </c>
      <c r="BK267" t="s">
        <v>3050</v>
      </c>
      <c r="BL267" t="s">
        <v>402</v>
      </c>
      <c r="BM267" t="s">
        <v>5468</v>
      </c>
      <c r="BN267" t="s">
        <v>74</v>
      </c>
      <c r="BO267" t="s">
        <v>326</v>
      </c>
      <c r="BP267" t="s">
        <v>74</v>
      </c>
      <c r="BQ267" t="s">
        <v>74</v>
      </c>
      <c r="BR267" t="s">
        <v>106</v>
      </c>
      <c r="BS267" t="s">
        <v>5498</v>
      </c>
      <c r="BT267" t="str">
        <f>HYPERLINK("https%3A%2F%2Fwww.webofscience.com%2Fwos%2Fwoscc%2Ffull-record%2FWOS:000734845700007","View Full Record in Web of Science")</f>
        <v>View Full Record in Web of Science</v>
      </c>
    </row>
    <row r="268" spans="1:72" x14ac:dyDescent="0.15">
      <c r="A268" t="s">
        <v>72</v>
      </c>
      <c r="B268" t="s">
        <v>5499</v>
      </c>
      <c r="C268" t="s">
        <v>74</v>
      </c>
      <c r="D268" t="s">
        <v>74</v>
      </c>
      <c r="E268" t="s">
        <v>74</v>
      </c>
      <c r="F268" t="s">
        <v>5500</v>
      </c>
      <c r="G268" t="s">
        <v>74</v>
      </c>
      <c r="H268" t="s">
        <v>74</v>
      </c>
      <c r="I268" t="s">
        <v>5501</v>
      </c>
      <c r="J268" t="s">
        <v>5502</v>
      </c>
      <c r="K268" t="s">
        <v>74</v>
      </c>
      <c r="L268" t="s">
        <v>74</v>
      </c>
      <c r="M268" t="s">
        <v>78</v>
      </c>
      <c r="N268" t="s">
        <v>79</v>
      </c>
      <c r="O268" t="s">
        <v>74</v>
      </c>
      <c r="P268" t="s">
        <v>74</v>
      </c>
      <c r="Q268" t="s">
        <v>74</v>
      </c>
      <c r="R268" t="s">
        <v>74</v>
      </c>
      <c r="S268" t="s">
        <v>74</v>
      </c>
      <c r="T268" t="s">
        <v>5503</v>
      </c>
      <c r="U268" t="s">
        <v>5504</v>
      </c>
      <c r="V268" t="s">
        <v>5505</v>
      </c>
      <c r="W268" t="s">
        <v>5506</v>
      </c>
      <c r="X268" t="s">
        <v>5507</v>
      </c>
      <c r="Y268" t="s">
        <v>5508</v>
      </c>
      <c r="Z268" t="s">
        <v>5509</v>
      </c>
      <c r="AA268" t="s">
        <v>5510</v>
      </c>
      <c r="AB268" t="s">
        <v>5511</v>
      </c>
      <c r="AC268" t="s">
        <v>74</v>
      </c>
      <c r="AD268" t="s">
        <v>74</v>
      </c>
      <c r="AE268" t="s">
        <v>74</v>
      </c>
      <c r="AF268" t="s">
        <v>74</v>
      </c>
      <c r="AG268">
        <v>55</v>
      </c>
      <c r="AH268">
        <v>1</v>
      </c>
      <c r="AI268">
        <v>1</v>
      </c>
      <c r="AJ268">
        <v>0</v>
      </c>
      <c r="AK268">
        <v>2</v>
      </c>
      <c r="AL268" t="s">
        <v>5512</v>
      </c>
      <c r="AM268" t="s">
        <v>5513</v>
      </c>
      <c r="AN268" t="s">
        <v>5514</v>
      </c>
      <c r="AO268" t="s">
        <v>5515</v>
      </c>
      <c r="AP268" t="s">
        <v>5516</v>
      </c>
      <c r="AQ268" t="s">
        <v>74</v>
      </c>
      <c r="AR268" t="s">
        <v>5517</v>
      </c>
      <c r="AS268" t="s">
        <v>5518</v>
      </c>
      <c r="AT268" t="s">
        <v>74</v>
      </c>
      <c r="AU268">
        <v>2021</v>
      </c>
      <c r="AV268">
        <v>42</v>
      </c>
      <c r="AW268">
        <v>4</v>
      </c>
      <c r="AX268" t="s">
        <v>74</v>
      </c>
      <c r="AY268" t="s">
        <v>74</v>
      </c>
      <c r="AZ268" t="s">
        <v>74</v>
      </c>
      <c r="BA268" t="s">
        <v>74</v>
      </c>
      <c r="BB268">
        <v>269</v>
      </c>
      <c r="BC268">
        <v>285</v>
      </c>
      <c r="BD268" t="s">
        <v>74</v>
      </c>
      <c r="BE268" t="s">
        <v>5519</v>
      </c>
      <c r="BF268" t="str">
        <f>HYPERLINK("http://dx.doi.org/10.24425/ppr.2021.137148","http://dx.doi.org/10.24425/ppr.2021.137148")</f>
        <v>http://dx.doi.org/10.24425/ppr.2021.137148</v>
      </c>
      <c r="BG268" t="s">
        <v>74</v>
      </c>
      <c r="BH268" t="s">
        <v>74</v>
      </c>
      <c r="BI268">
        <v>17</v>
      </c>
      <c r="BJ268" t="s">
        <v>3680</v>
      </c>
      <c r="BK268" t="s">
        <v>103</v>
      </c>
      <c r="BL268" t="s">
        <v>3681</v>
      </c>
      <c r="BM268" t="s">
        <v>5520</v>
      </c>
      <c r="BN268" t="s">
        <v>74</v>
      </c>
      <c r="BO268" t="s">
        <v>326</v>
      </c>
      <c r="BP268" t="s">
        <v>74</v>
      </c>
      <c r="BQ268" t="s">
        <v>74</v>
      </c>
      <c r="BR268" t="s">
        <v>106</v>
      </c>
      <c r="BS268" t="s">
        <v>5521</v>
      </c>
      <c r="BT268" t="str">
        <f>HYPERLINK("https%3A%2F%2Fwww.webofscience.com%2Fwos%2Fwoscc%2Ffull-record%2FWOS:000733411500004","View Full Record in Web of Science")</f>
        <v>View Full Record in Web of Science</v>
      </c>
    </row>
    <row r="269" spans="1:72" x14ac:dyDescent="0.15">
      <c r="A269" t="s">
        <v>72</v>
      </c>
      <c r="B269" t="s">
        <v>5522</v>
      </c>
      <c r="C269" t="s">
        <v>74</v>
      </c>
      <c r="D269" t="s">
        <v>74</v>
      </c>
      <c r="E269" t="s">
        <v>74</v>
      </c>
      <c r="F269" t="s">
        <v>5523</v>
      </c>
      <c r="G269" t="s">
        <v>74</v>
      </c>
      <c r="H269" t="s">
        <v>74</v>
      </c>
      <c r="I269" t="s">
        <v>5524</v>
      </c>
      <c r="J269" t="s">
        <v>5525</v>
      </c>
      <c r="K269" t="s">
        <v>74</v>
      </c>
      <c r="L269" t="s">
        <v>74</v>
      </c>
      <c r="M269" t="s">
        <v>78</v>
      </c>
      <c r="N269" t="s">
        <v>79</v>
      </c>
      <c r="O269" t="s">
        <v>74</v>
      </c>
      <c r="P269" t="s">
        <v>74</v>
      </c>
      <c r="Q269" t="s">
        <v>74</v>
      </c>
      <c r="R269" t="s">
        <v>74</v>
      </c>
      <c r="S269" t="s">
        <v>74</v>
      </c>
      <c r="T269" t="s">
        <v>5526</v>
      </c>
      <c r="U269" t="s">
        <v>5527</v>
      </c>
      <c r="V269" t="s">
        <v>5528</v>
      </c>
      <c r="W269" t="s">
        <v>5529</v>
      </c>
      <c r="X269" t="s">
        <v>5530</v>
      </c>
      <c r="Y269" t="s">
        <v>5531</v>
      </c>
      <c r="Z269" t="s">
        <v>5532</v>
      </c>
      <c r="AA269" t="s">
        <v>5533</v>
      </c>
      <c r="AB269" t="s">
        <v>5534</v>
      </c>
      <c r="AC269" t="s">
        <v>5535</v>
      </c>
      <c r="AD269" t="s">
        <v>5536</v>
      </c>
      <c r="AE269" t="s">
        <v>5537</v>
      </c>
      <c r="AF269" t="s">
        <v>74</v>
      </c>
      <c r="AG269">
        <v>90</v>
      </c>
      <c r="AH269">
        <v>2</v>
      </c>
      <c r="AI269">
        <v>2</v>
      </c>
      <c r="AJ269">
        <v>0</v>
      </c>
      <c r="AK269">
        <v>2</v>
      </c>
      <c r="AL269" t="s">
        <v>5538</v>
      </c>
      <c r="AM269" t="s">
        <v>5539</v>
      </c>
      <c r="AN269" t="s">
        <v>5540</v>
      </c>
      <c r="AO269" t="s">
        <v>74</v>
      </c>
      <c r="AP269" t="s">
        <v>5541</v>
      </c>
      <c r="AQ269" t="s">
        <v>74</v>
      </c>
      <c r="AR269" t="s">
        <v>5542</v>
      </c>
      <c r="AS269" t="s">
        <v>5543</v>
      </c>
      <c r="AT269" t="s">
        <v>74</v>
      </c>
      <c r="AU269">
        <v>2021</v>
      </c>
      <c r="AV269">
        <v>69</v>
      </c>
      <c r="AW269" t="s">
        <v>74</v>
      </c>
      <c r="AX269" t="s">
        <v>74</v>
      </c>
      <c r="AY269" t="s">
        <v>74</v>
      </c>
      <c r="AZ269" t="s">
        <v>74</v>
      </c>
      <c r="BA269" t="s">
        <v>74</v>
      </c>
      <c r="BB269" t="s">
        <v>74</v>
      </c>
      <c r="BC269" t="s">
        <v>74</v>
      </c>
      <c r="BD269" t="s">
        <v>5544</v>
      </c>
      <c r="BE269" t="s">
        <v>5545</v>
      </c>
      <c r="BF269" t="str">
        <f>HYPERLINK("http://dx.doi.org/10.1590/2675-2824069.21012mfb","http://dx.doi.org/10.1590/2675-2824069.21012mfb")</f>
        <v>http://dx.doi.org/10.1590/2675-2824069.21012mfb</v>
      </c>
      <c r="BG269" t="s">
        <v>74</v>
      </c>
      <c r="BH269" t="s">
        <v>74</v>
      </c>
      <c r="BI269">
        <v>29</v>
      </c>
      <c r="BJ269" t="s">
        <v>3281</v>
      </c>
      <c r="BK269" t="s">
        <v>103</v>
      </c>
      <c r="BL269" t="s">
        <v>3281</v>
      </c>
      <c r="BM269" t="s">
        <v>5546</v>
      </c>
      <c r="BN269" t="s">
        <v>74</v>
      </c>
      <c r="BO269" t="s">
        <v>326</v>
      </c>
      <c r="BP269" t="s">
        <v>74</v>
      </c>
      <c r="BQ269" t="s">
        <v>74</v>
      </c>
      <c r="BR269" t="s">
        <v>106</v>
      </c>
      <c r="BS269" t="s">
        <v>5547</v>
      </c>
      <c r="BT269" t="str">
        <f>HYPERLINK("https%3A%2F%2Fwww.webofscience.com%2Fwos%2Fwoscc%2Ffull-record%2FWOS:000731577000001","View Full Record in Web of Science")</f>
        <v>View Full Record in Web of Science</v>
      </c>
    </row>
    <row r="270" spans="1:72" x14ac:dyDescent="0.15">
      <c r="A270" t="s">
        <v>4589</v>
      </c>
      <c r="B270" t="s">
        <v>5548</v>
      </c>
      <c r="C270" t="s">
        <v>74</v>
      </c>
      <c r="D270" t="s">
        <v>4591</v>
      </c>
      <c r="E270" t="s">
        <v>74</v>
      </c>
      <c r="F270" t="s">
        <v>5549</v>
      </c>
      <c r="G270" t="s">
        <v>74</v>
      </c>
      <c r="H270" t="s">
        <v>74</v>
      </c>
      <c r="I270" t="s">
        <v>5550</v>
      </c>
      <c r="J270" t="s">
        <v>4594</v>
      </c>
      <c r="K270" t="s">
        <v>4595</v>
      </c>
      <c r="L270" t="s">
        <v>74</v>
      </c>
      <c r="M270" t="s">
        <v>78</v>
      </c>
      <c r="N270" t="s">
        <v>4596</v>
      </c>
      <c r="O270" t="s">
        <v>74</v>
      </c>
      <c r="P270" t="s">
        <v>74</v>
      </c>
      <c r="Q270" t="s">
        <v>74</v>
      </c>
      <c r="R270" t="s">
        <v>74</v>
      </c>
      <c r="S270" t="s">
        <v>74</v>
      </c>
      <c r="T270" t="s">
        <v>74</v>
      </c>
      <c r="U270" t="s">
        <v>5551</v>
      </c>
      <c r="V270" t="s">
        <v>5552</v>
      </c>
      <c r="W270" t="s">
        <v>5553</v>
      </c>
      <c r="X270" t="s">
        <v>5554</v>
      </c>
      <c r="Y270" t="s">
        <v>5184</v>
      </c>
      <c r="Z270" t="s">
        <v>5185</v>
      </c>
      <c r="AA270" t="s">
        <v>5555</v>
      </c>
      <c r="AB270" t="s">
        <v>5556</v>
      </c>
      <c r="AC270" t="s">
        <v>5557</v>
      </c>
      <c r="AD270" t="s">
        <v>5557</v>
      </c>
      <c r="AE270" t="s">
        <v>5558</v>
      </c>
      <c r="AF270" t="s">
        <v>74</v>
      </c>
      <c r="AG270">
        <v>88</v>
      </c>
      <c r="AH270">
        <v>12</v>
      </c>
      <c r="AI270">
        <v>12</v>
      </c>
      <c r="AJ270">
        <v>0</v>
      </c>
      <c r="AK270">
        <v>1</v>
      </c>
      <c r="AL270" t="s">
        <v>4607</v>
      </c>
      <c r="AM270" t="s">
        <v>1914</v>
      </c>
      <c r="AN270" t="s">
        <v>4608</v>
      </c>
      <c r="AO270" t="s">
        <v>4609</v>
      </c>
      <c r="AP270" t="s">
        <v>74</v>
      </c>
      <c r="AQ270" t="s">
        <v>4610</v>
      </c>
      <c r="AR270" t="s">
        <v>4611</v>
      </c>
      <c r="AS270" t="s">
        <v>74</v>
      </c>
      <c r="AT270" t="s">
        <v>74</v>
      </c>
      <c r="AU270">
        <v>2021</v>
      </c>
      <c r="AV270">
        <v>55</v>
      </c>
      <c r="AW270" t="s">
        <v>74</v>
      </c>
      <c r="AX270" t="s">
        <v>74</v>
      </c>
      <c r="AY270" t="s">
        <v>74</v>
      </c>
      <c r="AZ270" t="s">
        <v>74</v>
      </c>
      <c r="BA270" t="s">
        <v>74</v>
      </c>
      <c r="BB270">
        <v>347</v>
      </c>
      <c r="BC270">
        <v>381</v>
      </c>
      <c r="BD270" t="s">
        <v>74</v>
      </c>
      <c r="BE270" t="s">
        <v>5559</v>
      </c>
      <c r="BF270" t="str">
        <f>HYPERLINK("http://dx.doi.org/10.1144/M55-2018-60","http://dx.doi.org/10.1144/M55-2018-60")</f>
        <v>http://dx.doi.org/10.1144/M55-2018-60</v>
      </c>
      <c r="BG270" t="s">
        <v>4613</v>
      </c>
      <c r="BH270" t="s">
        <v>74</v>
      </c>
      <c r="BI270">
        <v>35</v>
      </c>
      <c r="BJ270" t="s">
        <v>4614</v>
      </c>
      <c r="BK270" t="s">
        <v>4615</v>
      </c>
      <c r="BL270" t="s">
        <v>4614</v>
      </c>
      <c r="BM270" t="s">
        <v>4616</v>
      </c>
      <c r="BN270" t="s">
        <v>74</v>
      </c>
      <c r="BO270" t="s">
        <v>74</v>
      </c>
      <c r="BP270" t="s">
        <v>74</v>
      </c>
      <c r="BQ270" t="s">
        <v>74</v>
      </c>
      <c r="BR270" t="s">
        <v>106</v>
      </c>
      <c r="BS270" t="s">
        <v>5560</v>
      </c>
      <c r="BT270" t="str">
        <f>HYPERLINK("https%3A%2F%2Fwww.webofscience.com%2Fwos%2Fwoscc%2Ffull-record%2FWOS:000683732500022","View Full Record in Web of Science")</f>
        <v>View Full Record in Web of Science</v>
      </c>
    </row>
    <row r="271" spans="1:72" x14ac:dyDescent="0.15">
      <c r="A271" t="s">
        <v>4589</v>
      </c>
      <c r="B271" t="s">
        <v>5561</v>
      </c>
      <c r="C271" t="s">
        <v>74</v>
      </c>
      <c r="D271" t="s">
        <v>4591</v>
      </c>
      <c r="E271" t="s">
        <v>74</v>
      </c>
      <c r="F271" t="s">
        <v>5562</v>
      </c>
      <c r="G271" t="s">
        <v>74</v>
      </c>
      <c r="H271" t="s">
        <v>74</v>
      </c>
      <c r="I271" t="s">
        <v>5563</v>
      </c>
      <c r="J271" t="s">
        <v>4594</v>
      </c>
      <c r="K271" t="s">
        <v>4595</v>
      </c>
      <c r="L271" t="s">
        <v>74</v>
      </c>
      <c r="M271" t="s">
        <v>78</v>
      </c>
      <c r="N271" t="s">
        <v>4596</v>
      </c>
      <c r="O271" t="s">
        <v>74</v>
      </c>
      <c r="P271" t="s">
        <v>74</v>
      </c>
      <c r="Q271" t="s">
        <v>74</v>
      </c>
      <c r="R271" t="s">
        <v>74</v>
      </c>
      <c r="S271" t="s">
        <v>74</v>
      </c>
      <c r="T271" t="s">
        <v>74</v>
      </c>
      <c r="U271" t="s">
        <v>5564</v>
      </c>
      <c r="V271" t="s">
        <v>5565</v>
      </c>
      <c r="W271" t="s">
        <v>5566</v>
      </c>
      <c r="X271" t="s">
        <v>5567</v>
      </c>
      <c r="Y271" t="s">
        <v>5184</v>
      </c>
      <c r="Z271" t="s">
        <v>5185</v>
      </c>
      <c r="AA271" t="s">
        <v>74</v>
      </c>
      <c r="AB271" t="s">
        <v>5568</v>
      </c>
      <c r="AC271" t="s">
        <v>5569</v>
      </c>
      <c r="AD271" t="s">
        <v>5569</v>
      </c>
      <c r="AE271" t="s">
        <v>5570</v>
      </c>
      <c r="AF271" t="s">
        <v>74</v>
      </c>
      <c r="AG271">
        <v>143</v>
      </c>
      <c r="AH271">
        <v>8</v>
      </c>
      <c r="AI271">
        <v>8</v>
      </c>
      <c r="AJ271">
        <v>0</v>
      </c>
      <c r="AK271">
        <v>2</v>
      </c>
      <c r="AL271" t="s">
        <v>4607</v>
      </c>
      <c r="AM271" t="s">
        <v>1914</v>
      </c>
      <c r="AN271" t="s">
        <v>4608</v>
      </c>
      <c r="AO271" t="s">
        <v>4609</v>
      </c>
      <c r="AP271" t="s">
        <v>74</v>
      </c>
      <c r="AQ271" t="s">
        <v>4610</v>
      </c>
      <c r="AR271" t="s">
        <v>4611</v>
      </c>
      <c r="AS271" t="s">
        <v>74</v>
      </c>
      <c r="AT271" t="s">
        <v>74</v>
      </c>
      <c r="AU271">
        <v>2021</v>
      </c>
      <c r="AV271">
        <v>55</v>
      </c>
      <c r="AW271" t="s">
        <v>74</v>
      </c>
      <c r="AX271" t="s">
        <v>74</v>
      </c>
      <c r="AY271" t="s">
        <v>74</v>
      </c>
      <c r="AZ271" t="s">
        <v>74</v>
      </c>
      <c r="BA271" t="s">
        <v>74</v>
      </c>
      <c r="BB271">
        <v>415</v>
      </c>
      <c r="BC271">
        <v>446</v>
      </c>
      <c r="BD271" t="s">
        <v>74</v>
      </c>
      <c r="BE271" t="s">
        <v>5571</v>
      </c>
      <c r="BF271" t="str">
        <f>HYPERLINK("http://dx.doi.org/10.1144/M55-2018-62","http://dx.doi.org/10.1144/M55-2018-62")</f>
        <v>http://dx.doi.org/10.1144/M55-2018-62</v>
      </c>
      <c r="BG271" t="s">
        <v>4613</v>
      </c>
      <c r="BH271" t="s">
        <v>74</v>
      </c>
      <c r="BI271">
        <v>32</v>
      </c>
      <c r="BJ271" t="s">
        <v>4614</v>
      </c>
      <c r="BK271" t="s">
        <v>4615</v>
      </c>
      <c r="BL271" t="s">
        <v>4614</v>
      </c>
      <c r="BM271" t="s">
        <v>4616</v>
      </c>
      <c r="BN271" t="s">
        <v>74</v>
      </c>
      <c r="BO271" t="s">
        <v>74</v>
      </c>
      <c r="BP271" t="s">
        <v>74</v>
      </c>
      <c r="BQ271" t="s">
        <v>74</v>
      </c>
      <c r="BR271" t="s">
        <v>106</v>
      </c>
      <c r="BS271" t="s">
        <v>5572</v>
      </c>
      <c r="BT271" t="str">
        <f>HYPERLINK("https%3A%2F%2Fwww.webofscience.com%2Fwos%2Fwoscc%2Ffull-record%2FWOS:000683732500024","View Full Record in Web of Science")</f>
        <v>View Full Record in Web of Science</v>
      </c>
    </row>
    <row r="272" spans="1:72" x14ac:dyDescent="0.15">
      <c r="A272" t="s">
        <v>72</v>
      </c>
      <c r="B272" t="s">
        <v>5573</v>
      </c>
      <c r="C272" t="s">
        <v>74</v>
      </c>
      <c r="D272" t="s">
        <v>74</v>
      </c>
      <c r="E272" t="s">
        <v>74</v>
      </c>
      <c r="F272" t="s">
        <v>5574</v>
      </c>
      <c r="G272" t="s">
        <v>74</v>
      </c>
      <c r="H272" t="s">
        <v>74</v>
      </c>
      <c r="I272" t="s">
        <v>5575</v>
      </c>
      <c r="J272" t="s">
        <v>5446</v>
      </c>
      <c r="K272" t="s">
        <v>74</v>
      </c>
      <c r="L272" t="s">
        <v>74</v>
      </c>
      <c r="M272" t="s">
        <v>5447</v>
      </c>
      <c r="N272" t="s">
        <v>79</v>
      </c>
      <c r="O272" t="s">
        <v>74</v>
      </c>
      <c r="P272" t="s">
        <v>74</v>
      </c>
      <c r="Q272" t="s">
        <v>74</v>
      </c>
      <c r="R272" t="s">
        <v>74</v>
      </c>
      <c r="S272" t="s">
        <v>74</v>
      </c>
      <c r="T272" t="s">
        <v>5576</v>
      </c>
      <c r="U272" t="s">
        <v>5577</v>
      </c>
      <c r="V272" t="s">
        <v>5578</v>
      </c>
      <c r="W272" t="s">
        <v>5579</v>
      </c>
      <c r="X272" t="s">
        <v>5491</v>
      </c>
      <c r="Y272" t="s">
        <v>5580</v>
      </c>
      <c r="Z272" t="s">
        <v>5581</v>
      </c>
      <c r="AA272" t="s">
        <v>5582</v>
      </c>
      <c r="AB272" t="s">
        <v>5583</v>
      </c>
      <c r="AC272" t="s">
        <v>74</v>
      </c>
      <c r="AD272" t="s">
        <v>74</v>
      </c>
      <c r="AE272" t="s">
        <v>74</v>
      </c>
      <c r="AF272" t="s">
        <v>74</v>
      </c>
      <c r="AG272">
        <v>130</v>
      </c>
      <c r="AH272">
        <v>1</v>
      </c>
      <c r="AI272">
        <v>1</v>
      </c>
      <c r="AJ272">
        <v>3</v>
      </c>
      <c r="AK272">
        <v>13</v>
      </c>
      <c r="AL272" t="s">
        <v>5460</v>
      </c>
      <c r="AM272" t="s">
        <v>5461</v>
      </c>
      <c r="AN272" t="s">
        <v>5462</v>
      </c>
      <c r="AO272" t="s">
        <v>5463</v>
      </c>
      <c r="AP272" t="s">
        <v>5464</v>
      </c>
      <c r="AQ272" t="s">
        <v>74</v>
      </c>
      <c r="AR272" t="s">
        <v>5465</v>
      </c>
      <c r="AS272" t="s">
        <v>5466</v>
      </c>
      <c r="AT272" t="s">
        <v>74</v>
      </c>
      <c r="AU272">
        <v>2021</v>
      </c>
      <c r="AV272">
        <v>61</v>
      </c>
      <c r="AW272">
        <v>4</v>
      </c>
      <c r="AX272" t="s">
        <v>74</v>
      </c>
      <c r="AY272" t="s">
        <v>74</v>
      </c>
      <c r="AZ272" t="s">
        <v>74</v>
      </c>
      <c r="BA272" t="s">
        <v>74</v>
      </c>
      <c r="BB272">
        <v>587</v>
      </c>
      <c r="BC272">
        <v>619</v>
      </c>
      <c r="BD272" t="s">
        <v>74</v>
      </c>
      <c r="BE272" t="s">
        <v>5584</v>
      </c>
      <c r="BF272" t="str">
        <f>HYPERLINK("http://dx.doi.org/10.31857/S2076673421040110","http://dx.doi.org/10.31857/S2076673421040110")</f>
        <v>http://dx.doi.org/10.31857/S2076673421040110</v>
      </c>
      <c r="BG272" t="s">
        <v>74</v>
      </c>
      <c r="BH272" t="s">
        <v>74</v>
      </c>
      <c r="BI272">
        <v>33</v>
      </c>
      <c r="BJ272" t="s">
        <v>401</v>
      </c>
      <c r="BK272" t="s">
        <v>3050</v>
      </c>
      <c r="BL272" t="s">
        <v>402</v>
      </c>
      <c r="BM272" t="s">
        <v>5585</v>
      </c>
      <c r="BN272" t="s">
        <v>74</v>
      </c>
      <c r="BO272" t="s">
        <v>326</v>
      </c>
      <c r="BP272" t="s">
        <v>74</v>
      </c>
      <c r="BQ272" t="s">
        <v>74</v>
      </c>
      <c r="BR272" t="s">
        <v>106</v>
      </c>
      <c r="BS272" t="s">
        <v>5586</v>
      </c>
      <c r="BT272" t="str">
        <f>HYPERLINK("https%3A%2F%2Fwww.webofscience.com%2Fwos%2Fwoscc%2Ffull-record%2FWOS:000731419000001","View Full Record in Web of Science")</f>
        <v>View Full Record in Web of Science</v>
      </c>
    </row>
    <row r="273" spans="1:72" x14ac:dyDescent="0.15">
      <c r="A273" t="s">
        <v>72</v>
      </c>
      <c r="B273" t="s">
        <v>5587</v>
      </c>
      <c r="C273" t="s">
        <v>74</v>
      </c>
      <c r="D273" t="s">
        <v>74</v>
      </c>
      <c r="E273" t="s">
        <v>74</v>
      </c>
      <c r="F273" t="s">
        <v>5588</v>
      </c>
      <c r="G273" t="s">
        <v>74</v>
      </c>
      <c r="H273" t="s">
        <v>74</v>
      </c>
      <c r="I273" t="s">
        <v>5589</v>
      </c>
      <c r="J273" t="s">
        <v>5590</v>
      </c>
      <c r="K273" t="s">
        <v>74</v>
      </c>
      <c r="L273" t="s">
        <v>74</v>
      </c>
      <c r="M273" t="s">
        <v>78</v>
      </c>
      <c r="N273" t="s">
        <v>79</v>
      </c>
      <c r="O273" t="s">
        <v>74</v>
      </c>
      <c r="P273" t="s">
        <v>74</v>
      </c>
      <c r="Q273" t="s">
        <v>74</v>
      </c>
      <c r="R273" t="s">
        <v>74</v>
      </c>
      <c r="S273" t="s">
        <v>74</v>
      </c>
      <c r="T273" t="s">
        <v>5591</v>
      </c>
      <c r="U273" t="s">
        <v>5592</v>
      </c>
      <c r="V273" t="s">
        <v>5593</v>
      </c>
      <c r="W273" t="s">
        <v>5594</v>
      </c>
      <c r="X273" t="s">
        <v>5595</v>
      </c>
      <c r="Y273" t="s">
        <v>5596</v>
      </c>
      <c r="Z273" t="s">
        <v>5597</v>
      </c>
      <c r="AA273" t="s">
        <v>5598</v>
      </c>
      <c r="AB273" t="s">
        <v>5599</v>
      </c>
      <c r="AC273" t="s">
        <v>5600</v>
      </c>
      <c r="AD273" t="s">
        <v>5601</v>
      </c>
      <c r="AE273" t="s">
        <v>5602</v>
      </c>
      <c r="AF273" t="s">
        <v>74</v>
      </c>
      <c r="AG273">
        <v>48</v>
      </c>
      <c r="AH273">
        <v>4</v>
      </c>
      <c r="AI273">
        <v>5</v>
      </c>
      <c r="AJ273">
        <v>4</v>
      </c>
      <c r="AK273">
        <v>12</v>
      </c>
      <c r="AL273" t="s">
        <v>5603</v>
      </c>
      <c r="AM273" t="s">
        <v>5604</v>
      </c>
      <c r="AN273" t="s">
        <v>5605</v>
      </c>
      <c r="AO273" t="s">
        <v>5606</v>
      </c>
      <c r="AP273" t="s">
        <v>5607</v>
      </c>
      <c r="AQ273" t="s">
        <v>74</v>
      </c>
      <c r="AR273" t="s">
        <v>5608</v>
      </c>
      <c r="AS273" t="s">
        <v>5609</v>
      </c>
      <c r="AT273" t="s">
        <v>74</v>
      </c>
      <c r="AU273">
        <v>2021</v>
      </c>
      <c r="AV273">
        <v>14</v>
      </c>
      <c r="AW273" t="s">
        <v>74</v>
      </c>
      <c r="AX273" t="s">
        <v>74</v>
      </c>
      <c r="AY273" t="s">
        <v>74</v>
      </c>
      <c r="AZ273" t="s">
        <v>74</v>
      </c>
      <c r="BA273" t="s">
        <v>74</v>
      </c>
      <c r="BB273">
        <v>12035</v>
      </c>
      <c r="BC273">
        <v>12047</v>
      </c>
      <c r="BD273" t="s">
        <v>74</v>
      </c>
      <c r="BE273" t="s">
        <v>5610</v>
      </c>
      <c r="BF273" t="str">
        <f>HYPERLINK("http://dx.doi.org/10.1109/JSTARS.2021.3126547","http://dx.doi.org/10.1109/JSTARS.2021.3126547")</f>
        <v>http://dx.doi.org/10.1109/JSTARS.2021.3126547</v>
      </c>
      <c r="BG273" t="s">
        <v>74</v>
      </c>
      <c r="BH273" t="s">
        <v>74</v>
      </c>
      <c r="BI273">
        <v>13</v>
      </c>
      <c r="BJ273" t="s">
        <v>5611</v>
      </c>
      <c r="BK273" t="s">
        <v>103</v>
      </c>
      <c r="BL273" t="s">
        <v>5612</v>
      </c>
      <c r="BM273" t="s">
        <v>5613</v>
      </c>
      <c r="BN273" t="s">
        <v>74</v>
      </c>
      <c r="BO273" t="s">
        <v>326</v>
      </c>
      <c r="BP273" t="s">
        <v>74</v>
      </c>
      <c r="BQ273" t="s">
        <v>74</v>
      </c>
      <c r="BR273" t="s">
        <v>106</v>
      </c>
      <c r="BS273" t="s">
        <v>5614</v>
      </c>
      <c r="BT273" t="str">
        <f>HYPERLINK("https%3A%2F%2Fwww.webofscience.com%2Fwos%2Fwoscc%2Ffull-record%2FWOS:000728159900007","View Full Record in Web of Science")</f>
        <v>View Full Record in Web of Science</v>
      </c>
    </row>
    <row r="274" spans="1:72" x14ac:dyDescent="0.15">
      <c r="A274" t="s">
        <v>4589</v>
      </c>
      <c r="B274" t="s">
        <v>5615</v>
      </c>
      <c r="C274" t="s">
        <v>74</v>
      </c>
      <c r="D274" t="s">
        <v>4591</v>
      </c>
      <c r="E274" t="s">
        <v>74</v>
      </c>
      <c r="F274" t="s">
        <v>5616</v>
      </c>
      <c r="G274" t="s">
        <v>74</v>
      </c>
      <c r="H274" t="s">
        <v>74</v>
      </c>
      <c r="I274" t="s">
        <v>5617</v>
      </c>
      <c r="J274" t="s">
        <v>4594</v>
      </c>
      <c r="K274" t="s">
        <v>4595</v>
      </c>
      <c r="L274" t="s">
        <v>74</v>
      </c>
      <c r="M274" t="s">
        <v>78</v>
      </c>
      <c r="N274" t="s">
        <v>4596</v>
      </c>
      <c r="O274" t="s">
        <v>74</v>
      </c>
      <c r="P274" t="s">
        <v>74</v>
      </c>
      <c r="Q274" t="s">
        <v>74</v>
      </c>
      <c r="R274" t="s">
        <v>74</v>
      </c>
      <c r="S274" t="s">
        <v>74</v>
      </c>
      <c r="T274" t="s">
        <v>74</v>
      </c>
      <c r="U274" t="s">
        <v>5618</v>
      </c>
      <c r="V274" t="s">
        <v>5619</v>
      </c>
      <c r="W274" t="s">
        <v>5620</v>
      </c>
      <c r="X274" t="s">
        <v>5621</v>
      </c>
      <c r="Y274" t="s">
        <v>5184</v>
      </c>
      <c r="Z274" t="s">
        <v>5622</v>
      </c>
      <c r="AA274" t="s">
        <v>74</v>
      </c>
      <c r="AB274" t="s">
        <v>74</v>
      </c>
      <c r="AC274" t="s">
        <v>74</v>
      </c>
      <c r="AD274" t="s">
        <v>74</v>
      </c>
      <c r="AE274" t="s">
        <v>74</v>
      </c>
      <c r="AF274" t="s">
        <v>74</v>
      </c>
      <c r="AG274">
        <v>211</v>
      </c>
      <c r="AH274">
        <v>5</v>
      </c>
      <c r="AI274">
        <v>5</v>
      </c>
      <c r="AJ274">
        <v>2</v>
      </c>
      <c r="AK274">
        <v>3</v>
      </c>
      <c r="AL274" t="s">
        <v>4607</v>
      </c>
      <c r="AM274" t="s">
        <v>1914</v>
      </c>
      <c r="AN274" t="s">
        <v>4608</v>
      </c>
      <c r="AO274" t="s">
        <v>4609</v>
      </c>
      <c r="AP274" t="s">
        <v>74</v>
      </c>
      <c r="AQ274" t="s">
        <v>4610</v>
      </c>
      <c r="AR274" t="s">
        <v>4611</v>
      </c>
      <c r="AS274" t="s">
        <v>74</v>
      </c>
      <c r="AT274" t="s">
        <v>74</v>
      </c>
      <c r="AU274">
        <v>2021</v>
      </c>
      <c r="AV274">
        <v>55</v>
      </c>
      <c r="AW274" t="s">
        <v>74</v>
      </c>
      <c r="AX274" t="s">
        <v>74</v>
      </c>
      <c r="AY274" t="s">
        <v>74</v>
      </c>
      <c r="AZ274" t="s">
        <v>74</v>
      </c>
      <c r="BA274" t="s">
        <v>74</v>
      </c>
      <c r="BB274">
        <v>227</v>
      </c>
      <c r="BC274">
        <v>284</v>
      </c>
      <c r="BD274" t="s">
        <v>74</v>
      </c>
      <c r="BE274" t="s">
        <v>5623</v>
      </c>
      <c r="BF274" t="str">
        <f>HYPERLINK("http://dx.doi.org/10.1144/M55-2018-58","http://dx.doi.org/10.1144/M55-2018-58")</f>
        <v>http://dx.doi.org/10.1144/M55-2018-58</v>
      </c>
      <c r="BG274" t="s">
        <v>4613</v>
      </c>
      <c r="BH274" t="s">
        <v>74</v>
      </c>
      <c r="BI274">
        <v>58</v>
      </c>
      <c r="BJ274" t="s">
        <v>4614</v>
      </c>
      <c r="BK274" t="s">
        <v>4615</v>
      </c>
      <c r="BL274" t="s">
        <v>4614</v>
      </c>
      <c r="BM274" t="s">
        <v>4616</v>
      </c>
      <c r="BN274" t="s">
        <v>74</v>
      </c>
      <c r="BO274" t="s">
        <v>74</v>
      </c>
      <c r="BP274" t="s">
        <v>74</v>
      </c>
      <c r="BQ274" t="s">
        <v>74</v>
      </c>
      <c r="BR274" t="s">
        <v>106</v>
      </c>
      <c r="BS274" t="s">
        <v>5624</v>
      </c>
      <c r="BT274" t="str">
        <f>HYPERLINK("https%3A%2F%2Fwww.webofscience.com%2Fwos%2Fwoscc%2Ffull-record%2FWOS:000683732500016","View Full Record in Web of Science")</f>
        <v>View Full Record in Web of Science</v>
      </c>
    </row>
    <row r="275" spans="1:72" x14ac:dyDescent="0.15">
      <c r="A275" t="s">
        <v>4589</v>
      </c>
      <c r="B275" t="s">
        <v>5625</v>
      </c>
      <c r="C275" t="s">
        <v>74</v>
      </c>
      <c r="D275" t="s">
        <v>4591</v>
      </c>
      <c r="E275" t="s">
        <v>74</v>
      </c>
      <c r="F275" t="s">
        <v>5626</v>
      </c>
      <c r="G275" t="s">
        <v>74</v>
      </c>
      <c r="H275" t="s">
        <v>74</v>
      </c>
      <c r="I275" t="s">
        <v>5627</v>
      </c>
      <c r="J275" t="s">
        <v>4594</v>
      </c>
      <c r="K275" t="s">
        <v>4595</v>
      </c>
      <c r="L275" t="s">
        <v>74</v>
      </c>
      <c r="M275" t="s">
        <v>78</v>
      </c>
      <c r="N275" t="s">
        <v>4596</v>
      </c>
      <c r="O275" t="s">
        <v>74</v>
      </c>
      <c r="P275" t="s">
        <v>74</v>
      </c>
      <c r="Q275" t="s">
        <v>74</v>
      </c>
      <c r="R275" t="s">
        <v>74</v>
      </c>
      <c r="S275" t="s">
        <v>74</v>
      </c>
      <c r="T275" t="s">
        <v>74</v>
      </c>
      <c r="U275" t="s">
        <v>5628</v>
      </c>
      <c r="V275" t="s">
        <v>5629</v>
      </c>
      <c r="W275" t="s">
        <v>5630</v>
      </c>
      <c r="X275" t="s">
        <v>5631</v>
      </c>
      <c r="Y275" t="s">
        <v>5632</v>
      </c>
      <c r="Z275" t="s">
        <v>5633</v>
      </c>
      <c r="AA275" t="s">
        <v>74</v>
      </c>
      <c r="AB275" t="s">
        <v>5634</v>
      </c>
      <c r="AC275" t="s">
        <v>5635</v>
      </c>
      <c r="AD275" t="s">
        <v>5636</v>
      </c>
      <c r="AE275" t="s">
        <v>74</v>
      </c>
      <c r="AF275" t="s">
        <v>74</v>
      </c>
      <c r="AG275">
        <v>119</v>
      </c>
      <c r="AH275">
        <v>4</v>
      </c>
      <c r="AI275">
        <v>4</v>
      </c>
      <c r="AJ275">
        <v>1</v>
      </c>
      <c r="AK275">
        <v>1</v>
      </c>
      <c r="AL275" t="s">
        <v>4607</v>
      </c>
      <c r="AM275" t="s">
        <v>1914</v>
      </c>
      <c r="AN275" t="s">
        <v>4608</v>
      </c>
      <c r="AO275" t="s">
        <v>4609</v>
      </c>
      <c r="AP275" t="s">
        <v>74</v>
      </c>
      <c r="AQ275" t="s">
        <v>4610</v>
      </c>
      <c r="AR275" t="s">
        <v>4611</v>
      </c>
      <c r="AS275" t="s">
        <v>74</v>
      </c>
      <c r="AT275" t="s">
        <v>74</v>
      </c>
      <c r="AU275">
        <v>2021</v>
      </c>
      <c r="AV275">
        <v>55</v>
      </c>
      <c r="AW275" t="s">
        <v>74</v>
      </c>
      <c r="AX275" t="s">
        <v>74</v>
      </c>
      <c r="AY275" t="s">
        <v>74</v>
      </c>
      <c r="AZ275" t="s">
        <v>74</v>
      </c>
      <c r="BA275" t="s">
        <v>74</v>
      </c>
      <c r="BB275">
        <v>213</v>
      </c>
      <c r="BC275">
        <v>226</v>
      </c>
      <c r="BD275" t="s">
        <v>74</v>
      </c>
      <c r="BE275" t="s">
        <v>5637</v>
      </c>
      <c r="BF275" t="str">
        <f>HYPERLINK("http://dx.doi.org/10.1144/M55-2018-68","http://dx.doi.org/10.1144/M55-2018-68")</f>
        <v>http://dx.doi.org/10.1144/M55-2018-68</v>
      </c>
      <c r="BG275" t="s">
        <v>4613</v>
      </c>
      <c r="BH275" t="s">
        <v>74</v>
      </c>
      <c r="BI275">
        <v>14</v>
      </c>
      <c r="BJ275" t="s">
        <v>4614</v>
      </c>
      <c r="BK275" t="s">
        <v>4615</v>
      </c>
      <c r="BL275" t="s">
        <v>4614</v>
      </c>
      <c r="BM275" t="s">
        <v>4616</v>
      </c>
      <c r="BN275" t="s">
        <v>74</v>
      </c>
      <c r="BO275" t="s">
        <v>74</v>
      </c>
      <c r="BP275" t="s">
        <v>74</v>
      </c>
      <c r="BQ275" t="s">
        <v>74</v>
      </c>
      <c r="BR275" t="s">
        <v>106</v>
      </c>
      <c r="BS275" t="s">
        <v>5638</v>
      </c>
      <c r="BT275" t="str">
        <f>HYPERLINK("https%3A%2F%2Fwww.webofscience.com%2Fwos%2Fwoscc%2Ffull-record%2FWOS:000683732500015","View Full Record in Web of Science")</f>
        <v>View Full Record in Web of Science</v>
      </c>
    </row>
    <row r="276" spans="1:72" x14ac:dyDescent="0.15">
      <c r="A276" t="s">
        <v>4529</v>
      </c>
      <c r="B276" t="s">
        <v>5639</v>
      </c>
      <c r="C276" t="s">
        <v>74</v>
      </c>
      <c r="D276" t="s">
        <v>5640</v>
      </c>
      <c r="E276" t="s">
        <v>74</v>
      </c>
      <c r="F276" t="s">
        <v>5641</v>
      </c>
      <c r="G276" t="s">
        <v>74</v>
      </c>
      <c r="H276" t="s">
        <v>74</v>
      </c>
      <c r="I276" t="s">
        <v>5642</v>
      </c>
      <c r="J276" t="s">
        <v>5643</v>
      </c>
      <c r="K276" t="s">
        <v>5644</v>
      </c>
      <c r="L276" t="s">
        <v>74</v>
      </c>
      <c r="M276" t="s">
        <v>78</v>
      </c>
      <c r="N276" t="s">
        <v>4535</v>
      </c>
      <c r="O276" t="s">
        <v>5645</v>
      </c>
      <c r="P276" t="s">
        <v>5646</v>
      </c>
      <c r="Q276" t="s">
        <v>5647</v>
      </c>
      <c r="R276" t="s">
        <v>74</v>
      </c>
      <c r="S276" t="s">
        <v>74</v>
      </c>
      <c r="T276" t="s">
        <v>5648</v>
      </c>
      <c r="U276" t="s">
        <v>74</v>
      </c>
      <c r="V276" t="s">
        <v>5649</v>
      </c>
      <c r="W276" t="s">
        <v>5650</v>
      </c>
      <c r="X276" t="s">
        <v>5651</v>
      </c>
      <c r="Y276" t="s">
        <v>5652</v>
      </c>
      <c r="Z276" t="s">
        <v>5653</v>
      </c>
      <c r="AA276" t="s">
        <v>5654</v>
      </c>
      <c r="AB276" t="s">
        <v>5655</v>
      </c>
      <c r="AC276" t="s">
        <v>74</v>
      </c>
      <c r="AD276" t="s">
        <v>74</v>
      </c>
      <c r="AE276" t="s">
        <v>74</v>
      </c>
      <c r="AF276" t="s">
        <v>74</v>
      </c>
      <c r="AG276">
        <v>8</v>
      </c>
      <c r="AH276">
        <v>0</v>
      </c>
      <c r="AI276">
        <v>0</v>
      </c>
      <c r="AJ276">
        <v>0</v>
      </c>
      <c r="AK276">
        <v>0</v>
      </c>
      <c r="AL276" t="s">
        <v>5656</v>
      </c>
      <c r="AM276" t="s">
        <v>5657</v>
      </c>
      <c r="AN276" t="s">
        <v>5658</v>
      </c>
      <c r="AO276" t="s">
        <v>5659</v>
      </c>
      <c r="AP276" t="s">
        <v>5660</v>
      </c>
      <c r="AQ276" t="s">
        <v>5661</v>
      </c>
      <c r="AR276" t="s">
        <v>5662</v>
      </c>
      <c r="AS276" t="s">
        <v>74</v>
      </c>
      <c r="AT276" t="s">
        <v>74</v>
      </c>
      <c r="AU276">
        <v>2021</v>
      </c>
      <c r="AV276">
        <v>12950</v>
      </c>
      <c r="AW276" t="s">
        <v>74</v>
      </c>
      <c r="AX276" t="s">
        <v>74</v>
      </c>
      <c r="AY276" t="s">
        <v>74</v>
      </c>
      <c r="AZ276" t="s">
        <v>74</v>
      </c>
      <c r="BA276" t="s">
        <v>74</v>
      </c>
      <c r="BB276">
        <v>3</v>
      </c>
      <c r="BC276">
        <v>17</v>
      </c>
      <c r="BD276" t="s">
        <v>74</v>
      </c>
      <c r="BE276" t="s">
        <v>5663</v>
      </c>
      <c r="BF276" t="str">
        <f>HYPERLINK("http://dx.doi.org/10.1007/978-3-030-86960-1_1","http://dx.doi.org/10.1007/978-3-030-86960-1_1")</f>
        <v>http://dx.doi.org/10.1007/978-3-030-86960-1_1</v>
      </c>
      <c r="BG276" t="s">
        <v>74</v>
      </c>
      <c r="BH276" t="s">
        <v>74</v>
      </c>
      <c r="BI276">
        <v>15</v>
      </c>
      <c r="BJ276" t="s">
        <v>5664</v>
      </c>
      <c r="BK276" t="s">
        <v>4553</v>
      </c>
      <c r="BL276" t="s">
        <v>5665</v>
      </c>
      <c r="BM276" t="s">
        <v>5666</v>
      </c>
      <c r="BN276" t="s">
        <v>74</v>
      </c>
      <c r="BO276" t="s">
        <v>74</v>
      </c>
      <c r="BP276" t="s">
        <v>74</v>
      </c>
      <c r="BQ276" t="s">
        <v>74</v>
      </c>
      <c r="BR276" t="s">
        <v>106</v>
      </c>
      <c r="BS276" t="s">
        <v>5667</v>
      </c>
      <c r="BT276" t="str">
        <f>HYPERLINK("https%3A%2F%2Fwww.webofscience.com%2Fwos%2Fwoscc%2Ffull-record%2FWOS:000722379800001","View Full Record in Web of Science")</f>
        <v>View Full Record in Web of Science</v>
      </c>
    </row>
    <row r="277" spans="1:72" x14ac:dyDescent="0.15">
      <c r="A277" t="s">
        <v>72</v>
      </c>
      <c r="B277" t="s">
        <v>5668</v>
      </c>
      <c r="C277" t="s">
        <v>74</v>
      </c>
      <c r="D277" t="s">
        <v>74</v>
      </c>
      <c r="E277" t="s">
        <v>74</v>
      </c>
      <c r="F277" t="s">
        <v>5669</v>
      </c>
      <c r="G277" t="s">
        <v>74</v>
      </c>
      <c r="H277" t="s">
        <v>74</v>
      </c>
      <c r="I277" t="s">
        <v>5670</v>
      </c>
      <c r="J277" t="s">
        <v>5001</v>
      </c>
      <c r="K277" t="s">
        <v>74</v>
      </c>
      <c r="L277" t="s">
        <v>74</v>
      </c>
      <c r="M277" t="s">
        <v>78</v>
      </c>
      <c r="N277" t="s">
        <v>79</v>
      </c>
      <c r="O277" t="s">
        <v>74</v>
      </c>
      <c r="P277" t="s">
        <v>74</v>
      </c>
      <c r="Q277" t="s">
        <v>74</v>
      </c>
      <c r="R277" t="s">
        <v>74</v>
      </c>
      <c r="S277" t="s">
        <v>74</v>
      </c>
      <c r="T277" t="s">
        <v>5671</v>
      </c>
      <c r="U277" t="s">
        <v>5672</v>
      </c>
      <c r="V277" t="s">
        <v>5673</v>
      </c>
      <c r="W277" t="s">
        <v>5674</v>
      </c>
      <c r="X277" t="s">
        <v>5675</v>
      </c>
      <c r="Y277" t="s">
        <v>5676</v>
      </c>
      <c r="Z277" t="s">
        <v>5677</v>
      </c>
      <c r="AA277" t="s">
        <v>5678</v>
      </c>
      <c r="AB277" t="s">
        <v>5679</v>
      </c>
      <c r="AC277" t="s">
        <v>5680</v>
      </c>
      <c r="AD277" t="s">
        <v>5681</v>
      </c>
      <c r="AE277" t="s">
        <v>5682</v>
      </c>
      <c r="AF277" t="s">
        <v>74</v>
      </c>
      <c r="AG277">
        <v>76</v>
      </c>
      <c r="AH277">
        <v>0</v>
      </c>
      <c r="AI277">
        <v>0</v>
      </c>
      <c r="AJ277">
        <v>0</v>
      </c>
      <c r="AK277">
        <v>5</v>
      </c>
      <c r="AL277" t="s">
        <v>5014</v>
      </c>
      <c r="AM277" t="s">
        <v>5015</v>
      </c>
      <c r="AN277" t="s">
        <v>5016</v>
      </c>
      <c r="AO277" t="s">
        <v>5017</v>
      </c>
      <c r="AP277" t="s">
        <v>5018</v>
      </c>
      <c r="AQ277" t="s">
        <v>74</v>
      </c>
      <c r="AR277" t="s">
        <v>5019</v>
      </c>
      <c r="AS277" t="s">
        <v>5020</v>
      </c>
      <c r="AT277" t="s">
        <v>74</v>
      </c>
      <c r="AU277">
        <v>2021</v>
      </c>
      <c r="AV277">
        <v>94</v>
      </c>
      <c r="AW277" t="s">
        <v>74</v>
      </c>
      <c r="AX277" t="s">
        <v>74</v>
      </c>
      <c r="AY277">
        <v>1</v>
      </c>
      <c r="AZ277" t="s">
        <v>74</v>
      </c>
      <c r="BA277" t="s">
        <v>74</v>
      </c>
      <c r="BB277" t="s">
        <v>74</v>
      </c>
      <c r="BC277" t="s">
        <v>74</v>
      </c>
      <c r="BD277" t="s">
        <v>5683</v>
      </c>
      <c r="BE277" t="s">
        <v>5684</v>
      </c>
      <c r="BF277" t="str">
        <f>HYPERLINK("http://dx.doi.org/10.1590/0001-376520220190657","http://dx.doi.org/10.1590/0001-376520220190657")</f>
        <v>http://dx.doi.org/10.1590/0001-376520220190657</v>
      </c>
      <c r="BG277" t="s">
        <v>74</v>
      </c>
      <c r="BH277" t="s">
        <v>74</v>
      </c>
      <c r="BI277">
        <v>16</v>
      </c>
      <c r="BJ277" t="s">
        <v>534</v>
      </c>
      <c r="BK277" t="s">
        <v>103</v>
      </c>
      <c r="BL277" t="s">
        <v>535</v>
      </c>
      <c r="BM277" t="s">
        <v>5685</v>
      </c>
      <c r="BN277" t="s">
        <v>74</v>
      </c>
      <c r="BO277" t="s">
        <v>74</v>
      </c>
      <c r="BP277" t="s">
        <v>74</v>
      </c>
      <c r="BQ277" t="s">
        <v>74</v>
      </c>
      <c r="BR277" t="s">
        <v>106</v>
      </c>
      <c r="BS277" t="s">
        <v>5686</v>
      </c>
      <c r="BT277" t="str">
        <f>HYPERLINK("https%3A%2F%2Fwww.webofscience.com%2Fwos%2Fwoscc%2Ffull-record%2FWOS:000715510000001","View Full Record in Web of Science")</f>
        <v>View Full Record in Web of Science</v>
      </c>
    </row>
    <row r="278" spans="1:72" x14ac:dyDescent="0.15">
      <c r="A278" t="s">
        <v>4589</v>
      </c>
      <c r="B278" t="s">
        <v>5687</v>
      </c>
      <c r="C278" t="s">
        <v>74</v>
      </c>
      <c r="D278" t="s">
        <v>4591</v>
      </c>
      <c r="E278" t="s">
        <v>74</v>
      </c>
      <c r="F278" t="s">
        <v>5688</v>
      </c>
      <c r="G278" t="s">
        <v>74</v>
      </c>
      <c r="H278" t="s">
        <v>74</v>
      </c>
      <c r="I278" t="s">
        <v>5689</v>
      </c>
      <c r="J278" t="s">
        <v>4594</v>
      </c>
      <c r="K278" t="s">
        <v>4595</v>
      </c>
      <c r="L278" t="s">
        <v>74</v>
      </c>
      <c r="M278" t="s">
        <v>78</v>
      </c>
      <c r="N278" t="s">
        <v>4596</v>
      </c>
      <c r="O278" t="s">
        <v>74</v>
      </c>
      <c r="P278" t="s">
        <v>74</v>
      </c>
      <c r="Q278" t="s">
        <v>74</v>
      </c>
      <c r="R278" t="s">
        <v>74</v>
      </c>
      <c r="S278" t="s">
        <v>74</v>
      </c>
      <c r="T278" t="s">
        <v>74</v>
      </c>
      <c r="U278" t="s">
        <v>5690</v>
      </c>
      <c r="V278" t="s">
        <v>5691</v>
      </c>
      <c r="W278" t="s">
        <v>5692</v>
      </c>
      <c r="X278" t="s">
        <v>5693</v>
      </c>
      <c r="Y278" t="s">
        <v>5694</v>
      </c>
      <c r="Z278" t="s">
        <v>5695</v>
      </c>
      <c r="AA278" t="s">
        <v>4603</v>
      </c>
      <c r="AB278" t="s">
        <v>5696</v>
      </c>
      <c r="AC278" t="s">
        <v>74</v>
      </c>
      <c r="AD278" t="s">
        <v>74</v>
      </c>
      <c r="AE278" t="s">
        <v>74</v>
      </c>
      <c r="AF278" t="s">
        <v>74</v>
      </c>
      <c r="AG278">
        <v>91</v>
      </c>
      <c r="AH278">
        <v>10</v>
      </c>
      <c r="AI278">
        <v>10</v>
      </c>
      <c r="AJ278">
        <v>0</v>
      </c>
      <c r="AK278">
        <v>0</v>
      </c>
      <c r="AL278" t="s">
        <v>4607</v>
      </c>
      <c r="AM278" t="s">
        <v>1914</v>
      </c>
      <c r="AN278" t="s">
        <v>4608</v>
      </c>
      <c r="AO278" t="s">
        <v>4609</v>
      </c>
      <c r="AP278" t="s">
        <v>74</v>
      </c>
      <c r="AQ278" t="s">
        <v>4610</v>
      </c>
      <c r="AR278" t="s">
        <v>4611</v>
      </c>
      <c r="AS278" t="s">
        <v>74</v>
      </c>
      <c r="AT278" t="s">
        <v>74</v>
      </c>
      <c r="AU278">
        <v>2021</v>
      </c>
      <c r="AV278">
        <v>55</v>
      </c>
      <c r="AW278" t="s">
        <v>74</v>
      </c>
      <c r="AX278" t="s">
        <v>74</v>
      </c>
      <c r="AY278" t="s">
        <v>74</v>
      </c>
      <c r="AZ278" t="s">
        <v>74</v>
      </c>
      <c r="BA278" t="s">
        <v>74</v>
      </c>
      <c r="BB278">
        <v>43</v>
      </c>
      <c r="BC278">
        <v>53</v>
      </c>
      <c r="BD278" t="s">
        <v>74</v>
      </c>
      <c r="BE278" t="s">
        <v>5697</v>
      </c>
      <c r="BF278" t="str">
        <f>HYPERLINK("http://dx.doi.org/10.1144/M55-2020-10","http://dx.doi.org/10.1144/M55-2020-10")</f>
        <v>http://dx.doi.org/10.1144/M55-2020-10</v>
      </c>
      <c r="BG278" t="s">
        <v>4613</v>
      </c>
      <c r="BH278" t="s">
        <v>74</v>
      </c>
      <c r="BI278">
        <v>11</v>
      </c>
      <c r="BJ278" t="s">
        <v>4614</v>
      </c>
      <c r="BK278" t="s">
        <v>4615</v>
      </c>
      <c r="BL278" t="s">
        <v>4614</v>
      </c>
      <c r="BM278" t="s">
        <v>4616</v>
      </c>
      <c r="BN278" t="s">
        <v>74</v>
      </c>
      <c r="BO278" t="s">
        <v>74</v>
      </c>
      <c r="BP278" t="s">
        <v>74</v>
      </c>
      <c r="BQ278" t="s">
        <v>74</v>
      </c>
      <c r="BR278" t="s">
        <v>106</v>
      </c>
      <c r="BS278" t="s">
        <v>5698</v>
      </c>
      <c r="BT278" t="str">
        <f>HYPERLINK("https%3A%2F%2Fwww.webofscience.com%2Fwos%2Fwoscc%2Ffull-record%2FWOS:000683732500005","View Full Record in Web of Science")</f>
        <v>View Full Record in Web of Science</v>
      </c>
    </row>
    <row r="279" spans="1:72" x14ac:dyDescent="0.15">
      <c r="A279" t="s">
        <v>4589</v>
      </c>
      <c r="B279" t="s">
        <v>5699</v>
      </c>
      <c r="C279" t="s">
        <v>74</v>
      </c>
      <c r="D279" t="s">
        <v>4591</v>
      </c>
      <c r="E279" t="s">
        <v>74</v>
      </c>
      <c r="F279" t="s">
        <v>5700</v>
      </c>
      <c r="G279" t="s">
        <v>74</v>
      </c>
      <c r="H279" t="s">
        <v>74</v>
      </c>
      <c r="I279" t="s">
        <v>5701</v>
      </c>
      <c r="J279" t="s">
        <v>4594</v>
      </c>
      <c r="K279" t="s">
        <v>4595</v>
      </c>
      <c r="L279" t="s">
        <v>74</v>
      </c>
      <c r="M279" t="s">
        <v>78</v>
      </c>
      <c r="N279" t="s">
        <v>4596</v>
      </c>
      <c r="O279" t="s">
        <v>74</v>
      </c>
      <c r="P279" t="s">
        <v>74</v>
      </c>
      <c r="Q279" t="s">
        <v>74</v>
      </c>
      <c r="R279" t="s">
        <v>74</v>
      </c>
      <c r="S279" t="s">
        <v>74</v>
      </c>
      <c r="T279" t="s">
        <v>74</v>
      </c>
      <c r="U279" t="s">
        <v>5702</v>
      </c>
      <c r="V279" t="s">
        <v>5703</v>
      </c>
      <c r="W279" t="s">
        <v>5704</v>
      </c>
      <c r="X279" t="s">
        <v>5705</v>
      </c>
      <c r="Y279" t="s">
        <v>5706</v>
      </c>
      <c r="Z279" t="s">
        <v>5707</v>
      </c>
      <c r="AA279" t="s">
        <v>74</v>
      </c>
      <c r="AB279" t="s">
        <v>5708</v>
      </c>
      <c r="AC279" t="s">
        <v>5709</v>
      </c>
      <c r="AD279" t="s">
        <v>5710</v>
      </c>
      <c r="AE279" t="s">
        <v>5711</v>
      </c>
      <c r="AF279" t="s">
        <v>74</v>
      </c>
      <c r="AG279">
        <v>73</v>
      </c>
      <c r="AH279">
        <v>6</v>
      </c>
      <c r="AI279">
        <v>6</v>
      </c>
      <c r="AJ279">
        <v>0</v>
      </c>
      <c r="AK279">
        <v>0</v>
      </c>
      <c r="AL279" t="s">
        <v>4607</v>
      </c>
      <c r="AM279" t="s">
        <v>1914</v>
      </c>
      <c r="AN279" t="s">
        <v>4608</v>
      </c>
      <c r="AO279" t="s">
        <v>4609</v>
      </c>
      <c r="AP279" t="s">
        <v>74</v>
      </c>
      <c r="AQ279" t="s">
        <v>4610</v>
      </c>
      <c r="AR279" t="s">
        <v>4611</v>
      </c>
      <c r="AS279" t="s">
        <v>74</v>
      </c>
      <c r="AT279" t="s">
        <v>74</v>
      </c>
      <c r="AU279">
        <v>2021</v>
      </c>
      <c r="AV279">
        <v>55</v>
      </c>
      <c r="AW279" t="s">
        <v>74</v>
      </c>
      <c r="AX279" t="s">
        <v>74</v>
      </c>
      <c r="AY279" t="s">
        <v>74</v>
      </c>
      <c r="AZ279" t="s">
        <v>74</v>
      </c>
      <c r="BA279" t="s">
        <v>74</v>
      </c>
      <c r="BB279">
        <v>121</v>
      </c>
      <c r="BC279">
        <v>138</v>
      </c>
      <c r="BD279" t="s">
        <v>74</v>
      </c>
      <c r="BE279" t="s">
        <v>5712</v>
      </c>
      <c r="BF279" t="str">
        <f>HYPERLINK("http://dx.doi.org/10.1144/M55-2018-36","http://dx.doi.org/10.1144/M55-2018-36")</f>
        <v>http://dx.doi.org/10.1144/M55-2018-36</v>
      </c>
      <c r="BG279" t="s">
        <v>4613</v>
      </c>
      <c r="BH279" t="s">
        <v>74</v>
      </c>
      <c r="BI279">
        <v>18</v>
      </c>
      <c r="BJ279" t="s">
        <v>4614</v>
      </c>
      <c r="BK279" t="s">
        <v>4615</v>
      </c>
      <c r="BL279" t="s">
        <v>4614</v>
      </c>
      <c r="BM279" t="s">
        <v>4616</v>
      </c>
      <c r="BN279" t="s">
        <v>74</v>
      </c>
      <c r="BO279" t="s">
        <v>74</v>
      </c>
      <c r="BP279" t="s">
        <v>74</v>
      </c>
      <c r="BQ279" t="s">
        <v>74</v>
      </c>
      <c r="BR279" t="s">
        <v>106</v>
      </c>
      <c r="BS279" t="s">
        <v>5713</v>
      </c>
      <c r="BT279" t="str">
        <f>HYPERLINK("https%3A%2F%2Fwww.webofscience.com%2Fwos%2Fwoscc%2Ffull-record%2FWOS:000683732500010","View Full Record in Web of Science")</f>
        <v>View Full Record in Web of Science</v>
      </c>
    </row>
    <row r="280" spans="1:72" x14ac:dyDescent="0.15">
      <c r="A280" t="s">
        <v>4589</v>
      </c>
      <c r="B280" t="s">
        <v>5699</v>
      </c>
      <c r="C280" t="s">
        <v>74</v>
      </c>
      <c r="D280" t="s">
        <v>4591</v>
      </c>
      <c r="E280" t="s">
        <v>74</v>
      </c>
      <c r="F280" t="s">
        <v>5700</v>
      </c>
      <c r="G280" t="s">
        <v>74</v>
      </c>
      <c r="H280" t="s">
        <v>74</v>
      </c>
      <c r="I280" t="s">
        <v>5714</v>
      </c>
      <c r="J280" t="s">
        <v>4594</v>
      </c>
      <c r="K280" t="s">
        <v>4595</v>
      </c>
      <c r="L280" t="s">
        <v>74</v>
      </c>
      <c r="M280" t="s">
        <v>78</v>
      </c>
      <c r="N280" t="s">
        <v>4596</v>
      </c>
      <c r="O280" t="s">
        <v>74</v>
      </c>
      <c r="P280" t="s">
        <v>74</v>
      </c>
      <c r="Q280" t="s">
        <v>74</v>
      </c>
      <c r="R280" t="s">
        <v>74</v>
      </c>
      <c r="S280" t="s">
        <v>74</v>
      </c>
      <c r="T280" t="s">
        <v>74</v>
      </c>
      <c r="U280" t="s">
        <v>5715</v>
      </c>
      <c r="V280" t="s">
        <v>5716</v>
      </c>
      <c r="W280" t="s">
        <v>5717</v>
      </c>
      <c r="X280" t="s">
        <v>5705</v>
      </c>
      <c r="Y280" t="s">
        <v>5718</v>
      </c>
      <c r="Z280" t="s">
        <v>5707</v>
      </c>
      <c r="AA280" t="s">
        <v>74</v>
      </c>
      <c r="AB280" t="s">
        <v>5708</v>
      </c>
      <c r="AC280" t="s">
        <v>5709</v>
      </c>
      <c r="AD280" t="s">
        <v>5710</v>
      </c>
      <c r="AE280" t="s">
        <v>5711</v>
      </c>
      <c r="AF280" t="s">
        <v>74</v>
      </c>
      <c r="AG280">
        <v>59</v>
      </c>
      <c r="AH280">
        <v>1</v>
      </c>
      <c r="AI280">
        <v>1</v>
      </c>
      <c r="AJ280">
        <v>0</v>
      </c>
      <c r="AK280">
        <v>0</v>
      </c>
      <c r="AL280" t="s">
        <v>4607</v>
      </c>
      <c r="AM280" t="s">
        <v>1914</v>
      </c>
      <c r="AN280" t="s">
        <v>4608</v>
      </c>
      <c r="AO280" t="s">
        <v>4609</v>
      </c>
      <c r="AP280" t="s">
        <v>74</v>
      </c>
      <c r="AQ280" t="s">
        <v>4610</v>
      </c>
      <c r="AR280" t="s">
        <v>4611</v>
      </c>
      <c r="AS280" t="s">
        <v>74</v>
      </c>
      <c r="AT280" t="s">
        <v>74</v>
      </c>
      <c r="AU280">
        <v>2021</v>
      </c>
      <c r="AV280">
        <v>55</v>
      </c>
      <c r="AW280" t="s">
        <v>74</v>
      </c>
      <c r="AX280" t="s">
        <v>74</v>
      </c>
      <c r="AY280" t="s">
        <v>74</v>
      </c>
      <c r="AZ280" t="s">
        <v>74</v>
      </c>
      <c r="BA280" t="s">
        <v>74</v>
      </c>
      <c r="BB280">
        <v>139</v>
      </c>
      <c r="BC280">
        <v>156</v>
      </c>
      <c r="BD280" t="s">
        <v>74</v>
      </c>
      <c r="BE280" t="s">
        <v>5719</v>
      </c>
      <c r="BF280" t="str">
        <f>HYPERLINK("http://dx.doi.org/10.1144/M55-2018-51","http://dx.doi.org/10.1144/M55-2018-51")</f>
        <v>http://dx.doi.org/10.1144/M55-2018-51</v>
      </c>
      <c r="BG280" t="s">
        <v>4613</v>
      </c>
      <c r="BH280" t="s">
        <v>74</v>
      </c>
      <c r="BI280">
        <v>18</v>
      </c>
      <c r="BJ280" t="s">
        <v>4614</v>
      </c>
      <c r="BK280" t="s">
        <v>4615</v>
      </c>
      <c r="BL280" t="s">
        <v>4614</v>
      </c>
      <c r="BM280" t="s">
        <v>4616</v>
      </c>
      <c r="BN280" t="s">
        <v>74</v>
      </c>
      <c r="BO280" t="s">
        <v>74</v>
      </c>
      <c r="BP280" t="s">
        <v>74</v>
      </c>
      <c r="BQ280" t="s">
        <v>74</v>
      </c>
      <c r="BR280" t="s">
        <v>106</v>
      </c>
      <c r="BS280" t="s">
        <v>5720</v>
      </c>
      <c r="BT280" t="str">
        <f>HYPERLINK("https%3A%2F%2Fwww.webofscience.com%2Fwos%2Fwoscc%2Ffull-record%2FWOS:000683732500011","View Full Record in Web of Science")</f>
        <v>View Full Record in Web of Science</v>
      </c>
    </row>
    <row r="281" spans="1:72" x14ac:dyDescent="0.15">
      <c r="A281" t="s">
        <v>4589</v>
      </c>
      <c r="B281" t="s">
        <v>5625</v>
      </c>
      <c r="C281" t="s">
        <v>74</v>
      </c>
      <c r="D281" t="s">
        <v>4591</v>
      </c>
      <c r="E281" t="s">
        <v>74</v>
      </c>
      <c r="F281" t="s">
        <v>5626</v>
      </c>
      <c r="G281" t="s">
        <v>74</v>
      </c>
      <c r="H281" t="s">
        <v>74</v>
      </c>
      <c r="I281" t="s">
        <v>5721</v>
      </c>
      <c r="J281" t="s">
        <v>4594</v>
      </c>
      <c r="K281" t="s">
        <v>4595</v>
      </c>
      <c r="L281" t="s">
        <v>74</v>
      </c>
      <c r="M281" t="s">
        <v>78</v>
      </c>
      <c r="N281" t="s">
        <v>4596</v>
      </c>
      <c r="O281" t="s">
        <v>74</v>
      </c>
      <c r="P281" t="s">
        <v>74</v>
      </c>
      <c r="Q281" t="s">
        <v>74</v>
      </c>
      <c r="R281" t="s">
        <v>74</v>
      </c>
      <c r="S281" t="s">
        <v>74</v>
      </c>
      <c r="T281" t="s">
        <v>74</v>
      </c>
      <c r="U281" t="s">
        <v>5722</v>
      </c>
      <c r="V281" t="s">
        <v>5723</v>
      </c>
      <c r="W281" t="s">
        <v>5630</v>
      </c>
      <c r="X281" t="s">
        <v>5631</v>
      </c>
      <c r="Y281" t="s">
        <v>5632</v>
      </c>
      <c r="Z281" t="s">
        <v>5633</v>
      </c>
      <c r="AA281" t="s">
        <v>74</v>
      </c>
      <c r="AB281" t="s">
        <v>74</v>
      </c>
      <c r="AC281" t="s">
        <v>74</v>
      </c>
      <c r="AD281" t="s">
        <v>74</v>
      </c>
      <c r="AE281" t="s">
        <v>74</v>
      </c>
      <c r="AF281" t="s">
        <v>74</v>
      </c>
      <c r="AG281">
        <v>158</v>
      </c>
      <c r="AH281">
        <v>4</v>
      </c>
      <c r="AI281">
        <v>4</v>
      </c>
      <c r="AJ281">
        <v>0</v>
      </c>
      <c r="AK281">
        <v>4</v>
      </c>
      <c r="AL281" t="s">
        <v>4607</v>
      </c>
      <c r="AM281" t="s">
        <v>1914</v>
      </c>
      <c r="AN281" t="s">
        <v>4608</v>
      </c>
      <c r="AO281" t="s">
        <v>4609</v>
      </c>
      <c r="AP281" t="s">
        <v>74</v>
      </c>
      <c r="AQ281" t="s">
        <v>4610</v>
      </c>
      <c r="AR281" t="s">
        <v>4611</v>
      </c>
      <c r="AS281" t="s">
        <v>74</v>
      </c>
      <c r="AT281" t="s">
        <v>74</v>
      </c>
      <c r="AU281">
        <v>2021</v>
      </c>
      <c r="AV281">
        <v>55</v>
      </c>
      <c r="AW281" t="s">
        <v>74</v>
      </c>
      <c r="AX281" t="s">
        <v>74</v>
      </c>
      <c r="AY281" t="s">
        <v>74</v>
      </c>
      <c r="AZ281" t="s">
        <v>74</v>
      </c>
      <c r="BA281" t="s">
        <v>74</v>
      </c>
      <c r="BB281">
        <v>185</v>
      </c>
      <c r="BC281">
        <v>212</v>
      </c>
      <c r="BD281" t="s">
        <v>74</v>
      </c>
      <c r="BE281" t="s">
        <v>5724</v>
      </c>
      <c r="BF281" t="str">
        <f>HYPERLINK("http://dx.doi.org/10.1144/M55-2018-52","http://dx.doi.org/10.1144/M55-2018-52")</f>
        <v>http://dx.doi.org/10.1144/M55-2018-52</v>
      </c>
      <c r="BG281" t="s">
        <v>4613</v>
      </c>
      <c r="BH281" t="s">
        <v>74</v>
      </c>
      <c r="BI281">
        <v>28</v>
      </c>
      <c r="BJ281" t="s">
        <v>4614</v>
      </c>
      <c r="BK281" t="s">
        <v>4615</v>
      </c>
      <c r="BL281" t="s">
        <v>4614</v>
      </c>
      <c r="BM281" t="s">
        <v>4616</v>
      </c>
      <c r="BN281" t="s">
        <v>74</v>
      </c>
      <c r="BO281" t="s">
        <v>74</v>
      </c>
      <c r="BP281" t="s">
        <v>74</v>
      </c>
      <c r="BQ281" t="s">
        <v>74</v>
      </c>
      <c r="BR281" t="s">
        <v>106</v>
      </c>
      <c r="BS281" t="s">
        <v>5725</v>
      </c>
      <c r="BT281" t="str">
        <f>HYPERLINK("https%3A%2F%2Fwww.webofscience.com%2Fwos%2Fwoscc%2Ffull-record%2FWOS:000683732500014","View Full Record in Web of Science")</f>
        <v>View Full Record in Web of Science</v>
      </c>
    </row>
    <row r="282" spans="1:72" x14ac:dyDescent="0.15">
      <c r="A282" t="s">
        <v>4589</v>
      </c>
      <c r="B282" t="s">
        <v>5726</v>
      </c>
      <c r="C282" t="s">
        <v>74</v>
      </c>
      <c r="D282" t="s">
        <v>4591</v>
      </c>
      <c r="E282" t="s">
        <v>74</v>
      </c>
      <c r="F282" t="s">
        <v>5727</v>
      </c>
      <c r="G282" t="s">
        <v>74</v>
      </c>
      <c r="H282" t="s">
        <v>74</v>
      </c>
      <c r="I282" t="s">
        <v>5728</v>
      </c>
      <c r="J282" t="s">
        <v>4594</v>
      </c>
      <c r="K282" t="s">
        <v>4595</v>
      </c>
      <c r="L282" t="s">
        <v>74</v>
      </c>
      <c r="M282" t="s">
        <v>78</v>
      </c>
      <c r="N282" t="s">
        <v>4596</v>
      </c>
      <c r="O282" t="s">
        <v>74</v>
      </c>
      <c r="P282" t="s">
        <v>74</v>
      </c>
      <c r="Q282" t="s">
        <v>74</v>
      </c>
      <c r="R282" t="s">
        <v>74</v>
      </c>
      <c r="S282" t="s">
        <v>74</v>
      </c>
      <c r="T282" t="s">
        <v>74</v>
      </c>
      <c r="U282" t="s">
        <v>5729</v>
      </c>
      <c r="V282" t="s">
        <v>5730</v>
      </c>
      <c r="W282" t="s">
        <v>5731</v>
      </c>
      <c r="X282" t="s">
        <v>5732</v>
      </c>
      <c r="Y282" t="s">
        <v>5733</v>
      </c>
      <c r="Z282" t="s">
        <v>5734</v>
      </c>
      <c r="AA282" t="s">
        <v>5735</v>
      </c>
      <c r="AB282" t="s">
        <v>5736</v>
      </c>
      <c r="AC282" t="s">
        <v>74</v>
      </c>
      <c r="AD282" t="s">
        <v>74</v>
      </c>
      <c r="AE282" t="s">
        <v>74</v>
      </c>
      <c r="AF282" t="s">
        <v>74</v>
      </c>
      <c r="AG282">
        <v>69</v>
      </c>
      <c r="AH282">
        <v>11</v>
      </c>
      <c r="AI282">
        <v>12</v>
      </c>
      <c r="AJ282">
        <v>0</v>
      </c>
      <c r="AK282">
        <v>1</v>
      </c>
      <c r="AL282" t="s">
        <v>4607</v>
      </c>
      <c r="AM282" t="s">
        <v>1914</v>
      </c>
      <c r="AN282" t="s">
        <v>4608</v>
      </c>
      <c r="AO282" t="s">
        <v>4609</v>
      </c>
      <c r="AP282" t="s">
        <v>74</v>
      </c>
      <c r="AQ282" t="s">
        <v>4610</v>
      </c>
      <c r="AR282" t="s">
        <v>4611</v>
      </c>
      <c r="AS282" t="s">
        <v>74</v>
      </c>
      <c r="AT282" t="s">
        <v>74</v>
      </c>
      <c r="AU282">
        <v>2021</v>
      </c>
      <c r="AV282">
        <v>55</v>
      </c>
      <c r="AW282" t="s">
        <v>74</v>
      </c>
      <c r="AX282" t="s">
        <v>74</v>
      </c>
      <c r="AY282" t="s">
        <v>74</v>
      </c>
      <c r="AZ282" t="s">
        <v>74</v>
      </c>
      <c r="BA282" t="s">
        <v>74</v>
      </c>
      <c r="BB282">
        <v>285</v>
      </c>
      <c r="BC282">
        <v>301</v>
      </c>
      <c r="BD282" t="s">
        <v>74</v>
      </c>
      <c r="BE282" t="s">
        <v>5737</v>
      </c>
      <c r="BF282" t="str">
        <f>HYPERLINK("http://dx.doi.org/10.1144/M55-2018-37","http://dx.doi.org/10.1144/M55-2018-37")</f>
        <v>http://dx.doi.org/10.1144/M55-2018-37</v>
      </c>
      <c r="BG282" t="s">
        <v>4613</v>
      </c>
      <c r="BH282" t="s">
        <v>74</v>
      </c>
      <c r="BI282">
        <v>17</v>
      </c>
      <c r="BJ282" t="s">
        <v>4614</v>
      </c>
      <c r="BK282" t="s">
        <v>4615</v>
      </c>
      <c r="BL282" t="s">
        <v>4614</v>
      </c>
      <c r="BM282" t="s">
        <v>4616</v>
      </c>
      <c r="BN282" t="s">
        <v>74</v>
      </c>
      <c r="BO282" t="s">
        <v>74</v>
      </c>
      <c r="BP282" t="s">
        <v>74</v>
      </c>
      <c r="BQ282" t="s">
        <v>74</v>
      </c>
      <c r="BR282" t="s">
        <v>106</v>
      </c>
      <c r="BS282" t="s">
        <v>5738</v>
      </c>
      <c r="BT282" t="str">
        <f>HYPERLINK("https%3A%2F%2Fwww.webofscience.com%2Fwos%2Fwoscc%2Ffull-record%2FWOS:000683732500017","View Full Record in Web of Science")</f>
        <v>View Full Record in Web of Science</v>
      </c>
    </row>
    <row r="283" spans="1:72" x14ac:dyDescent="0.15">
      <c r="A283" t="s">
        <v>4589</v>
      </c>
      <c r="B283" t="s">
        <v>5739</v>
      </c>
      <c r="C283" t="s">
        <v>74</v>
      </c>
      <c r="D283" t="s">
        <v>4591</v>
      </c>
      <c r="E283" t="s">
        <v>74</v>
      </c>
      <c r="F283" t="s">
        <v>5740</v>
      </c>
      <c r="G283" t="s">
        <v>74</v>
      </c>
      <c r="H283" t="s">
        <v>74</v>
      </c>
      <c r="I283" t="s">
        <v>5741</v>
      </c>
      <c r="J283" t="s">
        <v>4594</v>
      </c>
      <c r="K283" t="s">
        <v>4595</v>
      </c>
      <c r="L283" t="s">
        <v>74</v>
      </c>
      <c r="M283" t="s">
        <v>78</v>
      </c>
      <c r="N283" t="s">
        <v>4596</v>
      </c>
      <c r="O283" t="s">
        <v>74</v>
      </c>
      <c r="P283" t="s">
        <v>74</v>
      </c>
      <c r="Q283" t="s">
        <v>74</v>
      </c>
      <c r="R283" t="s">
        <v>74</v>
      </c>
      <c r="S283" t="s">
        <v>74</v>
      </c>
      <c r="T283" t="s">
        <v>74</v>
      </c>
      <c r="U283" t="s">
        <v>5742</v>
      </c>
      <c r="V283" t="s">
        <v>5743</v>
      </c>
      <c r="W283" t="s">
        <v>5744</v>
      </c>
      <c r="X283" t="s">
        <v>5745</v>
      </c>
      <c r="Y283" t="s">
        <v>5184</v>
      </c>
      <c r="Z283" t="s">
        <v>5622</v>
      </c>
      <c r="AA283" t="s">
        <v>74</v>
      </c>
      <c r="AB283" t="s">
        <v>5746</v>
      </c>
      <c r="AC283" t="s">
        <v>74</v>
      </c>
      <c r="AD283" t="s">
        <v>74</v>
      </c>
      <c r="AE283" t="s">
        <v>74</v>
      </c>
      <c r="AF283" t="s">
        <v>74</v>
      </c>
      <c r="AG283">
        <v>84</v>
      </c>
      <c r="AH283">
        <v>5</v>
      </c>
      <c r="AI283">
        <v>6</v>
      </c>
      <c r="AJ283">
        <v>0</v>
      </c>
      <c r="AK283">
        <v>0</v>
      </c>
      <c r="AL283" t="s">
        <v>4607</v>
      </c>
      <c r="AM283" t="s">
        <v>1914</v>
      </c>
      <c r="AN283" t="s">
        <v>4608</v>
      </c>
      <c r="AO283" t="s">
        <v>4609</v>
      </c>
      <c r="AP283" t="s">
        <v>74</v>
      </c>
      <c r="AQ283" t="s">
        <v>4610</v>
      </c>
      <c r="AR283" t="s">
        <v>4611</v>
      </c>
      <c r="AS283" t="s">
        <v>74</v>
      </c>
      <c r="AT283" t="s">
        <v>74</v>
      </c>
      <c r="AU283">
        <v>2021</v>
      </c>
      <c r="AV283">
        <v>55</v>
      </c>
      <c r="AW283" t="s">
        <v>74</v>
      </c>
      <c r="AX283" t="s">
        <v>74</v>
      </c>
      <c r="AY283" t="s">
        <v>74</v>
      </c>
      <c r="AZ283" t="s">
        <v>74</v>
      </c>
      <c r="BA283" t="s">
        <v>74</v>
      </c>
      <c r="BB283">
        <v>305</v>
      </c>
      <c r="BC283">
        <v>325</v>
      </c>
      <c r="BD283" t="s">
        <v>74</v>
      </c>
      <c r="BE283" t="s">
        <v>5747</v>
      </c>
      <c r="BF283" t="str">
        <f>HYPERLINK("http://dx.doi.org/10.1144/M55-2018-59","http://dx.doi.org/10.1144/M55-2018-59")</f>
        <v>http://dx.doi.org/10.1144/M55-2018-59</v>
      </c>
      <c r="BG283" t="s">
        <v>4613</v>
      </c>
      <c r="BH283" t="s">
        <v>74</v>
      </c>
      <c r="BI283">
        <v>21</v>
      </c>
      <c r="BJ283" t="s">
        <v>4614</v>
      </c>
      <c r="BK283" t="s">
        <v>4615</v>
      </c>
      <c r="BL283" t="s">
        <v>4614</v>
      </c>
      <c r="BM283" t="s">
        <v>4616</v>
      </c>
      <c r="BN283" t="s">
        <v>74</v>
      </c>
      <c r="BO283" t="s">
        <v>1220</v>
      </c>
      <c r="BP283" t="s">
        <v>74</v>
      </c>
      <c r="BQ283" t="s">
        <v>74</v>
      </c>
      <c r="BR283" t="s">
        <v>106</v>
      </c>
      <c r="BS283" t="s">
        <v>5748</v>
      </c>
      <c r="BT283" t="str">
        <f>HYPERLINK("https%3A%2F%2Fwww.webofscience.com%2Fwos%2Fwoscc%2Ffull-record%2FWOS:000683732500019","View Full Record in Web of Science")</f>
        <v>View Full Record in Web of Science</v>
      </c>
    </row>
    <row r="284" spans="1:72" x14ac:dyDescent="0.15">
      <c r="A284" t="s">
        <v>4589</v>
      </c>
      <c r="B284" t="s">
        <v>5749</v>
      </c>
      <c r="C284" t="s">
        <v>74</v>
      </c>
      <c r="D284" t="s">
        <v>4591</v>
      </c>
      <c r="E284" t="s">
        <v>74</v>
      </c>
      <c r="F284" t="s">
        <v>5750</v>
      </c>
      <c r="G284" t="s">
        <v>74</v>
      </c>
      <c r="H284" t="s">
        <v>74</v>
      </c>
      <c r="I284" t="s">
        <v>5751</v>
      </c>
      <c r="J284" t="s">
        <v>4594</v>
      </c>
      <c r="K284" t="s">
        <v>4595</v>
      </c>
      <c r="L284" t="s">
        <v>74</v>
      </c>
      <c r="M284" t="s">
        <v>78</v>
      </c>
      <c r="N284" t="s">
        <v>4596</v>
      </c>
      <c r="O284" t="s">
        <v>74</v>
      </c>
      <c r="P284" t="s">
        <v>74</v>
      </c>
      <c r="Q284" t="s">
        <v>74</v>
      </c>
      <c r="R284" t="s">
        <v>74</v>
      </c>
      <c r="S284" t="s">
        <v>74</v>
      </c>
      <c r="T284" t="s">
        <v>74</v>
      </c>
      <c r="U284" t="s">
        <v>5752</v>
      </c>
      <c r="V284" t="s">
        <v>5753</v>
      </c>
      <c r="W284" t="s">
        <v>5754</v>
      </c>
      <c r="X284" t="s">
        <v>5755</v>
      </c>
      <c r="Y284" t="s">
        <v>5756</v>
      </c>
      <c r="Z284" t="s">
        <v>5757</v>
      </c>
      <c r="AA284" t="s">
        <v>74</v>
      </c>
      <c r="AB284" t="s">
        <v>74</v>
      </c>
      <c r="AC284" t="s">
        <v>74</v>
      </c>
      <c r="AD284" t="s">
        <v>74</v>
      </c>
      <c r="AE284" t="s">
        <v>74</v>
      </c>
      <c r="AF284" t="s">
        <v>74</v>
      </c>
      <c r="AG284">
        <v>75</v>
      </c>
      <c r="AH284">
        <v>9</v>
      </c>
      <c r="AI284">
        <v>9</v>
      </c>
      <c r="AJ284">
        <v>0</v>
      </c>
      <c r="AK284">
        <v>0</v>
      </c>
      <c r="AL284" t="s">
        <v>4607</v>
      </c>
      <c r="AM284" t="s">
        <v>1914</v>
      </c>
      <c r="AN284" t="s">
        <v>4608</v>
      </c>
      <c r="AO284" t="s">
        <v>4609</v>
      </c>
      <c r="AP284" t="s">
        <v>74</v>
      </c>
      <c r="AQ284" t="s">
        <v>4610</v>
      </c>
      <c r="AR284" t="s">
        <v>4611</v>
      </c>
      <c r="AS284" t="s">
        <v>74</v>
      </c>
      <c r="AT284" t="s">
        <v>74</v>
      </c>
      <c r="AU284">
        <v>2021</v>
      </c>
      <c r="AV284">
        <v>55</v>
      </c>
      <c r="AW284" t="s">
        <v>74</v>
      </c>
      <c r="AX284" t="s">
        <v>74</v>
      </c>
      <c r="AY284" t="s">
        <v>74</v>
      </c>
      <c r="AZ284" t="s">
        <v>74</v>
      </c>
      <c r="BA284" t="s">
        <v>74</v>
      </c>
      <c r="BB284">
        <v>327</v>
      </c>
      <c r="BC284">
        <v>343</v>
      </c>
      <c r="BD284" t="s">
        <v>74</v>
      </c>
      <c r="BE284" t="s">
        <v>5758</v>
      </c>
      <c r="BF284" t="str">
        <f>HYPERLINK("http://dx.doi.org/10.1144/M55-2018-40","http://dx.doi.org/10.1144/M55-2018-40")</f>
        <v>http://dx.doi.org/10.1144/M55-2018-40</v>
      </c>
      <c r="BG284" t="s">
        <v>4613</v>
      </c>
      <c r="BH284" t="s">
        <v>74</v>
      </c>
      <c r="BI284">
        <v>17</v>
      </c>
      <c r="BJ284" t="s">
        <v>4614</v>
      </c>
      <c r="BK284" t="s">
        <v>4615</v>
      </c>
      <c r="BL284" t="s">
        <v>4614</v>
      </c>
      <c r="BM284" t="s">
        <v>4616</v>
      </c>
      <c r="BN284" t="s">
        <v>74</v>
      </c>
      <c r="BO284" t="s">
        <v>74</v>
      </c>
      <c r="BP284" t="s">
        <v>74</v>
      </c>
      <c r="BQ284" t="s">
        <v>74</v>
      </c>
      <c r="BR284" t="s">
        <v>106</v>
      </c>
      <c r="BS284" t="s">
        <v>5759</v>
      </c>
      <c r="BT284" t="str">
        <f>HYPERLINK("https%3A%2F%2Fwww.webofscience.com%2Fwos%2Fwoscc%2Ffull-record%2FWOS:000683732500020","View Full Record in Web of Science")</f>
        <v>View Full Record in Web of Science</v>
      </c>
    </row>
    <row r="285" spans="1:72" x14ac:dyDescent="0.15">
      <c r="A285" t="s">
        <v>4589</v>
      </c>
      <c r="B285" t="s">
        <v>5760</v>
      </c>
      <c r="C285" t="s">
        <v>74</v>
      </c>
      <c r="D285" t="s">
        <v>4591</v>
      </c>
      <c r="E285" t="s">
        <v>74</v>
      </c>
      <c r="F285" t="s">
        <v>5761</v>
      </c>
      <c r="G285" t="s">
        <v>74</v>
      </c>
      <c r="H285" t="s">
        <v>74</v>
      </c>
      <c r="I285" t="s">
        <v>5762</v>
      </c>
      <c r="J285" t="s">
        <v>4594</v>
      </c>
      <c r="K285" t="s">
        <v>4595</v>
      </c>
      <c r="L285" t="s">
        <v>74</v>
      </c>
      <c r="M285" t="s">
        <v>78</v>
      </c>
      <c r="N285" t="s">
        <v>4596</v>
      </c>
      <c r="O285" t="s">
        <v>74</v>
      </c>
      <c r="P285" t="s">
        <v>74</v>
      </c>
      <c r="Q285" t="s">
        <v>74</v>
      </c>
      <c r="R285" t="s">
        <v>74</v>
      </c>
      <c r="S285" t="s">
        <v>74</v>
      </c>
      <c r="T285" t="s">
        <v>74</v>
      </c>
      <c r="U285" t="s">
        <v>5763</v>
      </c>
      <c r="V285" t="s">
        <v>5764</v>
      </c>
      <c r="W285" t="s">
        <v>5765</v>
      </c>
      <c r="X285" t="s">
        <v>5766</v>
      </c>
      <c r="Y285" t="s">
        <v>5767</v>
      </c>
      <c r="Z285" t="s">
        <v>5768</v>
      </c>
      <c r="AA285" t="s">
        <v>5769</v>
      </c>
      <c r="AB285" t="s">
        <v>5770</v>
      </c>
      <c r="AC285" t="s">
        <v>5771</v>
      </c>
      <c r="AD285" t="s">
        <v>5772</v>
      </c>
      <c r="AE285" t="s">
        <v>5773</v>
      </c>
      <c r="AF285" t="s">
        <v>74</v>
      </c>
      <c r="AG285">
        <v>137</v>
      </c>
      <c r="AH285">
        <v>10</v>
      </c>
      <c r="AI285">
        <v>10</v>
      </c>
      <c r="AJ285">
        <v>0</v>
      </c>
      <c r="AK285">
        <v>1</v>
      </c>
      <c r="AL285" t="s">
        <v>4607</v>
      </c>
      <c r="AM285" t="s">
        <v>1914</v>
      </c>
      <c r="AN285" t="s">
        <v>4608</v>
      </c>
      <c r="AO285" t="s">
        <v>4609</v>
      </c>
      <c r="AP285" t="s">
        <v>74</v>
      </c>
      <c r="AQ285" t="s">
        <v>4610</v>
      </c>
      <c r="AR285" t="s">
        <v>4611</v>
      </c>
      <c r="AS285" t="s">
        <v>74</v>
      </c>
      <c r="AT285" t="s">
        <v>74</v>
      </c>
      <c r="AU285">
        <v>2021</v>
      </c>
      <c r="AV285">
        <v>55</v>
      </c>
      <c r="AW285" t="s">
        <v>74</v>
      </c>
      <c r="AX285" t="s">
        <v>74</v>
      </c>
      <c r="AY285" t="s">
        <v>74</v>
      </c>
      <c r="AZ285" t="s">
        <v>74</v>
      </c>
      <c r="BA285" t="s">
        <v>74</v>
      </c>
      <c r="BB285">
        <v>383</v>
      </c>
      <c r="BC285">
        <v>413</v>
      </c>
      <c r="BD285" t="s">
        <v>74</v>
      </c>
      <c r="BE285" t="s">
        <v>5774</v>
      </c>
      <c r="BF285" t="str">
        <f>HYPERLINK("http://dx.doi.org/10.1144/M55-2019-19","http://dx.doi.org/10.1144/M55-2019-19")</f>
        <v>http://dx.doi.org/10.1144/M55-2019-19</v>
      </c>
      <c r="BG285" t="s">
        <v>4613</v>
      </c>
      <c r="BH285" t="s">
        <v>74</v>
      </c>
      <c r="BI285">
        <v>31</v>
      </c>
      <c r="BJ285" t="s">
        <v>4614</v>
      </c>
      <c r="BK285" t="s">
        <v>4615</v>
      </c>
      <c r="BL285" t="s">
        <v>4614</v>
      </c>
      <c r="BM285" t="s">
        <v>4616</v>
      </c>
      <c r="BN285" t="s">
        <v>74</v>
      </c>
      <c r="BO285" t="s">
        <v>74</v>
      </c>
      <c r="BP285" t="s">
        <v>74</v>
      </c>
      <c r="BQ285" t="s">
        <v>74</v>
      </c>
      <c r="BR285" t="s">
        <v>106</v>
      </c>
      <c r="BS285" t="s">
        <v>5775</v>
      </c>
      <c r="BT285" t="str">
        <f>HYPERLINK("https%3A%2F%2Fwww.webofscience.com%2Fwos%2Fwoscc%2Ffull-record%2FWOS:000683732500023","View Full Record in Web of Science")</f>
        <v>View Full Record in Web of Science</v>
      </c>
    </row>
    <row r="286" spans="1:72" x14ac:dyDescent="0.15">
      <c r="A286" t="s">
        <v>4589</v>
      </c>
      <c r="B286" t="s">
        <v>5776</v>
      </c>
      <c r="C286" t="s">
        <v>74</v>
      </c>
      <c r="D286" t="s">
        <v>4591</v>
      </c>
      <c r="E286" t="s">
        <v>74</v>
      </c>
      <c r="F286" t="s">
        <v>5777</v>
      </c>
      <c r="G286" t="s">
        <v>74</v>
      </c>
      <c r="H286" t="s">
        <v>74</v>
      </c>
      <c r="I286" t="s">
        <v>5778</v>
      </c>
      <c r="J286" t="s">
        <v>4594</v>
      </c>
      <c r="K286" t="s">
        <v>4595</v>
      </c>
      <c r="L286" t="s">
        <v>74</v>
      </c>
      <c r="M286" t="s">
        <v>78</v>
      </c>
      <c r="N286" t="s">
        <v>4596</v>
      </c>
      <c r="O286" t="s">
        <v>74</v>
      </c>
      <c r="P286" t="s">
        <v>74</v>
      </c>
      <c r="Q286" t="s">
        <v>74</v>
      </c>
      <c r="R286" t="s">
        <v>74</v>
      </c>
      <c r="S286" t="s">
        <v>74</v>
      </c>
      <c r="T286" t="s">
        <v>74</v>
      </c>
      <c r="U286" t="s">
        <v>5779</v>
      </c>
      <c r="V286" t="s">
        <v>5780</v>
      </c>
      <c r="W286" t="s">
        <v>5781</v>
      </c>
      <c r="X286" t="s">
        <v>5782</v>
      </c>
      <c r="Y286" t="s">
        <v>5184</v>
      </c>
      <c r="Z286" t="s">
        <v>5622</v>
      </c>
      <c r="AA286" t="s">
        <v>74</v>
      </c>
      <c r="AB286" t="s">
        <v>5783</v>
      </c>
      <c r="AC286" t="s">
        <v>5784</v>
      </c>
      <c r="AD286" t="s">
        <v>4605</v>
      </c>
      <c r="AE286" t="s">
        <v>5785</v>
      </c>
      <c r="AF286" t="s">
        <v>74</v>
      </c>
      <c r="AG286">
        <v>22</v>
      </c>
      <c r="AH286">
        <v>5</v>
      </c>
      <c r="AI286">
        <v>5</v>
      </c>
      <c r="AJ286">
        <v>0</v>
      </c>
      <c r="AK286">
        <v>0</v>
      </c>
      <c r="AL286" t="s">
        <v>4607</v>
      </c>
      <c r="AM286" t="s">
        <v>1914</v>
      </c>
      <c r="AN286" t="s">
        <v>4608</v>
      </c>
      <c r="AO286" t="s">
        <v>4609</v>
      </c>
      <c r="AP286" t="s">
        <v>74</v>
      </c>
      <c r="AQ286" t="s">
        <v>4610</v>
      </c>
      <c r="AR286" t="s">
        <v>4611</v>
      </c>
      <c r="AS286" t="s">
        <v>74</v>
      </c>
      <c r="AT286" t="s">
        <v>74</v>
      </c>
      <c r="AU286">
        <v>2021</v>
      </c>
      <c r="AV286">
        <v>55</v>
      </c>
      <c r="AW286" t="s">
        <v>74</v>
      </c>
      <c r="AX286" t="s">
        <v>74</v>
      </c>
      <c r="AY286" t="s">
        <v>74</v>
      </c>
      <c r="AZ286" t="s">
        <v>74</v>
      </c>
      <c r="BA286" t="s">
        <v>74</v>
      </c>
      <c r="BB286">
        <v>491</v>
      </c>
      <c r="BC286">
        <v>498</v>
      </c>
      <c r="BD286" t="s">
        <v>74</v>
      </c>
      <c r="BE286" t="s">
        <v>5786</v>
      </c>
      <c r="BF286" t="str">
        <f>HYPERLINK("http://dx.doi.org/10.1144/M55-2018-61","http://dx.doi.org/10.1144/M55-2018-61")</f>
        <v>http://dx.doi.org/10.1144/M55-2018-61</v>
      </c>
      <c r="BG286" t="s">
        <v>4613</v>
      </c>
      <c r="BH286" t="s">
        <v>74</v>
      </c>
      <c r="BI286">
        <v>8</v>
      </c>
      <c r="BJ286" t="s">
        <v>4614</v>
      </c>
      <c r="BK286" t="s">
        <v>4615</v>
      </c>
      <c r="BL286" t="s">
        <v>4614</v>
      </c>
      <c r="BM286" t="s">
        <v>4616</v>
      </c>
      <c r="BN286" t="s">
        <v>74</v>
      </c>
      <c r="BO286" t="s">
        <v>74</v>
      </c>
      <c r="BP286" t="s">
        <v>74</v>
      </c>
      <c r="BQ286" t="s">
        <v>74</v>
      </c>
      <c r="BR286" t="s">
        <v>106</v>
      </c>
      <c r="BS286" t="s">
        <v>5787</v>
      </c>
      <c r="BT286" t="str">
        <f>HYPERLINK("https%3A%2F%2Fwww.webofscience.com%2Fwos%2Fwoscc%2Ffull-record%2FWOS:000683732500026","View Full Record in Web of Science")</f>
        <v>View Full Record in Web of Science</v>
      </c>
    </row>
    <row r="287" spans="1:72" x14ac:dyDescent="0.15">
      <c r="A287" t="s">
        <v>4589</v>
      </c>
      <c r="B287" t="s">
        <v>5788</v>
      </c>
      <c r="C287" t="s">
        <v>74</v>
      </c>
      <c r="D287" t="s">
        <v>4591</v>
      </c>
      <c r="E287" t="s">
        <v>74</v>
      </c>
      <c r="F287" t="s">
        <v>5789</v>
      </c>
      <c r="G287" t="s">
        <v>74</v>
      </c>
      <c r="H287" t="s">
        <v>74</v>
      </c>
      <c r="I287" t="s">
        <v>5790</v>
      </c>
      <c r="J287" t="s">
        <v>4594</v>
      </c>
      <c r="K287" t="s">
        <v>4595</v>
      </c>
      <c r="L287" t="s">
        <v>74</v>
      </c>
      <c r="M287" t="s">
        <v>78</v>
      </c>
      <c r="N287" t="s">
        <v>4596</v>
      </c>
      <c r="O287" t="s">
        <v>74</v>
      </c>
      <c r="P287" t="s">
        <v>74</v>
      </c>
      <c r="Q287" t="s">
        <v>74</v>
      </c>
      <c r="R287" t="s">
        <v>74</v>
      </c>
      <c r="S287" t="s">
        <v>74</v>
      </c>
      <c r="T287" t="s">
        <v>74</v>
      </c>
      <c r="U287" t="s">
        <v>5791</v>
      </c>
      <c r="V287" t="s">
        <v>5792</v>
      </c>
      <c r="W287" t="s">
        <v>5793</v>
      </c>
      <c r="X287" t="s">
        <v>5794</v>
      </c>
      <c r="Y287" t="s">
        <v>5694</v>
      </c>
      <c r="Z287" t="s">
        <v>5695</v>
      </c>
      <c r="AA287" t="s">
        <v>4603</v>
      </c>
      <c r="AB287" t="s">
        <v>5795</v>
      </c>
      <c r="AC287" t="s">
        <v>5796</v>
      </c>
      <c r="AD287" t="s">
        <v>5797</v>
      </c>
      <c r="AE287" t="s">
        <v>5798</v>
      </c>
      <c r="AF287" t="s">
        <v>74</v>
      </c>
      <c r="AG287">
        <v>196</v>
      </c>
      <c r="AH287">
        <v>5</v>
      </c>
      <c r="AI287">
        <v>5</v>
      </c>
      <c r="AJ287">
        <v>0</v>
      </c>
      <c r="AK287">
        <v>0</v>
      </c>
      <c r="AL287" t="s">
        <v>4607</v>
      </c>
      <c r="AM287" t="s">
        <v>1914</v>
      </c>
      <c r="AN287" t="s">
        <v>4608</v>
      </c>
      <c r="AO287" t="s">
        <v>4609</v>
      </c>
      <c r="AP287" t="s">
        <v>74</v>
      </c>
      <c r="AQ287" t="s">
        <v>4610</v>
      </c>
      <c r="AR287" t="s">
        <v>4611</v>
      </c>
      <c r="AS287" t="s">
        <v>74</v>
      </c>
      <c r="AT287" t="s">
        <v>74</v>
      </c>
      <c r="AU287">
        <v>2021</v>
      </c>
      <c r="AV287">
        <v>55</v>
      </c>
      <c r="AW287" t="s">
        <v>74</v>
      </c>
      <c r="AX287" t="s">
        <v>74</v>
      </c>
      <c r="AY287" t="s">
        <v>74</v>
      </c>
      <c r="AZ287" t="s">
        <v>74</v>
      </c>
      <c r="BA287" t="s">
        <v>74</v>
      </c>
      <c r="BB287">
        <v>577</v>
      </c>
      <c r="BC287">
        <v>614</v>
      </c>
      <c r="BD287" t="s">
        <v>74</v>
      </c>
      <c r="BE287" t="s">
        <v>5799</v>
      </c>
      <c r="BF287" t="str">
        <f>HYPERLINK("http://dx.doi.org/10.1144/M55-2019-50","http://dx.doi.org/10.1144/M55-2019-50")</f>
        <v>http://dx.doi.org/10.1144/M55-2019-50</v>
      </c>
      <c r="BG287" t="s">
        <v>4613</v>
      </c>
      <c r="BH287" t="s">
        <v>74</v>
      </c>
      <c r="BI287">
        <v>38</v>
      </c>
      <c r="BJ287" t="s">
        <v>4614</v>
      </c>
      <c r="BK287" t="s">
        <v>4615</v>
      </c>
      <c r="BL287" t="s">
        <v>4614</v>
      </c>
      <c r="BM287" t="s">
        <v>4616</v>
      </c>
      <c r="BN287" t="s">
        <v>74</v>
      </c>
      <c r="BO287" t="s">
        <v>74</v>
      </c>
      <c r="BP287" t="s">
        <v>74</v>
      </c>
      <c r="BQ287" t="s">
        <v>74</v>
      </c>
      <c r="BR287" t="s">
        <v>106</v>
      </c>
      <c r="BS287" t="s">
        <v>5800</v>
      </c>
      <c r="BT287" t="str">
        <f>HYPERLINK("https%3A%2F%2Fwww.webofscience.com%2Fwos%2Fwoscc%2Ffull-record%2FWOS:000683732500029","View Full Record in Web of Science")</f>
        <v>View Full Record in Web of Science</v>
      </c>
    </row>
    <row r="288" spans="1:72" x14ac:dyDescent="0.15">
      <c r="A288" t="s">
        <v>4589</v>
      </c>
      <c r="B288" t="s">
        <v>5801</v>
      </c>
      <c r="C288" t="s">
        <v>74</v>
      </c>
      <c r="D288" t="s">
        <v>4591</v>
      </c>
      <c r="E288" t="s">
        <v>74</v>
      </c>
      <c r="F288" t="s">
        <v>5802</v>
      </c>
      <c r="G288" t="s">
        <v>74</v>
      </c>
      <c r="H288" t="s">
        <v>74</v>
      </c>
      <c r="I288" t="s">
        <v>5803</v>
      </c>
      <c r="J288" t="s">
        <v>4594</v>
      </c>
      <c r="K288" t="s">
        <v>4595</v>
      </c>
      <c r="L288" t="s">
        <v>74</v>
      </c>
      <c r="M288" t="s">
        <v>78</v>
      </c>
      <c r="N288" t="s">
        <v>4596</v>
      </c>
      <c r="O288" t="s">
        <v>74</v>
      </c>
      <c r="P288" t="s">
        <v>74</v>
      </c>
      <c r="Q288" t="s">
        <v>74</v>
      </c>
      <c r="R288" t="s">
        <v>74</v>
      </c>
      <c r="S288" t="s">
        <v>74</v>
      </c>
      <c r="T288" t="s">
        <v>74</v>
      </c>
      <c r="U288" t="s">
        <v>5804</v>
      </c>
      <c r="V288" t="s">
        <v>5805</v>
      </c>
      <c r="W288" t="s">
        <v>5806</v>
      </c>
      <c r="X288" t="s">
        <v>5807</v>
      </c>
      <c r="Y288" t="s">
        <v>5808</v>
      </c>
      <c r="Z288" t="s">
        <v>5809</v>
      </c>
      <c r="AA288" t="s">
        <v>5810</v>
      </c>
      <c r="AB288" t="s">
        <v>5811</v>
      </c>
      <c r="AC288" t="s">
        <v>5812</v>
      </c>
      <c r="AD288" t="s">
        <v>5813</v>
      </c>
      <c r="AE288" t="s">
        <v>5814</v>
      </c>
      <c r="AF288" t="s">
        <v>74</v>
      </c>
      <c r="AG288">
        <v>143</v>
      </c>
      <c r="AH288">
        <v>1</v>
      </c>
      <c r="AI288">
        <v>1</v>
      </c>
      <c r="AJ288">
        <v>1</v>
      </c>
      <c r="AK288">
        <v>2</v>
      </c>
      <c r="AL288" t="s">
        <v>4607</v>
      </c>
      <c r="AM288" t="s">
        <v>1914</v>
      </c>
      <c r="AN288" t="s">
        <v>4608</v>
      </c>
      <c r="AO288" t="s">
        <v>4609</v>
      </c>
      <c r="AP288" t="s">
        <v>74</v>
      </c>
      <c r="AQ288" t="s">
        <v>4610</v>
      </c>
      <c r="AR288" t="s">
        <v>4611</v>
      </c>
      <c r="AS288" t="s">
        <v>74</v>
      </c>
      <c r="AT288" t="s">
        <v>74</v>
      </c>
      <c r="AU288">
        <v>2021</v>
      </c>
      <c r="AV288">
        <v>55</v>
      </c>
      <c r="AW288" t="s">
        <v>74</v>
      </c>
      <c r="AX288" t="s">
        <v>74</v>
      </c>
      <c r="AY288" t="s">
        <v>74</v>
      </c>
      <c r="AZ288" t="s">
        <v>74</v>
      </c>
      <c r="BA288" t="s">
        <v>74</v>
      </c>
      <c r="BB288">
        <v>631</v>
      </c>
      <c r="BC288">
        <v>647</v>
      </c>
      <c r="BD288" t="s">
        <v>74</v>
      </c>
      <c r="BE288" t="s">
        <v>5815</v>
      </c>
      <c r="BF288" t="str">
        <f>HYPERLINK("http://dx.doi.org/10.1144/M55-2018-49","http://dx.doi.org/10.1144/M55-2018-49")</f>
        <v>http://dx.doi.org/10.1144/M55-2018-49</v>
      </c>
      <c r="BG288" t="s">
        <v>4613</v>
      </c>
      <c r="BH288" t="s">
        <v>74</v>
      </c>
      <c r="BI288">
        <v>17</v>
      </c>
      <c r="BJ288" t="s">
        <v>4614</v>
      </c>
      <c r="BK288" t="s">
        <v>4615</v>
      </c>
      <c r="BL288" t="s">
        <v>4614</v>
      </c>
      <c r="BM288" t="s">
        <v>4616</v>
      </c>
      <c r="BN288" t="s">
        <v>74</v>
      </c>
      <c r="BO288" t="s">
        <v>74</v>
      </c>
      <c r="BP288" t="s">
        <v>74</v>
      </c>
      <c r="BQ288" t="s">
        <v>74</v>
      </c>
      <c r="BR288" t="s">
        <v>106</v>
      </c>
      <c r="BS288" t="s">
        <v>5816</v>
      </c>
      <c r="BT288" t="str">
        <f>HYPERLINK("https%3A%2F%2Fwww.webofscience.com%2Fwos%2Fwoscc%2Ffull-record%2FWOS:000683732500032","View Full Record in Web of Science")</f>
        <v>View Full Record in Web of Science</v>
      </c>
    </row>
    <row r="289" spans="1:72" x14ac:dyDescent="0.15">
      <c r="A289" t="s">
        <v>4589</v>
      </c>
      <c r="B289" t="s">
        <v>5817</v>
      </c>
      <c r="C289" t="s">
        <v>74</v>
      </c>
      <c r="D289" t="s">
        <v>4591</v>
      </c>
      <c r="E289" t="s">
        <v>74</v>
      </c>
      <c r="F289" t="s">
        <v>5818</v>
      </c>
      <c r="G289" t="s">
        <v>74</v>
      </c>
      <c r="H289" t="s">
        <v>74</v>
      </c>
      <c r="I289" t="s">
        <v>5819</v>
      </c>
      <c r="J289" t="s">
        <v>4594</v>
      </c>
      <c r="K289" t="s">
        <v>4595</v>
      </c>
      <c r="L289" t="s">
        <v>74</v>
      </c>
      <c r="M289" t="s">
        <v>78</v>
      </c>
      <c r="N289" t="s">
        <v>4596</v>
      </c>
      <c r="O289" t="s">
        <v>74</v>
      </c>
      <c r="P289" t="s">
        <v>74</v>
      </c>
      <c r="Q289" t="s">
        <v>74</v>
      </c>
      <c r="R289" t="s">
        <v>74</v>
      </c>
      <c r="S289" t="s">
        <v>74</v>
      </c>
      <c r="T289" t="s">
        <v>74</v>
      </c>
      <c r="U289" t="s">
        <v>5820</v>
      </c>
      <c r="V289" t="s">
        <v>5821</v>
      </c>
      <c r="W289" t="s">
        <v>5822</v>
      </c>
      <c r="X289" t="s">
        <v>5823</v>
      </c>
      <c r="Y289" t="s">
        <v>5824</v>
      </c>
      <c r="Z289" t="s">
        <v>5825</v>
      </c>
      <c r="AA289" t="s">
        <v>74</v>
      </c>
      <c r="AB289" t="s">
        <v>74</v>
      </c>
      <c r="AC289" t="s">
        <v>5826</v>
      </c>
      <c r="AD289" t="s">
        <v>5827</v>
      </c>
      <c r="AE289" t="s">
        <v>5828</v>
      </c>
      <c r="AF289" t="s">
        <v>74</v>
      </c>
      <c r="AG289">
        <v>100</v>
      </c>
      <c r="AH289">
        <v>4</v>
      </c>
      <c r="AI289">
        <v>4</v>
      </c>
      <c r="AJ289">
        <v>0</v>
      </c>
      <c r="AK289">
        <v>0</v>
      </c>
      <c r="AL289" t="s">
        <v>4607</v>
      </c>
      <c r="AM289" t="s">
        <v>1914</v>
      </c>
      <c r="AN289" t="s">
        <v>4608</v>
      </c>
      <c r="AO289" t="s">
        <v>4609</v>
      </c>
      <c r="AP289" t="s">
        <v>74</v>
      </c>
      <c r="AQ289" t="s">
        <v>4610</v>
      </c>
      <c r="AR289" t="s">
        <v>4611</v>
      </c>
      <c r="AS289" t="s">
        <v>74</v>
      </c>
      <c r="AT289" t="s">
        <v>74</v>
      </c>
      <c r="AU289">
        <v>2021</v>
      </c>
      <c r="AV289">
        <v>55</v>
      </c>
      <c r="AW289" t="s">
        <v>74</v>
      </c>
      <c r="AX289" t="s">
        <v>74</v>
      </c>
      <c r="AY289" t="s">
        <v>74</v>
      </c>
      <c r="AZ289" t="s">
        <v>74</v>
      </c>
      <c r="BA289" t="s">
        <v>74</v>
      </c>
      <c r="BB289">
        <v>649</v>
      </c>
      <c r="BC289">
        <v>664</v>
      </c>
      <c r="BD289" t="s">
        <v>74</v>
      </c>
      <c r="BE289" t="s">
        <v>5829</v>
      </c>
      <c r="BF289" t="str">
        <f>HYPERLINK("http://dx.doi.org/10.1144/M55-2018-86","http://dx.doi.org/10.1144/M55-2018-86")</f>
        <v>http://dx.doi.org/10.1144/M55-2018-86</v>
      </c>
      <c r="BG289" t="s">
        <v>4613</v>
      </c>
      <c r="BH289" t="s">
        <v>74</v>
      </c>
      <c r="BI289">
        <v>16</v>
      </c>
      <c r="BJ289" t="s">
        <v>4614</v>
      </c>
      <c r="BK289" t="s">
        <v>4615</v>
      </c>
      <c r="BL289" t="s">
        <v>4614</v>
      </c>
      <c r="BM289" t="s">
        <v>4616</v>
      </c>
      <c r="BN289" t="s">
        <v>74</v>
      </c>
      <c r="BO289" t="s">
        <v>74</v>
      </c>
      <c r="BP289" t="s">
        <v>74</v>
      </c>
      <c r="BQ289" t="s">
        <v>74</v>
      </c>
      <c r="BR289" t="s">
        <v>106</v>
      </c>
      <c r="BS289" t="s">
        <v>5830</v>
      </c>
      <c r="BT289" t="str">
        <f>HYPERLINK("https%3A%2F%2Fwww.webofscience.com%2Fwos%2Fwoscc%2Ffull-record%2FWOS:000683732500033","View Full Record in Web of Science")</f>
        <v>View Full Record in Web of Science</v>
      </c>
    </row>
    <row r="290" spans="1:72" x14ac:dyDescent="0.15">
      <c r="A290" t="s">
        <v>4589</v>
      </c>
      <c r="B290" t="s">
        <v>5831</v>
      </c>
      <c r="C290" t="s">
        <v>74</v>
      </c>
      <c r="D290" t="s">
        <v>4591</v>
      </c>
      <c r="E290" t="s">
        <v>74</v>
      </c>
      <c r="F290" t="s">
        <v>5832</v>
      </c>
      <c r="G290" t="s">
        <v>74</v>
      </c>
      <c r="H290" t="s">
        <v>74</v>
      </c>
      <c r="I290" t="s">
        <v>5833</v>
      </c>
      <c r="J290" t="s">
        <v>4594</v>
      </c>
      <c r="K290" t="s">
        <v>4595</v>
      </c>
      <c r="L290" t="s">
        <v>74</v>
      </c>
      <c r="M290" t="s">
        <v>78</v>
      </c>
      <c r="N290" t="s">
        <v>4596</v>
      </c>
      <c r="O290" t="s">
        <v>74</v>
      </c>
      <c r="P290" t="s">
        <v>74</v>
      </c>
      <c r="Q290" t="s">
        <v>74</v>
      </c>
      <c r="R290" t="s">
        <v>74</v>
      </c>
      <c r="S290" t="s">
        <v>74</v>
      </c>
      <c r="T290" t="s">
        <v>74</v>
      </c>
      <c r="U290" t="s">
        <v>5834</v>
      </c>
      <c r="V290" t="s">
        <v>5835</v>
      </c>
      <c r="W290" t="s">
        <v>5836</v>
      </c>
      <c r="X290" t="s">
        <v>5837</v>
      </c>
      <c r="Y290" t="s">
        <v>4913</v>
      </c>
      <c r="Z290" t="s">
        <v>4914</v>
      </c>
      <c r="AA290" t="s">
        <v>5838</v>
      </c>
      <c r="AB290" t="s">
        <v>5839</v>
      </c>
      <c r="AC290" t="s">
        <v>5840</v>
      </c>
      <c r="AD290" t="s">
        <v>5841</v>
      </c>
      <c r="AE290" t="s">
        <v>5842</v>
      </c>
      <c r="AF290" t="s">
        <v>74</v>
      </c>
      <c r="AG290">
        <v>176</v>
      </c>
      <c r="AH290">
        <v>7</v>
      </c>
      <c r="AI290">
        <v>7</v>
      </c>
      <c r="AJ290">
        <v>1</v>
      </c>
      <c r="AK290">
        <v>4</v>
      </c>
      <c r="AL290" t="s">
        <v>4607</v>
      </c>
      <c r="AM290" t="s">
        <v>1914</v>
      </c>
      <c r="AN290" t="s">
        <v>4608</v>
      </c>
      <c r="AO290" t="s">
        <v>4609</v>
      </c>
      <c r="AP290" t="s">
        <v>74</v>
      </c>
      <c r="AQ290" t="s">
        <v>4610</v>
      </c>
      <c r="AR290" t="s">
        <v>4611</v>
      </c>
      <c r="AS290" t="s">
        <v>74</v>
      </c>
      <c r="AT290" t="s">
        <v>74</v>
      </c>
      <c r="AU290">
        <v>2021</v>
      </c>
      <c r="AV290">
        <v>55</v>
      </c>
      <c r="AW290" t="s">
        <v>74</v>
      </c>
      <c r="AX290" t="s">
        <v>74</v>
      </c>
      <c r="AY290" t="s">
        <v>74</v>
      </c>
      <c r="AZ290" t="s">
        <v>74</v>
      </c>
      <c r="BA290" t="s">
        <v>74</v>
      </c>
      <c r="BB290">
        <v>667</v>
      </c>
      <c r="BC290">
        <v>693</v>
      </c>
      <c r="BD290" t="s">
        <v>74</v>
      </c>
      <c r="BE290" t="s">
        <v>5843</v>
      </c>
      <c r="BF290" t="str">
        <f>HYPERLINK("http://dx.doi.org/10.1144/M55-2018-56","http://dx.doi.org/10.1144/M55-2018-56")</f>
        <v>http://dx.doi.org/10.1144/M55-2018-56</v>
      </c>
      <c r="BG290" t="s">
        <v>4613</v>
      </c>
      <c r="BH290" t="s">
        <v>74</v>
      </c>
      <c r="BI290">
        <v>27</v>
      </c>
      <c r="BJ290" t="s">
        <v>4614</v>
      </c>
      <c r="BK290" t="s">
        <v>4615</v>
      </c>
      <c r="BL290" t="s">
        <v>4614</v>
      </c>
      <c r="BM290" t="s">
        <v>4616</v>
      </c>
      <c r="BN290" t="s">
        <v>74</v>
      </c>
      <c r="BO290" t="s">
        <v>74</v>
      </c>
      <c r="BP290" t="s">
        <v>74</v>
      </c>
      <c r="BQ290" t="s">
        <v>74</v>
      </c>
      <c r="BR290" t="s">
        <v>106</v>
      </c>
      <c r="BS290" t="s">
        <v>5844</v>
      </c>
      <c r="BT290" t="str">
        <f>HYPERLINK("https%3A%2F%2Fwww.webofscience.com%2Fwos%2Fwoscc%2Ffull-record%2FWOS:000683732500035","View Full Record in Web of Science")</f>
        <v>View Full Record in Web of Science</v>
      </c>
    </row>
    <row r="291" spans="1:72" x14ac:dyDescent="0.15">
      <c r="A291" t="s">
        <v>4589</v>
      </c>
      <c r="B291" t="s">
        <v>5845</v>
      </c>
      <c r="C291" t="s">
        <v>74</v>
      </c>
      <c r="D291" t="s">
        <v>4591</v>
      </c>
      <c r="E291" t="s">
        <v>74</v>
      </c>
      <c r="F291" t="s">
        <v>5846</v>
      </c>
      <c r="G291" t="s">
        <v>74</v>
      </c>
      <c r="H291" t="s">
        <v>74</v>
      </c>
      <c r="I291" t="s">
        <v>5847</v>
      </c>
      <c r="J291" t="s">
        <v>4594</v>
      </c>
      <c r="K291" t="s">
        <v>4595</v>
      </c>
      <c r="L291" t="s">
        <v>74</v>
      </c>
      <c r="M291" t="s">
        <v>78</v>
      </c>
      <c r="N291" t="s">
        <v>4596</v>
      </c>
      <c r="O291" t="s">
        <v>74</v>
      </c>
      <c r="P291" t="s">
        <v>74</v>
      </c>
      <c r="Q291" t="s">
        <v>74</v>
      </c>
      <c r="R291" t="s">
        <v>74</v>
      </c>
      <c r="S291" t="s">
        <v>74</v>
      </c>
      <c r="T291" t="s">
        <v>74</v>
      </c>
      <c r="U291" t="s">
        <v>5848</v>
      </c>
      <c r="V291" t="s">
        <v>5849</v>
      </c>
      <c r="W291" t="s">
        <v>5850</v>
      </c>
      <c r="X291" t="s">
        <v>5851</v>
      </c>
      <c r="Y291" t="s">
        <v>5852</v>
      </c>
      <c r="Z291" t="s">
        <v>5853</v>
      </c>
      <c r="AA291" t="s">
        <v>5854</v>
      </c>
      <c r="AB291" t="s">
        <v>5855</v>
      </c>
      <c r="AC291" t="s">
        <v>5856</v>
      </c>
      <c r="AD291" t="s">
        <v>5857</v>
      </c>
      <c r="AE291" t="s">
        <v>5858</v>
      </c>
      <c r="AF291" t="s">
        <v>74</v>
      </c>
      <c r="AG291">
        <v>65</v>
      </c>
      <c r="AH291">
        <v>7</v>
      </c>
      <c r="AI291">
        <v>7</v>
      </c>
      <c r="AJ291">
        <v>0</v>
      </c>
      <c r="AK291">
        <v>1</v>
      </c>
      <c r="AL291" t="s">
        <v>4607</v>
      </c>
      <c r="AM291" t="s">
        <v>1914</v>
      </c>
      <c r="AN291" t="s">
        <v>4608</v>
      </c>
      <c r="AO291" t="s">
        <v>4609</v>
      </c>
      <c r="AP291" t="s">
        <v>74</v>
      </c>
      <c r="AQ291" t="s">
        <v>4610</v>
      </c>
      <c r="AR291" t="s">
        <v>4611</v>
      </c>
      <c r="AS291" t="s">
        <v>74</v>
      </c>
      <c r="AT291" t="s">
        <v>74</v>
      </c>
      <c r="AU291">
        <v>2021</v>
      </c>
      <c r="AV291">
        <v>55</v>
      </c>
      <c r="AW291" t="s">
        <v>74</v>
      </c>
      <c r="AX291" t="s">
        <v>74</v>
      </c>
      <c r="AY291" t="s">
        <v>74</v>
      </c>
      <c r="AZ291" t="s">
        <v>74</v>
      </c>
      <c r="BA291" t="s">
        <v>74</v>
      </c>
      <c r="BB291">
        <v>741</v>
      </c>
      <c r="BC291">
        <v>758</v>
      </c>
      <c r="BD291" t="s">
        <v>74</v>
      </c>
      <c r="BE291" t="s">
        <v>5859</v>
      </c>
      <c r="BF291" t="str">
        <f>HYPERLINK("http://dx.doi.org/10.1144/M55-2018-43","http://dx.doi.org/10.1144/M55-2018-43")</f>
        <v>http://dx.doi.org/10.1144/M55-2018-43</v>
      </c>
      <c r="BG291" t="s">
        <v>4613</v>
      </c>
      <c r="BH291" t="s">
        <v>74</v>
      </c>
      <c r="BI291">
        <v>18</v>
      </c>
      <c r="BJ291" t="s">
        <v>4614</v>
      </c>
      <c r="BK291" t="s">
        <v>4615</v>
      </c>
      <c r="BL291" t="s">
        <v>4614</v>
      </c>
      <c r="BM291" t="s">
        <v>4616</v>
      </c>
      <c r="BN291" t="s">
        <v>74</v>
      </c>
      <c r="BO291" t="s">
        <v>74</v>
      </c>
      <c r="BP291" t="s">
        <v>74</v>
      </c>
      <c r="BQ291" t="s">
        <v>74</v>
      </c>
      <c r="BR291" t="s">
        <v>106</v>
      </c>
      <c r="BS291" t="s">
        <v>5860</v>
      </c>
      <c r="BT291" t="str">
        <f>HYPERLINK("https%3A%2F%2Fwww.webofscience.com%2Fwos%2Fwoscc%2Ffull-record%2FWOS:000683732500037","View Full Record in Web of Science")</f>
        <v>View Full Record in Web of Science</v>
      </c>
    </row>
    <row r="292" spans="1:72" x14ac:dyDescent="0.15">
      <c r="A292" t="s">
        <v>4589</v>
      </c>
      <c r="B292" t="s">
        <v>5861</v>
      </c>
      <c r="C292" t="s">
        <v>74</v>
      </c>
      <c r="D292" t="s">
        <v>4591</v>
      </c>
      <c r="E292" t="s">
        <v>74</v>
      </c>
      <c r="F292" t="s">
        <v>5862</v>
      </c>
      <c r="G292" t="s">
        <v>74</v>
      </c>
      <c r="H292" t="s">
        <v>74</v>
      </c>
      <c r="I292" t="s">
        <v>5863</v>
      </c>
      <c r="J292" t="s">
        <v>4594</v>
      </c>
      <c r="K292" t="s">
        <v>4595</v>
      </c>
      <c r="L292" t="s">
        <v>74</v>
      </c>
      <c r="M292" t="s">
        <v>78</v>
      </c>
      <c r="N292" t="s">
        <v>4596</v>
      </c>
      <c r="O292" t="s">
        <v>74</v>
      </c>
      <c r="P292" t="s">
        <v>74</v>
      </c>
      <c r="Q292" t="s">
        <v>74</v>
      </c>
      <c r="R292" t="s">
        <v>74</v>
      </c>
      <c r="S292" t="s">
        <v>74</v>
      </c>
      <c r="T292" t="s">
        <v>74</v>
      </c>
      <c r="U292" t="s">
        <v>5864</v>
      </c>
      <c r="V292" t="s">
        <v>5865</v>
      </c>
      <c r="W292" t="s">
        <v>5866</v>
      </c>
      <c r="X292" t="s">
        <v>5867</v>
      </c>
      <c r="Y292" t="s">
        <v>5868</v>
      </c>
      <c r="Z292" t="s">
        <v>5869</v>
      </c>
      <c r="AA292" t="s">
        <v>5870</v>
      </c>
      <c r="AB292" t="s">
        <v>5871</v>
      </c>
      <c r="AC292" t="s">
        <v>5872</v>
      </c>
      <c r="AD292" t="s">
        <v>5873</v>
      </c>
      <c r="AE292" t="s">
        <v>5874</v>
      </c>
      <c r="AF292" t="s">
        <v>74</v>
      </c>
      <c r="AG292">
        <v>77</v>
      </c>
      <c r="AH292">
        <v>12</v>
      </c>
      <c r="AI292">
        <v>12</v>
      </c>
      <c r="AJ292">
        <v>0</v>
      </c>
      <c r="AK292">
        <v>3</v>
      </c>
      <c r="AL292" t="s">
        <v>4607</v>
      </c>
      <c r="AM292" t="s">
        <v>1914</v>
      </c>
      <c r="AN292" t="s">
        <v>4608</v>
      </c>
      <c r="AO292" t="s">
        <v>4609</v>
      </c>
      <c r="AP292" t="s">
        <v>74</v>
      </c>
      <c r="AQ292" t="s">
        <v>4610</v>
      </c>
      <c r="AR292" t="s">
        <v>4611</v>
      </c>
      <c r="AS292" t="s">
        <v>74</v>
      </c>
      <c r="AT292" t="s">
        <v>74</v>
      </c>
      <c r="AU292">
        <v>2021</v>
      </c>
      <c r="AV292">
        <v>55</v>
      </c>
      <c r="AW292" t="s">
        <v>74</v>
      </c>
      <c r="AX292" t="s">
        <v>74</v>
      </c>
      <c r="AY292" t="s">
        <v>74</v>
      </c>
      <c r="AZ292" t="s">
        <v>74</v>
      </c>
      <c r="BA292" t="s">
        <v>74</v>
      </c>
      <c r="BB292">
        <v>759</v>
      </c>
      <c r="BC292">
        <v>783</v>
      </c>
      <c r="BD292" t="s">
        <v>74</v>
      </c>
      <c r="BE292" t="s">
        <v>5875</v>
      </c>
      <c r="BF292" t="str">
        <f>HYPERLINK("http://dx.doi.org/10.1144/M55-2019-29","http://dx.doi.org/10.1144/M55-2019-29")</f>
        <v>http://dx.doi.org/10.1144/M55-2019-29</v>
      </c>
      <c r="BG292" t="s">
        <v>4613</v>
      </c>
      <c r="BH292" t="s">
        <v>74</v>
      </c>
      <c r="BI292">
        <v>25</v>
      </c>
      <c r="BJ292" t="s">
        <v>4614</v>
      </c>
      <c r="BK292" t="s">
        <v>4615</v>
      </c>
      <c r="BL292" t="s">
        <v>4614</v>
      </c>
      <c r="BM292" t="s">
        <v>4616</v>
      </c>
      <c r="BN292" t="s">
        <v>74</v>
      </c>
      <c r="BO292" t="s">
        <v>74</v>
      </c>
      <c r="BP292" t="s">
        <v>74</v>
      </c>
      <c r="BQ292" t="s">
        <v>74</v>
      </c>
      <c r="BR292" t="s">
        <v>106</v>
      </c>
      <c r="BS292" t="s">
        <v>5876</v>
      </c>
      <c r="BT292" t="str">
        <f>HYPERLINK("https%3A%2F%2Fwww.webofscience.com%2Fwos%2Fwoscc%2Ffull-record%2FWOS:000683732500038","View Full Record in Web of Science")</f>
        <v>View Full Record in Web of Science</v>
      </c>
    </row>
    <row r="293" spans="1:72" x14ac:dyDescent="0.15">
      <c r="A293" t="s">
        <v>4589</v>
      </c>
      <c r="B293" t="s">
        <v>5877</v>
      </c>
      <c r="C293" t="s">
        <v>74</v>
      </c>
      <c r="D293" t="s">
        <v>4591</v>
      </c>
      <c r="E293" t="s">
        <v>74</v>
      </c>
      <c r="F293" t="s">
        <v>5878</v>
      </c>
      <c r="G293" t="s">
        <v>74</v>
      </c>
      <c r="H293" t="s">
        <v>74</v>
      </c>
      <c r="I293" t="s">
        <v>5879</v>
      </c>
      <c r="J293" t="s">
        <v>4594</v>
      </c>
      <c r="K293" t="s">
        <v>4595</v>
      </c>
      <c r="L293" t="s">
        <v>74</v>
      </c>
      <c r="M293" t="s">
        <v>78</v>
      </c>
      <c r="N293" t="s">
        <v>4596</v>
      </c>
      <c r="O293" t="s">
        <v>74</v>
      </c>
      <c r="P293" t="s">
        <v>74</v>
      </c>
      <c r="Q293" t="s">
        <v>74</v>
      </c>
      <c r="R293" t="s">
        <v>74</v>
      </c>
      <c r="S293" t="s">
        <v>74</v>
      </c>
      <c r="T293" t="s">
        <v>74</v>
      </c>
      <c r="U293" t="s">
        <v>5880</v>
      </c>
      <c r="V293" t="s">
        <v>5881</v>
      </c>
      <c r="W293" t="s">
        <v>5882</v>
      </c>
      <c r="X293" t="s">
        <v>5883</v>
      </c>
      <c r="Y293" t="s">
        <v>5884</v>
      </c>
      <c r="Z293" t="s">
        <v>5885</v>
      </c>
      <c r="AA293" t="s">
        <v>5886</v>
      </c>
      <c r="AB293" t="s">
        <v>74</v>
      </c>
      <c r="AC293" t="s">
        <v>5887</v>
      </c>
      <c r="AD293" t="s">
        <v>5888</v>
      </c>
      <c r="AE293" t="s">
        <v>5889</v>
      </c>
      <c r="AF293" t="s">
        <v>74</v>
      </c>
      <c r="AG293">
        <v>121</v>
      </c>
      <c r="AH293">
        <v>1</v>
      </c>
      <c r="AI293">
        <v>2</v>
      </c>
      <c r="AJ293">
        <v>1</v>
      </c>
      <c r="AK293">
        <v>3</v>
      </c>
      <c r="AL293" t="s">
        <v>4607</v>
      </c>
      <c r="AM293" t="s">
        <v>1914</v>
      </c>
      <c r="AN293" t="s">
        <v>4608</v>
      </c>
      <c r="AO293" t="s">
        <v>4609</v>
      </c>
      <c r="AP293" t="s">
        <v>74</v>
      </c>
      <c r="AQ293" t="s">
        <v>4610</v>
      </c>
      <c r="AR293" t="s">
        <v>4611</v>
      </c>
      <c r="AS293" t="s">
        <v>74</v>
      </c>
      <c r="AT293" t="s">
        <v>74</v>
      </c>
      <c r="AU293">
        <v>2021</v>
      </c>
      <c r="AV293">
        <v>55</v>
      </c>
      <c r="AW293" t="s">
        <v>74</v>
      </c>
      <c r="AX293" t="s">
        <v>74</v>
      </c>
      <c r="AY293" t="s">
        <v>74</v>
      </c>
      <c r="AZ293" t="s">
        <v>74</v>
      </c>
      <c r="BA293" t="s">
        <v>74</v>
      </c>
      <c r="BB293">
        <v>785</v>
      </c>
      <c r="BC293">
        <v>803</v>
      </c>
      <c r="BD293" t="s">
        <v>74</v>
      </c>
      <c r="BE293" t="s">
        <v>5890</v>
      </c>
      <c r="BF293" t="str">
        <f>HYPERLINK("http://dx.doi.org/10.1144/M55-2019-3","http://dx.doi.org/10.1144/M55-2019-3")</f>
        <v>http://dx.doi.org/10.1144/M55-2019-3</v>
      </c>
      <c r="BG293" t="s">
        <v>4613</v>
      </c>
      <c r="BH293" t="s">
        <v>74</v>
      </c>
      <c r="BI293">
        <v>19</v>
      </c>
      <c r="BJ293" t="s">
        <v>4614</v>
      </c>
      <c r="BK293" t="s">
        <v>4615</v>
      </c>
      <c r="BL293" t="s">
        <v>4614</v>
      </c>
      <c r="BM293" t="s">
        <v>4616</v>
      </c>
      <c r="BN293" t="s">
        <v>74</v>
      </c>
      <c r="BO293" t="s">
        <v>74</v>
      </c>
      <c r="BP293" t="s">
        <v>74</v>
      </c>
      <c r="BQ293" t="s">
        <v>74</v>
      </c>
      <c r="BR293" t="s">
        <v>106</v>
      </c>
      <c r="BS293" t="s">
        <v>5891</v>
      </c>
      <c r="BT293" t="str">
        <f>HYPERLINK("https%3A%2F%2Fwww.webofscience.com%2Fwos%2Fwoscc%2Ffull-record%2FWOS:000683732500039","View Full Record in Web of Science")</f>
        <v>View Full Record in Web of Science</v>
      </c>
    </row>
    <row r="294" spans="1:72" x14ac:dyDescent="0.15">
      <c r="A294" t="s">
        <v>72</v>
      </c>
      <c r="B294" t="s">
        <v>5892</v>
      </c>
      <c r="C294" t="s">
        <v>74</v>
      </c>
      <c r="D294" t="s">
        <v>74</v>
      </c>
      <c r="E294" t="s">
        <v>74</v>
      </c>
      <c r="F294" t="s">
        <v>5893</v>
      </c>
      <c r="G294" t="s">
        <v>74</v>
      </c>
      <c r="H294" t="s">
        <v>74</v>
      </c>
      <c r="I294" t="s">
        <v>5894</v>
      </c>
      <c r="J294" t="s">
        <v>5446</v>
      </c>
      <c r="K294" t="s">
        <v>74</v>
      </c>
      <c r="L294" t="s">
        <v>74</v>
      </c>
      <c r="M294" t="s">
        <v>5447</v>
      </c>
      <c r="N294" t="s">
        <v>79</v>
      </c>
      <c r="O294" t="s">
        <v>74</v>
      </c>
      <c r="P294" t="s">
        <v>74</v>
      </c>
      <c r="Q294" t="s">
        <v>74</v>
      </c>
      <c r="R294" t="s">
        <v>74</v>
      </c>
      <c r="S294" t="s">
        <v>74</v>
      </c>
      <c r="T294" t="s">
        <v>74</v>
      </c>
      <c r="U294" t="s">
        <v>74</v>
      </c>
      <c r="V294" t="s">
        <v>5895</v>
      </c>
      <c r="W294" t="s">
        <v>74</v>
      </c>
      <c r="X294" t="s">
        <v>74</v>
      </c>
      <c r="Y294" t="s">
        <v>74</v>
      </c>
      <c r="Z294" t="s">
        <v>74</v>
      </c>
      <c r="AA294" t="s">
        <v>74</v>
      </c>
      <c r="AB294" t="s">
        <v>74</v>
      </c>
      <c r="AC294" t="s">
        <v>74</v>
      </c>
      <c r="AD294" t="s">
        <v>74</v>
      </c>
      <c r="AE294" t="s">
        <v>74</v>
      </c>
      <c r="AF294" t="s">
        <v>74</v>
      </c>
      <c r="AG294">
        <v>0</v>
      </c>
      <c r="AH294">
        <v>0</v>
      </c>
      <c r="AI294">
        <v>0</v>
      </c>
      <c r="AJ294">
        <v>1</v>
      </c>
      <c r="AK294">
        <v>2</v>
      </c>
      <c r="AL294" t="s">
        <v>5460</v>
      </c>
      <c r="AM294" t="s">
        <v>5461</v>
      </c>
      <c r="AN294" t="s">
        <v>5462</v>
      </c>
      <c r="AO294" t="s">
        <v>5463</v>
      </c>
      <c r="AP294" t="s">
        <v>5464</v>
      </c>
      <c r="AQ294" t="s">
        <v>74</v>
      </c>
      <c r="AR294" t="s">
        <v>5465</v>
      </c>
      <c r="AS294" t="s">
        <v>5466</v>
      </c>
      <c r="AT294" t="s">
        <v>74</v>
      </c>
      <c r="AU294">
        <v>2021</v>
      </c>
      <c r="AV294">
        <v>61</v>
      </c>
      <c r="AW294">
        <v>3</v>
      </c>
      <c r="AX294" t="s">
        <v>74</v>
      </c>
      <c r="AY294" t="s">
        <v>74</v>
      </c>
      <c r="AZ294" t="s">
        <v>74</v>
      </c>
      <c r="BA294" t="s">
        <v>74</v>
      </c>
      <c r="BB294">
        <v>324</v>
      </c>
      <c r="BC294">
        <v>340</v>
      </c>
      <c r="BD294" t="s">
        <v>74</v>
      </c>
      <c r="BE294" t="s">
        <v>5896</v>
      </c>
      <c r="BF294" t="str">
        <f>HYPERLINK("http://dx.doi.org/10.31857/S2076673421030092","http://dx.doi.org/10.31857/S2076673421030092")</f>
        <v>http://dx.doi.org/10.31857/S2076673421030092</v>
      </c>
      <c r="BG294" t="s">
        <v>74</v>
      </c>
      <c r="BH294" t="s">
        <v>74</v>
      </c>
      <c r="BI294">
        <v>17</v>
      </c>
      <c r="BJ294" t="s">
        <v>401</v>
      </c>
      <c r="BK294" t="s">
        <v>3050</v>
      </c>
      <c r="BL294" t="s">
        <v>402</v>
      </c>
      <c r="BM294" t="s">
        <v>5897</v>
      </c>
      <c r="BN294" t="s">
        <v>74</v>
      </c>
      <c r="BO294" t="s">
        <v>326</v>
      </c>
      <c r="BP294" t="s">
        <v>74</v>
      </c>
      <c r="BQ294" t="s">
        <v>74</v>
      </c>
      <c r="BR294" t="s">
        <v>106</v>
      </c>
      <c r="BS294" t="s">
        <v>5898</v>
      </c>
      <c r="BT294" t="str">
        <f>HYPERLINK("https%3A%2F%2Fwww.webofscience.com%2Fwos%2Fwoscc%2Ffull-record%2FWOS:000714028700001","View Full Record in Web of Science")</f>
        <v>View Full Record in Web of Science</v>
      </c>
    </row>
    <row r="295" spans="1:72" x14ac:dyDescent="0.15">
      <c r="A295" t="s">
        <v>72</v>
      </c>
      <c r="B295" t="s">
        <v>5899</v>
      </c>
      <c r="C295" t="s">
        <v>74</v>
      </c>
      <c r="D295" t="s">
        <v>74</v>
      </c>
      <c r="E295" t="s">
        <v>74</v>
      </c>
      <c r="F295" t="s">
        <v>5900</v>
      </c>
      <c r="G295" t="s">
        <v>74</v>
      </c>
      <c r="H295" t="s">
        <v>74</v>
      </c>
      <c r="I295" t="s">
        <v>5901</v>
      </c>
      <c r="J295" t="s">
        <v>5902</v>
      </c>
      <c r="K295" t="s">
        <v>74</v>
      </c>
      <c r="L295" t="s">
        <v>74</v>
      </c>
      <c r="M295" t="s">
        <v>78</v>
      </c>
      <c r="N295" t="s">
        <v>79</v>
      </c>
      <c r="O295" t="s">
        <v>74</v>
      </c>
      <c r="P295" t="s">
        <v>74</v>
      </c>
      <c r="Q295" t="s">
        <v>74</v>
      </c>
      <c r="R295" t="s">
        <v>74</v>
      </c>
      <c r="S295" t="s">
        <v>74</v>
      </c>
      <c r="T295" t="s">
        <v>5903</v>
      </c>
      <c r="U295" t="s">
        <v>5904</v>
      </c>
      <c r="V295" t="s">
        <v>5905</v>
      </c>
      <c r="W295" t="s">
        <v>5906</v>
      </c>
      <c r="X295" t="s">
        <v>5907</v>
      </c>
      <c r="Y295" t="s">
        <v>5908</v>
      </c>
      <c r="Z295" t="s">
        <v>5909</v>
      </c>
      <c r="AA295" t="s">
        <v>5910</v>
      </c>
      <c r="AB295" t="s">
        <v>5911</v>
      </c>
      <c r="AC295" t="s">
        <v>5912</v>
      </c>
      <c r="AD295" t="s">
        <v>5913</v>
      </c>
      <c r="AE295" t="s">
        <v>5914</v>
      </c>
      <c r="AF295" t="s">
        <v>74</v>
      </c>
      <c r="AG295">
        <v>34</v>
      </c>
      <c r="AH295">
        <v>0</v>
      </c>
      <c r="AI295">
        <v>0</v>
      </c>
      <c r="AJ295">
        <v>1</v>
      </c>
      <c r="AK295">
        <v>5</v>
      </c>
      <c r="AL295" t="s">
        <v>5915</v>
      </c>
      <c r="AM295" t="s">
        <v>5916</v>
      </c>
      <c r="AN295" t="s">
        <v>5917</v>
      </c>
      <c r="AO295" t="s">
        <v>5918</v>
      </c>
      <c r="AP295" t="s">
        <v>5919</v>
      </c>
      <c r="AQ295" t="s">
        <v>74</v>
      </c>
      <c r="AR295" t="s">
        <v>5920</v>
      </c>
      <c r="AS295" t="s">
        <v>5921</v>
      </c>
      <c r="AT295" t="s">
        <v>74</v>
      </c>
      <c r="AU295">
        <v>2021</v>
      </c>
      <c r="AV295">
        <v>29</v>
      </c>
      <c r="AW295">
        <v>3</v>
      </c>
      <c r="AX295" t="s">
        <v>74</v>
      </c>
      <c r="AY295" t="s">
        <v>74</v>
      </c>
      <c r="AZ295" t="s">
        <v>74</v>
      </c>
      <c r="BA295" t="s">
        <v>74</v>
      </c>
      <c r="BB295">
        <v>264</v>
      </c>
      <c r="BC295">
        <v>268</v>
      </c>
      <c r="BD295" t="s">
        <v>74</v>
      </c>
      <c r="BE295" t="s">
        <v>5922</v>
      </c>
      <c r="BF295" t="str">
        <f>HYPERLINK("http://dx.doi.org/10.15421/012133","http://dx.doi.org/10.15421/012133")</f>
        <v>http://dx.doi.org/10.15421/012133</v>
      </c>
      <c r="BG295" t="s">
        <v>74</v>
      </c>
      <c r="BH295" t="s">
        <v>74</v>
      </c>
      <c r="BI295">
        <v>5</v>
      </c>
      <c r="BJ295" t="s">
        <v>1509</v>
      </c>
      <c r="BK295" t="s">
        <v>3050</v>
      </c>
      <c r="BL295" t="s">
        <v>104</v>
      </c>
      <c r="BM295" t="s">
        <v>5923</v>
      </c>
      <c r="BN295" t="s">
        <v>74</v>
      </c>
      <c r="BO295" t="s">
        <v>326</v>
      </c>
      <c r="BP295" t="s">
        <v>74</v>
      </c>
      <c r="BQ295" t="s">
        <v>74</v>
      </c>
      <c r="BR295" t="s">
        <v>106</v>
      </c>
      <c r="BS295" t="s">
        <v>5924</v>
      </c>
      <c r="BT295" t="str">
        <f>HYPERLINK("https%3A%2F%2Fwww.webofscience.com%2Fwos%2Fwoscc%2Ffull-record%2FWOS:000711376100010","View Full Record in Web of Science")</f>
        <v>View Full Record in Web of Science</v>
      </c>
    </row>
    <row r="296" spans="1:72" x14ac:dyDescent="0.15">
      <c r="A296" t="s">
        <v>4529</v>
      </c>
      <c r="B296" t="s">
        <v>5925</v>
      </c>
      <c r="C296" t="s">
        <v>74</v>
      </c>
      <c r="D296" t="s">
        <v>74</v>
      </c>
      <c r="E296" t="s">
        <v>4644</v>
      </c>
      <c r="F296" t="s">
        <v>5926</v>
      </c>
      <c r="G296" t="s">
        <v>74</v>
      </c>
      <c r="H296" t="s">
        <v>74</v>
      </c>
      <c r="I296" t="s">
        <v>5927</v>
      </c>
      <c r="J296" t="s">
        <v>5928</v>
      </c>
      <c r="K296" t="s">
        <v>74</v>
      </c>
      <c r="L296" t="s">
        <v>74</v>
      </c>
      <c r="M296" t="s">
        <v>78</v>
      </c>
      <c r="N296" t="s">
        <v>4535</v>
      </c>
      <c r="O296" t="s">
        <v>5929</v>
      </c>
      <c r="P296" t="s">
        <v>5930</v>
      </c>
      <c r="Q296" t="s">
        <v>4538</v>
      </c>
      <c r="R296" t="s">
        <v>74</v>
      </c>
      <c r="S296" t="s">
        <v>74</v>
      </c>
      <c r="T296" t="s">
        <v>5931</v>
      </c>
      <c r="U296" t="s">
        <v>5932</v>
      </c>
      <c r="V296" t="s">
        <v>5933</v>
      </c>
      <c r="W296" t="s">
        <v>5934</v>
      </c>
      <c r="X296" t="s">
        <v>5935</v>
      </c>
      <c r="Y296" t="s">
        <v>5936</v>
      </c>
      <c r="Z296" t="s">
        <v>5937</v>
      </c>
      <c r="AA296" t="s">
        <v>74</v>
      </c>
      <c r="AB296" t="s">
        <v>5938</v>
      </c>
      <c r="AC296" t="s">
        <v>5939</v>
      </c>
      <c r="AD296" t="s">
        <v>5940</v>
      </c>
      <c r="AE296" t="s">
        <v>5941</v>
      </c>
      <c r="AF296" t="s">
        <v>74</v>
      </c>
      <c r="AG296">
        <v>20</v>
      </c>
      <c r="AH296">
        <v>0</v>
      </c>
      <c r="AI296">
        <v>0</v>
      </c>
      <c r="AJ296">
        <v>1</v>
      </c>
      <c r="AK296">
        <v>6</v>
      </c>
      <c r="AL296" t="s">
        <v>4644</v>
      </c>
      <c r="AM296" t="s">
        <v>473</v>
      </c>
      <c r="AN296" t="s">
        <v>4662</v>
      </c>
      <c r="AO296" t="s">
        <v>74</v>
      </c>
      <c r="AP296" t="s">
        <v>74</v>
      </c>
      <c r="AQ296" t="s">
        <v>5942</v>
      </c>
      <c r="AR296" t="s">
        <v>74</v>
      </c>
      <c r="AS296" t="s">
        <v>74</v>
      </c>
      <c r="AT296" t="s">
        <v>74</v>
      </c>
      <c r="AU296">
        <v>2021</v>
      </c>
      <c r="AV296" t="s">
        <v>74</v>
      </c>
      <c r="AW296" t="s">
        <v>74</v>
      </c>
      <c r="AX296" t="s">
        <v>74</v>
      </c>
      <c r="AY296" t="s">
        <v>74</v>
      </c>
      <c r="AZ296" t="s">
        <v>74</v>
      </c>
      <c r="BA296" t="s">
        <v>74</v>
      </c>
      <c r="BB296">
        <v>5579</v>
      </c>
      <c r="BC296">
        <v>5583</v>
      </c>
      <c r="BD296" t="s">
        <v>74</v>
      </c>
      <c r="BE296" t="s">
        <v>5943</v>
      </c>
      <c r="BF296" t="str">
        <f>HYPERLINK("http://dx.doi.org/10.1109/ICASSP39728.2021.9414875","http://dx.doi.org/10.1109/ICASSP39728.2021.9414875")</f>
        <v>http://dx.doi.org/10.1109/ICASSP39728.2021.9414875</v>
      </c>
      <c r="BG296" t="s">
        <v>74</v>
      </c>
      <c r="BH296" t="s">
        <v>74</v>
      </c>
      <c r="BI296">
        <v>5</v>
      </c>
      <c r="BJ296" t="s">
        <v>5944</v>
      </c>
      <c r="BK296" t="s">
        <v>4553</v>
      </c>
      <c r="BL296" t="s">
        <v>5945</v>
      </c>
      <c r="BM296" t="s">
        <v>5946</v>
      </c>
      <c r="BN296" t="s">
        <v>74</v>
      </c>
      <c r="BO296" t="s">
        <v>74</v>
      </c>
      <c r="BP296" t="s">
        <v>74</v>
      </c>
      <c r="BQ296" t="s">
        <v>74</v>
      </c>
      <c r="BR296" t="s">
        <v>106</v>
      </c>
      <c r="BS296" t="s">
        <v>5947</v>
      </c>
      <c r="BT296" t="str">
        <f>HYPERLINK("https%3A%2F%2Fwww.webofscience.com%2Fwos%2Fwoscc%2Ffull-record%2FWOS:000704288405169","View Full Record in Web of Science")</f>
        <v>View Full Record in Web of Science</v>
      </c>
    </row>
    <row r="297" spans="1:72" x14ac:dyDescent="0.15">
      <c r="A297" t="s">
        <v>4589</v>
      </c>
      <c r="B297" t="s">
        <v>5948</v>
      </c>
      <c r="C297" t="s">
        <v>74</v>
      </c>
      <c r="D297" t="s">
        <v>5949</v>
      </c>
      <c r="E297" t="s">
        <v>74</v>
      </c>
      <c r="F297" t="s">
        <v>5950</v>
      </c>
      <c r="G297" t="s">
        <v>74</v>
      </c>
      <c r="H297" t="s">
        <v>74</v>
      </c>
      <c r="I297" t="s">
        <v>5951</v>
      </c>
      <c r="J297" t="s">
        <v>5952</v>
      </c>
      <c r="K297" t="s">
        <v>5953</v>
      </c>
      <c r="L297" t="s">
        <v>74</v>
      </c>
      <c r="M297" t="s">
        <v>78</v>
      </c>
      <c r="N297" t="s">
        <v>4596</v>
      </c>
      <c r="O297" t="s">
        <v>74</v>
      </c>
      <c r="P297" t="s">
        <v>74</v>
      </c>
      <c r="Q297" t="s">
        <v>74</v>
      </c>
      <c r="R297" t="s">
        <v>74</v>
      </c>
      <c r="S297" t="s">
        <v>74</v>
      </c>
      <c r="T297" t="s">
        <v>74</v>
      </c>
      <c r="U297" t="s">
        <v>5954</v>
      </c>
      <c r="V297" t="s">
        <v>74</v>
      </c>
      <c r="W297" t="s">
        <v>5955</v>
      </c>
      <c r="X297" t="s">
        <v>5956</v>
      </c>
      <c r="Y297" t="s">
        <v>5957</v>
      </c>
      <c r="Z297" t="s">
        <v>5958</v>
      </c>
      <c r="AA297" t="s">
        <v>5959</v>
      </c>
      <c r="AB297" t="s">
        <v>5960</v>
      </c>
      <c r="AC297" t="s">
        <v>5961</v>
      </c>
      <c r="AD297" t="s">
        <v>5962</v>
      </c>
      <c r="AE297" t="s">
        <v>5963</v>
      </c>
      <c r="AF297" t="s">
        <v>74</v>
      </c>
      <c r="AG297">
        <v>128</v>
      </c>
      <c r="AH297">
        <v>0</v>
      </c>
      <c r="AI297">
        <v>0</v>
      </c>
      <c r="AJ297">
        <v>3</v>
      </c>
      <c r="AK297">
        <v>10</v>
      </c>
      <c r="AL297" t="s">
        <v>1210</v>
      </c>
      <c r="AM297" t="s">
        <v>264</v>
      </c>
      <c r="AN297" t="s">
        <v>5964</v>
      </c>
      <c r="AO297" t="s">
        <v>5965</v>
      </c>
      <c r="AP297" t="s">
        <v>74</v>
      </c>
      <c r="AQ297" t="s">
        <v>5966</v>
      </c>
      <c r="AR297" t="s">
        <v>5967</v>
      </c>
      <c r="AS297" t="s">
        <v>5968</v>
      </c>
      <c r="AT297" t="s">
        <v>74</v>
      </c>
      <c r="AU297">
        <v>2021</v>
      </c>
      <c r="AV297" t="s">
        <v>74</v>
      </c>
      <c r="AW297" t="s">
        <v>74</v>
      </c>
      <c r="AX297" t="s">
        <v>74</v>
      </c>
      <c r="AY297" t="s">
        <v>74</v>
      </c>
      <c r="AZ297" t="s">
        <v>74</v>
      </c>
      <c r="BA297" t="s">
        <v>74</v>
      </c>
      <c r="BB297">
        <v>11</v>
      </c>
      <c r="BC297">
        <v>41</v>
      </c>
      <c r="BD297" t="s">
        <v>74</v>
      </c>
      <c r="BE297" t="s">
        <v>74</v>
      </c>
      <c r="BF297" t="s">
        <v>74</v>
      </c>
      <c r="BG297" t="s">
        <v>5969</v>
      </c>
      <c r="BH297" t="s">
        <v>74</v>
      </c>
      <c r="BI297">
        <v>31</v>
      </c>
      <c r="BJ297" t="s">
        <v>5970</v>
      </c>
      <c r="BK297" t="s">
        <v>4615</v>
      </c>
      <c r="BL297" t="s">
        <v>5971</v>
      </c>
      <c r="BM297" t="s">
        <v>5972</v>
      </c>
      <c r="BN297" t="s">
        <v>74</v>
      </c>
      <c r="BO297" t="s">
        <v>1732</v>
      </c>
      <c r="BP297" t="s">
        <v>74</v>
      </c>
      <c r="BQ297" t="s">
        <v>74</v>
      </c>
      <c r="BR297" t="s">
        <v>106</v>
      </c>
      <c r="BS297" t="s">
        <v>5973</v>
      </c>
      <c r="BT297" t="str">
        <f>HYPERLINK("https%3A%2F%2Fwww.webofscience.com%2Fwos%2Fwoscc%2Ffull-record%2FWOS:000716519800003","View Full Record in Web of Science")</f>
        <v>View Full Record in Web of Science</v>
      </c>
    </row>
    <row r="298" spans="1:72" x14ac:dyDescent="0.15">
      <c r="A298" t="s">
        <v>4589</v>
      </c>
      <c r="B298" t="s">
        <v>5974</v>
      </c>
      <c r="C298" t="s">
        <v>74</v>
      </c>
      <c r="D298" t="s">
        <v>5949</v>
      </c>
      <c r="E298" t="s">
        <v>74</v>
      </c>
      <c r="F298" t="s">
        <v>5975</v>
      </c>
      <c r="G298" t="s">
        <v>74</v>
      </c>
      <c r="H298" t="s">
        <v>74</v>
      </c>
      <c r="I298" t="s">
        <v>5976</v>
      </c>
      <c r="J298" t="s">
        <v>5952</v>
      </c>
      <c r="K298" t="s">
        <v>5953</v>
      </c>
      <c r="L298" t="s">
        <v>74</v>
      </c>
      <c r="M298" t="s">
        <v>78</v>
      </c>
      <c r="N298" t="s">
        <v>4596</v>
      </c>
      <c r="O298" t="s">
        <v>74</v>
      </c>
      <c r="P298" t="s">
        <v>74</v>
      </c>
      <c r="Q298" t="s">
        <v>74</v>
      </c>
      <c r="R298" t="s">
        <v>74</v>
      </c>
      <c r="S298" t="s">
        <v>74</v>
      </c>
      <c r="T298" t="s">
        <v>74</v>
      </c>
      <c r="U298" t="s">
        <v>5977</v>
      </c>
      <c r="V298" t="s">
        <v>74</v>
      </c>
      <c r="W298" t="s">
        <v>5978</v>
      </c>
      <c r="X298" t="s">
        <v>5979</v>
      </c>
      <c r="Y298" t="s">
        <v>5980</v>
      </c>
      <c r="Z298" t="s">
        <v>5981</v>
      </c>
      <c r="AA298" t="s">
        <v>5982</v>
      </c>
      <c r="AB298" t="s">
        <v>74</v>
      </c>
      <c r="AC298" t="s">
        <v>5983</v>
      </c>
      <c r="AD298" t="s">
        <v>5984</v>
      </c>
      <c r="AE298" t="s">
        <v>5985</v>
      </c>
      <c r="AF298" t="s">
        <v>74</v>
      </c>
      <c r="AG298">
        <v>144</v>
      </c>
      <c r="AH298">
        <v>0</v>
      </c>
      <c r="AI298">
        <v>0</v>
      </c>
      <c r="AJ298">
        <v>1</v>
      </c>
      <c r="AK298">
        <v>7</v>
      </c>
      <c r="AL298" t="s">
        <v>1210</v>
      </c>
      <c r="AM298" t="s">
        <v>264</v>
      </c>
      <c r="AN298" t="s">
        <v>5964</v>
      </c>
      <c r="AO298" t="s">
        <v>5965</v>
      </c>
      <c r="AP298" t="s">
        <v>74</v>
      </c>
      <c r="AQ298" t="s">
        <v>5966</v>
      </c>
      <c r="AR298" t="s">
        <v>5967</v>
      </c>
      <c r="AS298" t="s">
        <v>5968</v>
      </c>
      <c r="AT298" t="s">
        <v>74</v>
      </c>
      <c r="AU298">
        <v>2021</v>
      </c>
      <c r="AV298" t="s">
        <v>74</v>
      </c>
      <c r="AW298" t="s">
        <v>74</v>
      </c>
      <c r="AX298" t="s">
        <v>74</v>
      </c>
      <c r="AY298" t="s">
        <v>74</v>
      </c>
      <c r="AZ298" t="s">
        <v>74</v>
      </c>
      <c r="BA298" t="s">
        <v>74</v>
      </c>
      <c r="BB298">
        <v>151</v>
      </c>
      <c r="BC298">
        <v>183</v>
      </c>
      <c r="BD298" t="s">
        <v>74</v>
      </c>
      <c r="BE298" t="s">
        <v>74</v>
      </c>
      <c r="BF298" t="s">
        <v>74</v>
      </c>
      <c r="BG298" t="s">
        <v>5969</v>
      </c>
      <c r="BH298" t="s">
        <v>74</v>
      </c>
      <c r="BI298">
        <v>33</v>
      </c>
      <c r="BJ298" t="s">
        <v>5970</v>
      </c>
      <c r="BK298" t="s">
        <v>4615</v>
      </c>
      <c r="BL298" t="s">
        <v>5971</v>
      </c>
      <c r="BM298" t="s">
        <v>5972</v>
      </c>
      <c r="BN298" t="s">
        <v>74</v>
      </c>
      <c r="BO298" t="s">
        <v>1732</v>
      </c>
      <c r="BP298" t="s">
        <v>74</v>
      </c>
      <c r="BQ298" t="s">
        <v>74</v>
      </c>
      <c r="BR298" t="s">
        <v>106</v>
      </c>
      <c r="BS298" t="s">
        <v>5986</v>
      </c>
      <c r="BT298" t="str">
        <f>HYPERLINK("https%3A%2F%2Fwww.webofscience.com%2Fwos%2Fwoscc%2Ffull-record%2FWOS:000716519800011","View Full Record in Web of Science")</f>
        <v>View Full Record in Web of Science</v>
      </c>
    </row>
    <row r="299" spans="1:72" x14ac:dyDescent="0.15">
      <c r="A299" t="s">
        <v>4589</v>
      </c>
      <c r="B299" t="s">
        <v>5987</v>
      </c>
      <c r="C299" t="s">
        <v>74</v>
      </c>
      <c r="D299" t="s">
        <v>5949</v>
      </c>
      <c r="E299" t="s">
        <v>74</v>
      </c>
      <c r="F299" t="s">
        <v>5988</v>
      </c>
      <c r="G299" t="s">
        <v>74</v>
      </c>
      <c r="H299" t="s">
        <v>74</v>
      </c>
      <c r="I299" t="s">
        <v>5989</v>
      </c>
      <c r="J299" t="s">
        <v>5952</v>
      </c>
      <c r="K299" t="s">
        <v>5953</v>
      </c>
      <c r="L299" t="s">
        <v>74</v>
      </c>
      <c r="M299" t="s">
        <v>78</v>
      </c>
      <c r="N299" t="s">
        <v>4596</v>
      </c>
      <c r="O299" t="s">
        <v>74</v>
      </c>
      <c r="P299" t="s">
        <v>74</v>
      </c>
      <c r="Q299" t="s">
        <v>74</v>
      </c>
      <c r="R299" t="s">
        <v>74</v>
      </c>
      <c r="S299" t="s">
        <v>74</v>
      </c>
      <c r="T299" t="s">
        <v>74</v>
      </c>
      <c r="U299" t="s">
        <v>5990</v>
      </c>
      <c r="V299" t="s">
        <v>74</v>
      </c>
      <c r="W299" t="s">
        <v>5991</v>
      </c>
      <c r="X299" t="s">
        <v>5705</v>
      </c>
      <c r="Y299" t="s">
        <v>5992</v>
      </c>
      <c r="Z299" t="s">
        <v>5993</v>
      </c>
      <c r="AA299" t="s">
        <v>74</v>
      </c>
      <c r="AB299" t="s">
        <v>74</v>
      </c>
      <c r="AC299" t="s">
        <v>74</v>
      </c>
      <c r="AD299" t="s">
        <v>74</v>
      </c>
      <c r="AE299" t="s">
        <v>74</v>
      </c>
      <c r="AF299" t="s">
        <v>74</v>
      </c>
      <c r="AG299">
        <v>173</v>
      </c>
      <c r="AH299">
        <v>0</v>
      </c>
      <c r="AI299">
        <v>0</v>
      </c>
      <c r="AJ299">
        <v>1</v>
      </c>
      <c r="AK299">
        <v>5</v>
      </c>
      <c r="AL299" t="s">
        <v>1210</v>
      </c>
      <c r="AM299" t="s">
        <v>264</v>
      </c>
      <c r="AN299" t="s">
        <v>5964</v>
      </c>
      <c r="AO299" t="s">
        <v>5965</v>
      </c>
      <c r="AP299" t="s">
        <v>74</v>
      </c>
      <c r="AQ299" t="s">
        <v>5966</v>
      </c>
      <c r="AR299" t="s">
        <v>5967</v>
      </c>
      <c r="AS299" t="s">
        <v>5968</v>
      </c>
      <c r="AT299" t="s">
        <v>74</v>
      </c>
      <c r="AU299">
        <v>2021</v>
      </c>
      <c r="AV299" t="s">
        <v>74</v>
      </c>
      <c r="AW299" t="s">
        <v>74</v>
      </c>
      <c r="AX299" t="s">
        <v>74</v>
      </c>
      <c r="AY299" t="s">
        <v>74</v>
      </c>
      <c r="AZ299" t="s">
        <v>74</v>
      </c>
      <c r="BA299" t="s">
        <v>74</v>
      </c>
      <c r="BB299">
        <v>184</v>
      </c>
      <c r="BC299">
        <v>217</v>
      </c>
      <c r="BD299" t="s">
        <v>74</v>
      </c>
      <c r="BE299" t="s">
        <v>74</v>
      </c>
      <c r="BF299" t="s">
        <v>74</v>
      </c>
      <c r="BG299" t="s">
        <v>5969</v>
      </c>
      <c r="BH299" t="s">
        <v>74</v>
      </c>
      <c r="BI299">
        <v>34</v>
      </c>
      <c r="BJ299" t="s">
        <v>5970</v>
      </c>
      <c r="BK299" t="s">
        <v>4615</v>
      </c>
      <c r="BL299" t="s">
        <v>5971</v>
      </c>
      <c r="BM299" t="s">
        <v>5972</v>
      </c>
      <c r="BN299" t="s">
        <v>74</v>
      </c>
      <c r="BO299" t="s">
        <v>1732</v>
      </c>
      <c r="BP299" t="s">
        <v>74</v>
      </c>
      <c r="BQ299" t="s">
        <v>74</v>
      </c>
      <c r="BR299" t="s">
        <v>106</v>
      </c>
      <c r="BS299" t="s">
        <v>5994</v>
      </c>
      <c r="BT299" t="str">
        <f>HYPERLINK("https%3A%2F%2Fwww.webofscience.com%2Fwos%2Fwoscc%2Ffull-record%2FWOS:000716519800012","View Full Record in Web of Science")</f>
        <v>View Full Record in Web of Science</v>
      </c>
    </row>
    <row r="300" spans="1:72" x14ac:dyDescent="0.15">
      <c r="A300" t="s">
        <v>4589</v>
      </c>
      <c r="B300" t="s">
        <v>5995</v>
      </c>
      <c r="C300" t="s">
        <v>74</v>
      </c>
      <c r="D300" t="s">
        <v>5949</v>
      </c>
      <c r="E300" t="s">
        <v>74</v>
      </c>
      <c r="F300" t="s">
        <v>5996</v>
      </c>
      <c r="G300" t="s">
        <v>74</v>
      </c>
      <c r="H300" t="s">
        <v>74</v>
      </c>
      <c r="I300" t="s">
        <v>5997</v>
      </c>
      <c r="J300" t="s">
        <v>5952</v>
      </c>
      <c r="K300" t="s">
        <v>5953</v>
      </c>
      <c r="L300" t="s">
        <v>74</v>
      </c>
      <c r="M300" t="s">
        <v>78</v>
      </c>
      <c r="N300" t="s">
        <v>4596</v>
      </c>
      <c r="O300" t="s">
        <v>74</v>
      </c>
      <c r="P300" t="s">
        <v>74</v>
      </c>
      <c r="Q300" t="s">
        <v>74</v>
      </c>
      <c r="R300" t="s">
        <v>74</v>
      </c>
      <c r="S300" t="s">
        <v>74</v>
      </c>
      <c r="T300" t="s">
        <v>74</v>
      </c>
      <c r="U300" t="s">
        <v>5998</v>
      </c>
      <c r="V300" t="s">
        <v>74</v>
      </c>
      <c r="W300" t="s">
        <v>5999</v>
      </c>
      <c r="X300" t="s">
        <v>6000</v>
      </c>
      <c r="Y300" t="s">
        <v>6001</v>
      </c>
      <c r="Z300" t="s">
        <v>6002</v>
      </c>
      <c r="AA300" t="s">
        <v>6003</v>
      </c>
      <c r="AB300" t="s">
        <v>6004</v>
      </c>
      <c r="AC300" t="s">
        <v>74</v>
      </c>
      <c r="AD300" t="s">
        <v>74</v>
      </c>
      <c r="AE300" t="s">
        <v>74</v>
      </c>
      <c r="AF300" t="s">
        <v>74</v>
      </c>
      <c r="AG300">
        <v>172</v>
      </c>
      <c r="AH300">
        <v>3</v>
      </c>
      <c r="AI300">
        <v>3</v>
      </c>
      <c r="AJ300">
        <v>1</v>
      </c>
      <c r="AK300">
        <v>4</v>
      </c>
      <c r="AL300" t="s">
        <v>1210</v>
      </c>
      <c r="AM300" t="s">
        <v>264</v>
      </c>
      <c r="AN300" t="s">
        <v>5964</v>
      </c>
      <c r="AO300" t="s">
        <v>5965</v>
      </c>
      <c r="AP300" t="s">
        <v>74</v>
      </c>
      <c r="AQ300" t="s">
        <v>5966</v>
      </c>
      <c r="AR300" t="s">
        <v>5967</v>
      </c>
      <c r="AS300" t="s">
        <v>5968</v>
      </c>
      <c r="AT300" t="s">
        <v>74</v>
      </c>
      <c r="AU300">
        <v>2021</v>
      </c>
      <c r="AV300" t="s">
        <v>74</v>
      </c>
      <c r="AW300" t="s">
        <v>74</v>
      </c>
      <c r="AX300" t="s">
        <v>74</v>
      </c>
      <c r="AY300" t="s">
        <v>74</v>
      </c>
      <c r="AZ300" t="s">
        <v>74</v>
      </c>
      <c r="BA300" t="s">
        <v>74</v>
      </c>
      <c r="BB300">
        <v>251</v>
      </c>
      <c r="BC300">
        <v>278</v>
      </c>
      <c r="BD300" t="s">
        <v>74</v>
      </c>
      <c r="BE300" t="s">
        <v>74</v>
      </c>
      <c r="BF300" t="s">
        <v>74</v>
      </c>
      <c r="BG300" t="s">
        <v>5969</v>
      </c>
      <c r="BH300" t="s">
        <v>74</v>
      </c>
      <c r="BI300">
        <v>28</v>
      </c>
      <c r="BJ300" t="s">
        <v>5970</v>
      </c>
      <c r="BK300" t="s">
        <v>4615</v>
      </c>
      <c r="BL300" t="s">
        <v>5971</v>
      </c>
      <c r="BM300" t="s">
        <v>5972</v>
      </c>
      <c r="BN300" t="s">
        <v>74</v>
      </c>
      <c r="BO300" t="s">
        <v>1732</v>
      </c>
      <c r="BP300" t="s">
        <v>74</v>
      </c>
      <c r="BQ300" t="s">
        <v>74</v>
      </c>
      <c r="BR300" t="s">
        <v>106</v>
      </c>
      <c r="BS300" t="s">
        <v>6005</v>
      </c>
      <c r="BT300" t="str">
        <f>HYPERLINK("https%3A%2F%2Fwww.webofscience.com%2Fwos%2Fwoscc%2Ffull-record%2FWOS:000716519800015","View Full Record in Web of Science")</f>
        <v>View Full Record in Web of Science</v>
      </c>
    </row>
    <row r="301" spans="1:72" x14ac:dyDescent="0.15">
      <c r="A301" t="s">
        <v>4589</v>
      </c>
      <c r="B301" t="s">
        <v>6006</v>
      </c>
      <c r="C301" t="s">
        <v>74</v>
      </c>
      <c r="D301" t="s">
        <v>5949</v>
      </c>
      <c r="E301" t="s">
        <v>74</v>
      </c>
      <c r="F301" t="s">
        <v>6007</v>
      </c>
      <c r="G301" t="s">
        <v>74</v>
      </c>
      <c r="H301" t="s">
        <v>74</v>
      </c>
      <c r="I301" t="s">
        <v>6008</v>
      </c>
      <c r="J301" t="s">
        <v>5952</v>
      </c>
      <c r="K301" t="s">
        <v>5953</v>
      </c>
      <c r="L301" t="s">
        <v>74</v>
      </c>
      <c r="M301" t="s">
        <v>78</v>
      </c>
      <c r="N301" t="s">
        <v>4596</v>
      </c>
      <c r="O301" t="s">
        <v>74</v>
      </c>
      <c r="P301" t="s">
        <v>74</v>
      </c>
      <c r="Q301" t="s">
        <v>74</v>
      </c>
      <c r="R301" t="s">
        <v>74</v>
      </c>
      <c r="S301" t="s">
        <v>74</v>
      </c>
      <c r="T301" t="s">
        <v>74</v>
      </c>
      <c r="U301" t="s">
        <v>6009</v>
      </c>
      <c r="V301" t="s">
        <v>74</v>
      </c>
      <c r="W301" t="s">
        <v>6010</v>
      </c>
      <c r="X301" t="s">
        <v>6011</v>
      </c>
      <c r="Y301" t="s">
        <v>6012</v>
      </c>
      <c r="Z301" t="s">
        <v>6013</v>
      </c>
      <c r="AA301" t="s">
        <v>6014</v>
      </c>
      <c r="AB301" t="s">
        <v>6015</v>
      </c>
      <c r="AC301" t="s">
        <v>74</v>
      </c>
      <c r="AD301" t="s">
        <v>74</v>
      </c>
      <c r="AE301" t="s">
        <v>74</v>
      </c>
      <c r="AF301" t="s">
        <v>74</v>
      </c>
      <c r="AG301">
        <v>81</v>
      </c>
      <c r="AH301">
        <v>4</v>
      </c>
      <c r="AI301">
        <v>4</v>
      </c>
      <c r="AJ301">
        <v>1</v>
      </c>
      <c r="AK301">
        <v>4</v>
      </c>
      <c r="AL301" t="s">
        <v>1210</v>
      </c>
      <c r="AM301" t="s">
        <v>264</v>
      </c>
      <c r="AN301" t="s">
        <v>5964</v>
      </c>
      <c r="AO301" t="s">
        <v>5965</v>
      </c>
      <c r="AP301" t="s">
        <v>74</v>
      </c>
      <c r="AQ301" t="s">
        <v>5966</v>
      </c>
      <c r="AR301" t="s">
        <v>5967</v>
      </c>
      <c r="AS301" t="s">
        <v>5968</v>
      </c>
      <c r="AT301" t="s">
        <v>74</v>
      </c>
      <c r="AU301">
        <v>2021</v>
      </c>
      <c r="AV301" t="s">
        <v>74</v>
      </c>
      <c r="AW301" t="s">
        <v>74</v>
      </c>
      <c r="AX301" t="s">
        <v>74</v>
      </c>
      <c r="AY301" t="s">
        <v>74</v>
      </c>
      <c r="AZ301" t="s">
        <v>74</v>
      </c>
      <c r="BA301" t="s">
        <v>74</v>
      </c>
      <c r="BB301">
        <v>279</v>
      </c>
      <c r="BC301">
        <v>296</v>
      </c>
      <c r="BD301" t="s">
        <v>74</v>
      </c>
      <c r="BE301" t="s">
        <v>74</v>
      </c>
      <c r="BF301" t="s">
        <v>74</v>
      </c>
      <c r="BG301" t="s">
        <v>5969</v>
      </c>
      <c r="BH301" t="s">
        <v>74</v>
      </c>
      <c r="BI301">
        <v>18</v>
      </c>
      <c r="BJ301" t="s">
        <v>5970</v>
      </c>
      <c r="BK301" t="s">
        <v>4615</v>
      </c>
      <c r="BL301" t="s">
        <v>5971</v>
      </c>
      <c r="BM301" t="s">
        <v>5972</v>
      </c>
      <c r="BN301" t="s">
        <v>74</v>
      </c>
      <c r="BO301" t="s">
        <v>1732</v>
      </c>
      <c r="BP301" t="s">
        <v>74</v>
      </c>
      <c r="BQ301" t="s">
        <v>74</v>
      </c>
      <c r="BR301" t="s">
        <v>106</v>
      </c>
      <c r="BS301" t="s">
        <v>6016</v>
      </c>
      <c r="BT301" t="str">
        <f>HYPERLINK("https%3A%2F%2Fwww.webofscience.com%2Fwos%2Fwoscc%2Ffull-record%2FWOS:000716519800016","View Full Record in Web of Science")</f>
        <v>View Full Record in Web of Science</v>
      </c>
    </row>
    <row r="302" spans="1:72" x14ac:dyDescent="0.15">
      <c r="A302" t="s">
        <v>4589</v>
      </c>
      <c r="B302" t="s">
        <v>6017</v>
      </c>
      <c r="C302" t="s">
        <v>74</v>
      </c>
      <c r="D302" t="s">
        <v>5949</v>
      </c>
      <c r="E302" t="s">
        <v>74</v>
      </c>
      <c r="F302" t="s">
        <v>6018</v>
      </c>
      <c r="G302" t="s">
        <v>74</v>
      </c>
      <c r="H302" t="s">
        <v>74</v>
      </c>
      <c r="I302" t="s">
        <v>6019</v>
      </c>
      <c r="J302" t="s">
        <v>5952</v>
      </c>
      <c r="K302" t="s">
        <v>5953</v>
      </c>
      <c r="L302" t="s">
        <v>74</v>
      </c>
      <c r="M302" t="s">
        <v>78</v>
      </c>
      <c r="N302" t="s">
        <v>4596</v>
      </c>
      <c r="O302" t="s">
        <v>74</v>
      </c>
      <c r="P302" t="s">
        <v>74</v>
      </c>
      <c r="Q302" t="s">
        <v>74</v>
      </c>
      <c r="R302" t="s">
        <v>74</v>
      </c>
      <c r="S302" t="s">
        <v>74</v>
      </c>
      <c r="T302" t="s">
        <v>74</v>
      </c>
      <c r="U302" t="s">
        <v>6020</v>
      </c>
      <c r="V302" t="s">
        <v>74</v>
      </c>
      <c r="W302" t="s">
        <v>6021</v>
      </c>
      <c r="X302" t="s">
        <v>6022</v>
      </c>
      <c r="Y302" t="s">
        <v>6023</v>
      </c>
      <c r="Z302" t="s">
        <v>6024</v>
      </c>
      <c r="AA302" t="s">
        <v>6025</v>
      </c>
      <c r="AB302" t="s">
        <v>74</v>
      </c>
      <c r="AC302" t="s">
        <v>74</v>
      </c>
      <c r="AD302" t="s">
        <v>74</v>
      </c>
      <c r="AE302" t="s">
        <v>74</v>
      </c>
      <c r="AF302" t="s">
        <v>74</v>
      </c>
      <c r="AG302">
        <v>64</v>
      </c>
      <c r="AH302">
        <v>1</v>
      </c>
      <c r="AI302">
        <v>1</v>
      </c>
      <c r="AJ302">
        <v>0</v>
      </c>
      <c r="AK302">
        <v>2</v>
      </c>
      <c r="AL302" t="s">
        <v>1210</v>
      </c>
      <c r="AM302" t="s">
        <v>264</v>
      </c>
      <c r="AN302" t="s">
        <v>5964</v>
      </c>
      <c r="AO302" t="s">
        <v>5965</v>
      </c>
      <c r="AP302" t="s">
        <v>74</v>
      </c>
      <c r="AQ302" t="s">
        <v>5966</v>
      </c>
      <c r="AR302" t="s">
        <v>5967</v>
      </c>
      <c r="AS302" t="s">
        <v>5968</v>
      </c>
      <c r="AT302" t="s">
        <v>74</v>
      </c>
      <c r="AU302">
        <v>2021</v>
      </c>
      <c r="AV302" t="s">
        <v>74</v>
      </c>
      <c r="AW302" t="s">
        <v>74</v>
      </c>
      <c r="AX302" t="s">
        <v>74</v>
      </c>
      <c r="AY302" t="s">
        <v>74</v>
      </c>
      <c r="AZ302" t="s">
        <v>74</v>
      </c>
      <c r="BA302" t="s">
        <v>74</v>
      </c>
      <c r="BB302">
        <v>301</v>
      </c>
      <c r="BC302">
        <v>318</v>
      </c>
      <c r="BD302" t="s">
        <v>74</v>
      </c>
      <c r="BE302" t="s">
        <v>74</v>
      </c>
      <c r="BF302" t="s">
        <v>74</v>
      </c>
      <c r="BG302" t="s">
        <v>5969</v>
      </c>
      <c r="BH302" t="s">
        <v>74</v>
      </c>
      <c r="BI302">
        <v>18</v>
      </c>
      <c r="BJ302" t="s">
        <v>5970</v>
      </c>
      <c r="BK302" t="s">
        <v>4615</v>
      </c>
      <c r="BL302" t="s">
        <v>5971</v>
      </c>
      <c r="BM302" t="s">
        <v>5972</v>
      </c>
      <c r="BN302" t="s">
        <v>74</v>
      </c>
      <c r="BO302" t="s">
        <v>6026</v>
      </c>
      <c r="BP302" t="s">
        <v>74</v>
      </c>
      <c r="BQ302" t="s">
        <v>74</v>
      </c>
      <c r="BR302" t="s">
        <v>106</v>
      </c>
      <c r="BS302" t="s">
        <v>6027</v>
      </c>
      <c r="BT302" t="str">
        <f>HYPERLINK("https%3A%2F%2Fwww.webofscience.com%2Fwos%2Fwoscc%2Ffull-record%2FWOS:000716519800018","View Full Record in Web of Science")</f>
        <v>View Full Record in Web of Science</v>
      </c>
    </row>
    <row r="303" spans="1:72" x14ac:dyDescent="0.15">
      <c r="A303" t="s">
        <v>72</v>
      </c>
      <c r="B303" t="s">
        <v>6028</v>
      </c>
      <c r="C303" t="s">
        <v>74</v>
      </c>
      <c r="D303" t="s">
        <v>74</v>
      </c>
      <c r="E303" t="s">
        <v>74</v>
      </c>
      <c r="F303" t="s">
        <v>6029</v>
      </c>
      <c r="G303" t="s">
        <v>74</v>
      </c>
      <c r="H303" t="s">
        <v>74</v>
      </c>
      <c r="I303" t="s">
        <v>6030</v>
      </c>
      <c r="J303" t="s">
        <v>6031</v>
      </c>
      <c r="K303" t="s">
        <v>74</v>
      </c>
      <c r="L303" t="s">
        <v>74</v>
      </c>
      <c r="M303" t="s">
        <v>78</v>
      </c>
      <c r="N303" t="s">
        <v>79</v>
      </c>
      <c r="O303" t="s">
        <v>74</v>
      </c>
      <c r="P303" t="s">
        <v>74</v>
      </c>
      <c r="Q303" t="s">
        <v>74</v>
      </c>
      <c r="R303" t="s">
        <v>74</v>
      </c>
      <c r="S303" t="s">
        <v>74</v>
      </c>
      <c r="T303" t="s">
        <v>6032</v>
      </c>
      <c r="U303" t="s">
        <v>74</v>
      </c>
      <c r="V303" t="s">
        <v>6033</v>
      </c>
      <c r="W303" t="s">
        <v>6034</v>
      </c>
      <c r="X303" t="s">
        <v>6035</v>
      </c>
      <c r="Y303" t="s">
        <v>6036</v>
      </c>
      <c r="Z303" t="s">
        <v>6037</v>
      </c>
      <c r="AA303" t="s">
        <v>6038</v>
      </c>
      <c r="AB303" t="s">
        <v>6039</v>
      </c>
      <c r="AC303" t="s">
        <v>74</v>
      </c>
      <c r="AD303" t="s">
        <v>74</v>
      </c>
      <c r="AE303" t="s">
        <v>74</v>
      </c>
      <c r="AF303" t="s">
        <v>74</v>
      </c>
      <c r="AG303">
        <v>30</v>
      </c>
      <c r="AH303">
        <v>1</v>
      </c>
      <c r="AI303">
        <v>1</v>
      </c>
      <c r="AJ303">
        <v>1</v>
      </c>
      <c r="AK303">
        <v>3</v>
      </c>
      <c r="AL303" t="s">
        <v>6040</v>
      </c>
      <c r="AM303" t="s">
        <v>6041</v>
      </c>
      <c r="AN303" t="s">
        <v>6042</v>
      </c>
      <c r="AO303" t="s">
        <v>6043</v>
      </c>
      <c r="AP303" t="s">
        <v>6044</v>
      </c>
      <c r="AQ303" t="s">
        <v>74</v>
      </c>
      <c r="AR303" t="s">
        <v>6045</v>
      </c>
      <c r="AS303" t="s">
        <v>6046</v>
      </c>
      <c r="AT303" t="s">
        <v>74</v>
      </c>
      <c r="AU303">
        <v>2021</v>
      </c>
      <c r="AV303">
        <v>30</v>
      </c>
      <c r="AW303">
        <v>3</v>
      </c>
      <c r="AX303" t="s">
        <v>74</v>
      </c>
      <c r="AY303" t="s">
        <v>74</v>
      </c>
      <c r="AZ303" t="s">
        <v>74</v>
      </c>
      <c r="BA303" t="s">
        <v>74</v>
      </c>
      <c r="BB303">
        <v>480</v>
      </c>
      <c r="BC303">
        <v>490</v>
      </c>
      <c r="BD303" t="s">
        <v>74</v>
      </c>
      <c r="BE303" t="s">
        <v>6047</v>
      </c>
      <c r="BF303" t="str">
        <f>HYPERLINK("http://dx.doi.org/10.15421/112144","http://dx.doi.org/10.15421/112144")</f>
        <v>http://dx.doi.org/10.15421/112144</v>
      </c>
      <c r="BG303" t="s">
        <v>74</v>
      </c>
      <c r="BH303" t="s">
        <v>74</v>
      </c>
      <c r="BI303">
        <v>11</v>
      </c>
      <c r="BJ303" t="s">
        <v>401</v>
      </c>
      <c r="BK303" t="s">
        <v>3050</v>
      </c>
      <c r="BL303" t="s">
        <v>402</v>
      </c>
      <c r="BM303" t="s">
        <v>6048</v>
      </c>
      <c r="BN303" t="s">
        <v>74</v>
      </c>
      <c r="BO303" t="s">
        <v>326</v>
      </c>
      <c r="BP303" t="s">
        <v>74</v>
      </c>
      <c r="BQ303" t="s">
        <v>74</v>
      </c>
      <c r="BR303" t="s">
        <v>106</v>
      </c>
      <c r="BS303" t="s">
        <v>6049</v>
      </c>
      <c r="BT303" t="str">
        <f>HYPERLINK("https%3A%2F%2Fwww.webofscience.com%2Fwos%2Fwoscc%2Ffull-record%2FWOS:000709453300008","View Full Record in Web of Science")</f>
        <v>View Full Record in Web of Science</v>
      </c>
    </row>
    <row r="304" spans="1:72" x14ac:dyDescent="0.15">
      <c r="A304" t="s">
        <v>72</v>
      </c>
      <c r="B304" t="s">
        <v>6050</v>
      </c>
      <c r="C304" t="s">
        <v>74</v>
      </c>
      <c r="D304" t="s">
        <v>74</v>
      </c>
      <c r="E304" t="s">
        <v>74</v>
      </c>
      <c r="F304" t="s">
        <v>6051</v>
      </c>
      <c r="G304" t="s">
        <v>74</v>
      </c>
      <c r="H304" t="s">
        <v>74</v>
      </c>
      <c r="I304" t="s">
        <v>6052</v>
      </c>
      <c r="J304" t="s">
        <v>6053</v>
      </c>
      <c r="K304" t="s">
        <v>74</v>
      </c>
      <c r="L304" t="s">
        <v>74</v>
      </c>
      <c r="M304" t="s">
        <v>78</v>
      </c>
      <c r="N304" t="s">
        <v>52</v>
      </c>
      <c r="O304" t="s">
        <v>74</v>
      </c>
      <c r="P304" t="s">
        <v>74</v>
      </c>
      <c r="Q304" t="s">
        <v>74</v>
      </c>
      <c r="R304" t="s">
        <v>74</v>
      </c>
      <c r="S304" t="s">
        <v>74</v>
      </c>
      <c r="T304" t="s">
        <v>74</v>
      </c>
      <c r="U304" t="s">
        <v>74</v>
      </c>
      <c r="V304" t="s">
        <v>74</v>
      </c>
      <c r="W304" t="s">
        <v>6054</v>
      </c>
      <c r="X304" t="s">
        <v>6055</v>
      </c>
      <c r="Y304" t="s">
        <v>74</v>
      </c>
      <c r="Z304" t="s">
        <v>74</v>
      </c>
      <c r="AA304" t="s">
        <v>74</v>
      </c>
      <c r="AB304" t="s">
        <v>74</v>
      </c>
      <c r="AC304" t="s">
        <v>74</v>
      </c>
      <c r="AD304" t="s">
        <v>74</v>
      </c>
      <c r="AE304" t="s">
        <v>74</v>
      </c>
      <c r="AF304" t="s">
        <v>74</v>
      </c>
      <c r="AG304">
        <v>0</v>
      </c>
      <c r="AH304">
        <v>0</v>
      </c>
      <c r="AI304">
        <v>0</v>
      </c>
      <c r="AJ304">
        <v>0</v>
      </c>
      <c r="AK304">
        <v>0</v>
      </c>
      <c r="AL304" t="s">
        <v>6056</v>
      </c>
      <c r="AM304" t="s">
        <v>6057</v>
      </c>
      <c r="AN304" t="s">
        <v>6058</v>
      </c>
      <c r="AO304" t="s">
        <v>6059</v>
      </c>
      <c r="AP304" t="s">
        <v>74</v>
      </c>
      <c r="AQ304" t="s">
        <v>74</v>
      </c>
      <c r="AR304" t="s">
        <v>6060</v>
      </c>
      <c r="AS304" t="s">
        <v>6061</v>
      </c>
      <c r="AT304" t="s">
        <v>74</v>
      </c>
      <c r="AU304">
        <v>2021</v>
      </c>
      <c r="AV304">
        <v>53</v>
      </c>
      <c r="AW304" t="s">
        <v>74</v>
      </c>
      <c r="AX304" t="s">
        <v>74</v>
      </c>
      <c r="AY304" t="s">
        <v>74</v>
      </c>
      <c r="AZ304" t="s">
        <v>74</v>
      </c>
      <c r="BA304" t="s">
        <v>74</v>
      </c>
      <c r="BB304">
        <v>5</v>
      </c>
      <c r="BC304">
        <v>5</v>
      </c>
      <c r="BD304" t="s">
        <v>74</v>
      </c>
      <c r="BE304" t="s">
        <v>74</v>
      </c>
      <c r="BF304" t="s">
        <v>74</v>
      </c>
      <c r="BG304" t="s">
        <v>74</v>
      </c>
      <c r="BH304" t="s">
        <v>74</v>
      </c>
      <c r="BI304">
        <v>1</v>
      </c>
      <c r="BJ304" t="s">
        <v>1028</v>
      </c>
      <c r="BK304" t="s">
        <v>103</v>
      </c>
      <c r="BL304" t="s">
        <v>1028</v>
      </c>
      <c r="BM304" t="s">
        <v>6062</v>
      </c>
      <c r="BN304" t="s">
        <v>74</v>
      </c>
      <c r="BO304" t="s">
        <v>74</v>
      </c>
      <c r="BP304" t="s">
        <v>74</v>
      </c>
      <c r="BQ304" t="s">
        <v>74</v>
      </c>
      <c r="BR304" t="s">
        <v>106</v>
      </c>
      <c r="BS304" t="s">
        <v>6063</v>
      </c>
      <c r="BT304" t="str">
        <f>HYPERLINK("https%3A%2F%2Fwww.webofscience.com%2Fwos%2Fwoscc%2Ffull-record%2FWOS:000713025600014","View Full Record in Web of Science")</f>
        <v>View Full Record in Web of Science</v>
      </c>
    </row>
    <row r="305" spans="1:72" x14ac:dyDescent="0.15">
      <c r="A305" t="s">
        <v>72</v>
      </c>
      <c r="B305" t="s">
        <v>6064</v>
      </c>
      <c r="C305" t="s">
        <v>74</v>
      </c>
      <c r="D305" t="s">
        <v>74</v>
      </c>
      <c r="E305" t="s">
        <v>74</v>
      </c>
      <c r="F305" t="s">
        <v>6065</v>
      </c>
      <c r="G305" t="s">
        <v>74</v>
      </c>
      <c r="H305" t="s">
        <v>74</v>
      </c>
      <c r="I305" t="s">
        <v>6066</v>
      </c>
      <c r="J305" t="s">
        <v>6053</v>
      </c>
      <c r="K305" t="s">
        <v>74</v>
      </c>
      <c r="L305" t="s">
        <v>74</v>
      </c>
      <c r="M305" t="s">
        <v>78</v>
      </c>
      <c r="N305" t="s">
        <v>52</v>
      </c>
      <c r="O305" t="s">
        <v>74</v>
      </c>
      <c r="P305" t="s">
        <v>74</v>
      </c>
      <c r="Q305" t="s">
        <v>74</v>
      </c>
      <c r="R305" t="s">
        <v>74</v>
      </c>
      <c r="S305" t="s">
        <v>74</v>
      </c>
      <c r="T305" t="s">
        <v>74</v>
      </c>
      <c r="U305" t="s">
        <v>74</v>
      </c>
      <c r="V305" t="s">
        <v>74</v>
      </c>
      <c r="W305" t="s">
        <v>6067</v>
      </c>
      <c r="X305" t="s">
        <v>6055</v>
      </c>
      <c r="Y305" t="s">
        <v>74</v>
      </c>
      <c r="Z305" t="s">
        <v>74</v>
      </c>
      <c r="AA305" t="s">
        <v>74</v>
      </c>
      <c r="AB305" t="s">
        <v>74</v>
      </c>
      <c r="AC305" t="s">
        <v>74</v>
      </c>
      <c r="AD305" t="s">
        <v>74</v>
      </c>
      <c r="AE305" t="s">
        <v>74</v>
      </c>
      <c r="AF305" t="s">
        <v>74</v>
      </c>
      <c r="AG305">
        <v>0</v>
      </c>
      <c r="AH305">
        <v>0</v>
      </c>
      <c r="AI305">
        <v>0</v>
      </c>
      <c r="AJ305">
        <v>0</v>
      </c>
      <c r="AK305">
        <v>2</v>
      </c>
      <c r="AL305" t="s">
        <v>6056</v>
      </c>
      <c r="AM305" t="s">
        <v>6057</v>
      </c>
      <c r="AN305" t="s">
        <v>6058</v>
      </c>
      <c r="AO305" t="s">
        <v>6059</v>
      </c>
      <c r="AP305" t="s">
        <v>74</v>
      </c>
      <c r="AQ305" t="s">
        <v>74</v>
      </c>
      <c r="AR305" t="s">
        <v>6060</v>
      </c>
      <c r="AS305" t="s">
        <v>6061</v>
      </c>
      <c r="AT305" t="s">
        <v>74</v>
      </c>
      <c r="AU305">
        <v>2021</v>
      </c>
      <c r="AV305">
        <v>53</v>
      </c>
      <c r="AW305" t="s">
        <v>74</v>
      </c>
      <c r="AX305" t="s">
        <v>74</v>
      </c>
      <c r="AY305" t="s">
        <v>74</v>
      </c>
      <c r="AZ305" t="s">
        <v>74</v>
      </c>
      <c r="BA305" t="s">
        <v>74</v>
      </c>
      <c r="BB305">
        <v>30</v>
      </c>
      <c r="BC305">
        <v>30</v>
      </c>
      <c r="BD305" t="s">
        <v>74</v>
      </c>
      <c r="BE305" t="s">
        <v>74</v>
      </c>
      <c r="BF305" t="s">
        <v>74</v>
      </c>
      <c r="BG305" t="s">
        <v>74</v>
      </c>
      <c r="BH305" t="s">
        <v>74</v>
      </c>
      <c r="BI305">
        <v>1</v>
      </c>
      <c r="BJ305" t="s">
        <v>1028</v>
      </c>
      <c r="BK305" t="s">
        <v>103</v>
      </c>
      <c r="BL305" t="s">
        <v>1028</v>
      </c>
      <c r="BM305" t="s">
        <v>6062</v>
      </c>
      <c r="BN305" t="s">
        <v>74</v>
      </c>
      <c r="BO305" t="s">
        <v>74</v>
      </c>
      <c r="BP305" t="s">
        <v>74</v>
      </c>
      <c r="BQ305" t="s">
        <v>74</v>
      </c>
      <c r="BR305" t="s">
        <v>106</v>
      </c>
      <c r="BS305" t="s">
        <v>6068</v>
      </c>
      <c r="BT305" t="str">
        <f>HYPERLINK("https%3A%2F%2Fwww.webofscience.com%2Fwos%2Fwoscc%2Ffull-record%2FWOS:000713025600087","View Full Record in Web of Science")</f>
        <v>View Full Record in Web of Science</v>
      </c>
    </row>
    <row r="306" spans="1:72" x14ac:dyDescent="0.15">
      <c r="A306" t="s">
        <v>72</v>
      </c>
      <c r="B306" t="s">
        <v>6069</v>
      </c>
      <c r="C306" t="s">
        <v>74</v>
      </c>
      <c r="D306" t="s">
        <v>74</v>
      </c>
      <c r="E306" t="s">
        <v>74</v>
      </c>
      <c r="F306" t="s">
        <v>6070</v>
      </c>
      <c r="G306" t="s">
        <v>74</v>
      </c>
      <c r="H306" t="s">
        <v>74</v>
      </c>
      <c r="I306" t="s">
        <v>6071</v>
      </c>
      <c r="J306" t="s">
        <v>6072</v>
      </c>
      <c r="K306" t="s">
        <v>74</v>
      </c>
      <c r="L306" t="s">
        <v>74</v>
      </c>
      <c r="M306" t="s">
        <v>78</v>
      </c>
      <c r="N306" t="s">
        <v>79</v>
      </c>
      <c r="O306" t="s">
        <v>74</v>
      </c>
      <c r="P306" t="s">
        <v>74</v>
      </c>
      <c r="Q306" t="s">
        <v>74</v>
      </c>
      <c r="R306" t="s">
        <v>74</v>
      </c>
      <c r="S306" t="s">
        <v>74</v>
      </c>
      <c r="T306" t="s">
        <v>6073</v>
      </c>
      <c r="U306" t="s">
        <v>6074</v>
      </c>
      <c r="V306" t="s">
        <v>6075</v>
      </c>
      <c r="W306" t="s">
        <v>6076</v>
      </c>
      <c r="X306" t="s">
        <v>6077</v>
      </c>
      <c r="Y306" t="s">
        <v>6078</v>
      </c>
      <c r="Z306" t="s">
        <v>6079</v>
      </c>
      <c r="AA306" t="s">
        <v>6080</v>
      </c>
      <c r="AB306" t="s">
        <v>6081</v>
      </c>
      <c r="AC306" t="s">
        <v>6082</v>
      </c>
      <c r="AD306" t="s">
        <v>6083</v>
      </c>
      <c r="AE306" t="s">
        <v>6084</v>
      </c>
      <c r="AF306" t="s">
        <v>74</v>
      </c>
      <c r="AG306">
        <v>78</v>
      </c>
      <c r="AH306">
        <v>5</v>
      </c>
      <c r="AI306">
        <v>5</v>
      </c>
      <c r="AJ306">
        <v>0</v>
      </c>
      <c r="AK306">
        <v>2</v>
      </c>
      <c r="AL306" t="s">
        <v>2630</v>
      </c>
      <c r="AM306" t="s">
        <v>2631</v>
      </c>
      <c r="AN306" t="s">
        <v>2632</v>
      </c>
      <c r="AO306" t="s">
        <v>6085</v>
      </c>
      <c r="AP306" t="s">
        <v>74</v>
      </c>
      <c r="AQ306" t="s">
        <v>74</v>
      </c>
      <c r="AR306" t="s">
        <v>6086</v>
      </c>
      <c r="AS306" t="s">
        <v>6087</v>
      </c>
      <c r="AT306" t="s">
        <v>6088</v>
      </c>
      <c r="AU306">
        <v>2021</v>
      </c>
      <c r="AV306">
        <v>88</v>
      </c>
      <c r="AW306">
        <v>1</v>
      </c>
      <c r="AX306" t="s">
        <v>74</v>
      </c>
      <c r="AY306" t="s">
        <v>74</v>
      </c>
      <c r="AZ306" t="s">
        <v>74</v>
      </c>
      <c r="BA306" t="s">
        <v>74</v>
      </c>
      <c r="BB306">
        <v>994</v>
      </c>
      <c r="BC306">
        <v>1070</v>
      </c>
      <c r="BD306" t="s">
        <v>74</v>
      </c>
      <c r="BE306" t="s">
        <v>6089</v>
      </c>
      <c r="BF306" t="str">
        <f>HYPERLINK("http://dx.doi.org/10.1080/24750263.2021.1960444","http://dx.doi.org/10.1080/24750263.2021.1960444")</f>
        <v>http://dx.doi.org/10.1080/24750263.2021.1960444</v>
      </c>
      <c r="BG306" t="s">
        <v>74</v>
      </c>
      <c r="BH306" t="s">
        <v>74</v>
      </c>
      <c r="BI306">
        <v>77</v>
      </c>
      <c r="BJ306" t="s">
        <v>1028</v>
      </c>
      <c r="BK306" t="s">
        <v>103</v>
      </c>
      <c r="BL306" t="s">
        <v>1028</v>
      </c>
      <c r="BM306" t="s">
        <v>6090</v>
      </c>
      <c r="BN306" t="s">
        <v>74</v>
      </c>
      <c r="BO306" t="s">
        <v>326</v>
      </c>
      <c r="BP306" t="s">
        <v>74</v>
      </c>
      <c r="BQ306" t="s">
        <v>74</v>
      </c>
      <c r="BR306" t="s">
        <v>106</v>
      </c>
      <c r="BS306" t="s">
        <v>6091</v>
      </c>
      <c r="BT306" t="str">
        <f>HYPERLINK("https%3A%2F%2Fwww.webofscience.com%2Fwos%2Fwoscc%2Ffull-record%2FWOS:000704167000001","View Full Record in Web of Science")</f>
        <v>View Full Record in Web of Science</v>
      </c>
    </row>
    <row r="307" spans="1:72" x14ac:dyDescent="0.15">
      <c r="A307" t="s">
        <v>72</v>
      </c>
      <c r="B307" t="s">
        <v>6092</v>
      </c>
      <c r="C307" t="s">
        <v>74</v>
      </c>
      <c r="D307" t="s">
        <v>74</v>
      </c>
      <c r="E307" t="s">
        <v>74</v>
      </c>
      <c r="F307" t="s">
        <v>6093</v>
      </c>
      <c r="G307" t="s">
        <v>74</v>
      </c>
      <c r="H307" t="s">
        <v>74</v>
      </c>
      <c r="I307" t="s">
        <v>6094</v>
      </c>
      <c r="J307" t="s">
        <v>6095</v>
      </c>
      <c r="K307" t="s">
        <v>74</v>
      </c>
      <c r="L307" t="s">
        <v>74</v>
      </c>
      <c r="M307" t="s">
        <v>78</v>
      </c>
      <c r="N307" t="s">
        <v>79</v>
      </c>
      <c r="O307" t="s">
        <v>74</v>
      </c>
      <c r="P307" t="s">
        <v>74</v>
      </c>
      <c r="Q307" t="s">
        <v>74</v>
      </c>
      <c r="R307" t="s">
        <v>74</v>
      </c>
      <c r="S307" t="s">
        <v>74</v>
      </c>
      <c r="T307" t="s">
        <v>74</v>
      </c>
      <c r="U307" t="s">
        <v>74</v>
      </c>
      <c r="V307" t="s">
        <v>74</v>
      </c>
      <c r="W307" t="s">
        <v>6096</v>
      </c>
      <c r="X307" t="s">
        <v>6097</v>
      </c>
      <c r="Y307" t="s">
        <v>6098</v>
      </c>
      <c r="Z307" t="s">
        <v>74</v>
      </c>
      <c r="AA307" t="s">
        <v>74</v>
      </c>
      <c r="AB307" t="s">
        <v>74</v>
      </c>
      <c r="AC307" t="s">
        <v>6099</v>
      </c>
      <c r="AD307" t="s">
        <v>6100</v>
      </c>
      <c r="AE307" t="s">
        <v>6101</v>
      </c>
      <c r="AF307" t="s">
        <v>74</v>
      </c>
      <c r="AG307">
        <v>0</v>
      </c>
      <c r="AH307">
        <v>0</v>
      </c>
      <c r="AI307">
        <v>0</v>
      </c>
      <c r="AJ307">
        <v>0</v>
      </c>
      <c r="AK307">
        <v>2</v>
      </c>
      <c r="AL307" t="s">
        <v>6102</v>
      </c>
      <c r="AM307" t="s">
        <v>6103</v>
      </c>
      <c r="AN307" t="s">
        <v>6104</v>
      </c>
      <c r="AO307" t="s">
        <v>6105</v>
      </c>
      <c r="AP307" t="s">
        <v>74</v>
      </c>
      <c r="AQ307" t="s">
        <v>74</v>
      </c>
      <c r="AR307" t="s">
        <v>6106</v>
      </c>
      <c r="AS307" t="s">
        <v>6107</v>
      </c>
      <c r="AT307" t="s">
        <v>74</v>
      </c>
      <c r="AU307">
        <v>2021</v>
      </c>
      <c r="AV307">
        <v>62</v>
      </c>
      <c r="AW307">
        <v>9</v>
      </c>
      <c r="AX307" t="s">
        <v>74</v>
      </c>
      <c r="AY307" t="s">
        <v>74</v>
      </c>
      <c r="AZ307" t="s">
        <v>74</v>
      </c>
      <c r="BA307" t="s">
        <v>74</v>
      </c>
      <c r="BB307">
        <v>12</v>
      </c>
      <c r="BC307">
        <v>16</v>
      </c>
      <c r="BD307" t="s">
        <v>74</v>
      </c>
      <c r="BE307" t="s">
        <v>74</v>
      </c>
      <c r="BF307" t="s">
        <v>74</v>
      </c>
      <c r="BG307" t="s">
        <v>74</v>
      </c>
      <c r="BH307" t="s">
        <v>74</v>
      </c>
      <c r="BI307">
        <v>5</v>
      </c>
      <c r="BJ307" t="s">
        <v>6108</v>
      </c>
      <c r="BK307" t="s">
        <v>103</v>
      </c>
      <c r="BL307" t="s">
        <v>187</v>
      </c>
      <c r="BM307" t="s">
        <v>6109</v>
      </c>
      <c r="BN307" t="s">
        <v>74</v>
      </c>
      <c r="BO307" t="s">
        <v>74</v>
      </c>
      <c r="BP307" t="s">
        <v>74</v>
      </c>
      <c r="BQ307" t="s">
        <v>74</v>
      </c>
      <c r="BR307" t="s">
        <v>106</v>
      </c>
      <c r="BS307" t="s">
        <v>6110</v>
      </c>
      <c r="BT307" t="str">
        <f>HYPERLINK("https%3A%2F%2Fwww.webofscience.com%2Fwos%2Fwoscc%2Ffull-record%2FWOS:000701249700003","View Full Record in Web of Science")</f>
        <v>View Full Record in Web of Science</v>
      </c>
    </row>
    <row r="308" spans="1:72" x14ac:dyDescent="0.15">
      <c r="A308" t="s">
        <v>72</v>
      </c>
      <c r="B308" t="s">
        <v>6111</v>
      </c>
      <c r="C308" t="s">
        <v>74</v>
      </c>
      <c r="D308" t="s">
        <v>74</v>
      </c>
      <c r="E308" t="s">
        <v>74</v>
      </c>
      <c r="F308" t="s">
        <v>6112</v>
      </c>
      <c r="G308" t="s">
        <v>74</v>
      </c>
      <c r="H308" t="s">
        <v>74</v>
      </c>
      <c r="I308" t="s">
        <v>6113</v>
      </c>
      <c r="J308" t="s">
        <v>5590</v>
      </c>
      <c r="K308" t="s">
        <v>74</v>
      </c>
      <c r="L308" t="s">
        <v>74</v>
      </c>
      <c r="M308" t="s">
        <v>78</v>
      </c>
      <c r="N308" t="s">
        <v>79</v>
      </c>
      <c r="O308" t="s">
        <v>74</v>
      </c>
      <c r="P308" t="s">
        <v>74</v>
      </c>
      <c r="Q308" t="s">
        <v>74</v>
      </c>
      <c r="R308" t="s">
        <v>74</v>
      </c>
      <c r="S308" t="s">
        <v>74</v>
      </c>
      <c r="T308" t="s">
        <v>6114</v>
      </c>
      <c r="U308" t="s">
        <v>6115</v>
      </c>
      <c r="V308" t="s">
        <v>6116</v>
      </c>
      <c r="W308" t="s">
        <v>6117</v>
      </c>
      <c r="X308" t="s">
        <v>6118</v>
      </c>
      <c r="Y308" t="s">
        <v>6119</v>
      </c>
      <c r="Z308" t="s">
        <v>6120</v>
      </c>
      <c r="AA308" t="s">
        <v>6121</v>
      </c>
      <c r="AB308" t="s">
        <v>6122</v>
      </c>
      <c r="AC308" t="s">
        <v>6123</v>
      </c>
      <c r="AD308" t="s">
        <v>6124</v>
      </c>
      <c r="AE308" t="s">
        <v>6125</v>
      </c>
      <c r="AF308" t="s">
        <v>74</v>
      </c>
      <c r="AG308">
        <v>57</v>
      </c>
      <c r="AH308">
        <v>5</v>
      </c>
      <c r="AI308">
        <v>6</v>
      </c>
      <c r="AJ308">
        <v>2</v>
      </c>
      <c r="AK308">
        <v>11</v>
      </c>
      <c r="AL308" t="s">
        <v>5603</v>
      </c>
      <c r="AM308" t="s">
        <v>5604</v>
      </c>
      <c r="AN308" t="s">
        <v>5605</v>
      </c>
      <c r="AO308" t="s">
        <v>5606</v>
      </c>
      <c r="AP308" t="s">
        <v>5607</v>
      </c>
      <c r="AQ308" t="s">
        <v>74</v>
      </c>
      <c r="AR308" t="s">
        <v>5608</v>
      </c>
      <c r="AS308" t="s">
        <v>5609</v>
      </c>
      <c r="AT308" t="s">
        <v>74</v>
      </c>
      <c r="AU308">
        <v>2021</v>
      </c>
      <c r="AV308">
        <v>14</v>
      </c>
      <c r="AW308" t="s">
        <v>74</v>
      </c>
      <c r="AX308" t="s">
        <v>74</v>
      </c>
      <c r="AY308" t="s">
        <v>74</v>
      </c>
      <c r="AZ308" t="s">
        <v>74</v>
      </c>
      <c r="BA308" t="s">
        <v>74</v>
      </c>
      <c r="BB308">
        <v>9038</v>
      </c>
      <c r="BC308">
        <v>9063</v>
      </c>
      <c r="BD308" t="s">
        <v>74</v>
      </c>
      <c r="BE308" t="s">
        <v>6126</v>
      </c>
      <c r="BF308" t="str">
        <f>HYPERLINK("http://dx.doi.org/10.1109/JSTARS.2021.3107982","http://dx.doi.org/10.1109/JSTARS.2021.3107982")</f>
        <v>http://dx.doi.org/10.1109/JSTARS.2021.3107982</v>
      </c>
      <c r="BG308" t="s">
        <v>74</v>
      </c>
      <c r="BH308" t="s">
        <v>74</v>
      </c>
      <c r="BI308">
        <v>26</v>
      </c>
      <c r="BJ308" t="s">
        <v>5611</v>
      </c>
      <c r="BK308" t="s">
        <v>103</v>
      </c>
      <c r="BL308" t="s">
        <v>5612</v>
      </c>
      <c r="BM308" t="s">
        <v>6127</v>
      </c>
      <c r="BN308" t="s">
        <v>74</v>
      </c>
      <c r="BO308" t="s">
        <v>6128</v>
      </c>
      <c r="BP308" t="s">
        <v>74</v>
      </c>
      <c r="BQ308" t="s">
        <v>74</v>
      </c>
      <c r="BR308" t="s">
        <v>106</v>
      </c>
      <c r="BS308" t="s">
        <v>6129</v>
      </c>
      <c r="BT308" t="str">
        <f>HYPERLINK("https%3A%2F%2Fwww.webofscience.com%2Fwos%2Fwoscc%2Ffull-record%2FWOS:000697823200006","View Full Record in Web of Science")</f>
        <v>View Full Record in Web of Science</v>
      </c>
    </row>
    <row r="309" spans="1:72" x14ac:dyDescent="0.15">
      <c r="A309" t="s">
        <v>72</v>
      </c>
      <c r="B309" t="s">
        <v>6130</v>
      </c>
      <c r="C309" t="s">
        <v>74</v>
      </c>
      <c r="D309" t="s">
        <v>74</v>
      </c>
      <c r="E309" t="s">
        <v>74</v>
      </c>
      <c r="F309" t="s">
        <v>6131</v>
      </c>
      <c r="G309" t="s">
        <v>74</v>
      </c>
      <c r="H309" t="s">
        <v>74</v>
      </c>
      <c r="I309" t="s">
        <v>6132</v>
      </c>
      <c r="J309" t="s">
        <v>6133</v>
      </c>
      <c r="K309" t="s">
        <v>74</v>
      </c>
      <c r="L309" t="s">
        <v>74</v>
      </c>
      <c r="M309" t="s">
        <v>78</v>
      </c>
      <c r="N309" t="s">
        <v>79</v>
      </c>
      <c r="O309" t="s">
        <v>74</v>
      </c>
      <c r="P309" t="s">
        <v>74</v>
      </c>
      <c r="Q309" t="s">
        <v>74</v>
      </c>
      <c r="R309" t="s">
        <v>74</v>
      </c>
      <c r="S309" t="s">
        <v>74</v>
      </c>
      <c r="T309" t="s">
        <v>6134</v>
      </c>
      <c r="U309" t="s">
        <v>6135</v>
      </c>
      <c r="V309" t="s">
        <v>6136</v>
      </c>
      <c r="W309" t="s">
        <v>6137</v>
      </c>
      <c r="X309" t="s">
        <v>6138</v>
      </c>
      <c r="Y309" t="s">
        <v>6139</v>
      </c>
      <c r="Z309" t="s">
        <v>6140</v>
      </c>
      <c r="AA309" t="s">
        <v>6141</v>
      </c>
      <c r="AB309" t="s">
        <v>6142</v>
      </c>
      <c r="AC309" t="s">
        <v>6143</v>
      </c>
      <c r="AD309" t="s">
        <v>6144</v>
      </c>
      <c r="AE309" t="s">
        <v>6145</v>
      </c>
      <c r="AF309" t="s">
        <v>74</v>
      </c>
      <c r="AG309">
        <v>54</v>
      </c>
      <c r="AH309">
        <v>4</v>
      </c>
      <c r="AI309">
        <v>4</v>
      </c>
      <c r="AJ309">
        <v>10</v>
      </c>
      <c r="AK309">
        <v>24</v>
      </c>
      <c r="AL309" t="s">
        <v>6146</v>
      </c>
      <c r="AM309" t="s">
        <v>6147</v>
      </c>
      <c r="AN309" t="s">
        <v>6148</v>
      </c>
      <c r="AO309" t="s">
        <v>6149</v>
      </c>
      <c r="AP309" t="s">
        <v>6150</v>
      </c>
      <c r="AQ309" t="s">
        <v>74</v>
      </c>
      <c r="AR309" t="s">
        <v>6151</v>
      </c>
      <c r="AS309" t="s">
        <v>6152</v>
      </c>
      <c r="AT309" t="s">
        <v>74</v>
      </c>
      <c r="AU309">
        <v>2021</v>
      </c>
      <c r="AV309">
        <v>22</v>
      </c>
      <c r="AW309">
        <v>14</v>
      </c>
      <c r="AX309" t="s">
        <v>74</v>
      </c>
      <c r="AY309" t="s">
        <v>74</v>
      </c>
      <c r="AZ309" t="s">
        <v>74</v>
      </c>
      <c r="BA309" t="s">
        <v>74</v>
      </c>
      <c r="BB309">
        <v>1866</v>
      </c>
      <c r="BC309">
        <v>1877</v>
      </c>
      <c r="BD309" t="s">
        <v>74</v>
      </c>
      <c r="BE309" t="s">
        <v>6153</v>
      </c>
      <c r="BF309" t="str">
        <f>HYPERLINK("http://dx.doi.org/10.2174/1381612826666200612170316","http://dx.doi.org/10.2174/1381612826666200612170316")</f>
        <v>http://dx.doi.org/10.2174/1381612826666200612170316</v>
      </c>
      <c r="BG309" t="s">
        <v>74</v>
      </c>
      <c r="BH309" t="s">
        <v>74</v>
      </c>
      <c r="BI309">
        <v>12</v>
      </c>
      <c r="BJ309" t="s">
        <v>4526</v>
      </c>
      <c r="BK309" t="s">
        <v>103</v>
      </c>
      <c r="BL309" t="s">
        <v>4526</v>
      </c>
      <c r="BM309" t="s">
        <v>6154</v>
      </c>
      <c r="BN309">
        <v>32532190</v>
      </c>
      <c r="BO309" t="s">
        <v>74</v>
      </c>
      <c r="BP309" t="s">
        <v>74</v>
      </c>
      <c r="BQ309" t="s">
        <v>74</v>
      </c>
      <c r="BR309" t="s">
        <v>106</v>
      </c>
      <c r="BS309" t="s">
        <v>6155</v>
      </c>
      <c r="BT309" t="str">
        <f>HYPERLINK("https%3A%2F%2Fwww.webofscience.com%2Fwos%2Fwoscc%2Ffull-record%2FWOS:000698038400004","View Full Record in Web of Science")</f>
        <v>View Full Record in Web of Science</v>
      </c>
    </row>
    <row r="310" spans="1:72" x14ac:dyDescent="0.15">
      <c r="A310" t="s">
        <v>72</v>
      </c>
      <c r="B310" t="s">
        <v>6156</v>
      </c>
      <c r="C310" t="s">
        <v>74</v>
      </c>
      <c r="D310" t="s">
        <v>74</v>
      </c>
      <c r="E310" t="s">
        <v>74</v>
      </c>
      <c r="F310" t="s">
        <v>6157</v>
      </c>
      <c r="G310" t="s">
        <v>74</v>
      </c>
      <c r="H310" t="s">
        <v>74</v>
      </c>
      <c r="I310" t="s">
        <v>6158</v>
      </c>
      <c r="J310" t="s">
        <v>5446</v>
      </c>
      <c r="K310" t="s">
        <v>74</v>
      </c>
      <c r="L310" t="s">
        <v>74</v>
      </c>
      <c r="M310" t="s">
        <v>5447</v>
      </c>
      <c r="N310" t="s">
        <v>79</v>
      </c>
      <c r="O310" t="s">
        <v>74</v>
      </c>
      <c r="P310" t="s">
        <v>74</v>
      </c>
      <c r="Q310" t="s">
        <v>74</v>
      </c>
      <c r="R310" t="s">
        <v>74</v>
      </c>
      <c r="S310" t="s">
        <v>74</v>
      </c>
      <c r="T310" t="s">
        <v>6159</v>
      </c>
      <c r="U310" t="s">
        <v>74</v>
      </c>
      <c r="V310" t="s">
        <v>6160</v>
      </c>
      <c r="W310" t="s">
        <v>6161</v>
      </c>
      <c r="X310" t="s">
        <v>5477</v>
      </c>
      <c r="Y310" t="s">
        <v>6162</v>
      </c>
      <c r="Z310" t="s">
        <v>6163</v>
      </c>
      <c r="AA310" t="s">
        <v>6164</v>
      </c>
      <c r="AB310" t="s">
        <v>6165</v>
      </c>
      <c r="AC310" t="s">
        <v>6166</v>
      </c>
      <c r="AD310" t="s">
        <v>6166</v>
      </c>
      <c r="AE310" t="s">
        <v>6167</v>
      </c>
      <c r="AF310" t="s">
        <v>74</v>
      </c>
      <c r="AG310">
        <v>30</v>
      </c>
      <c r="AH310">
        <v>0</v>
      </c>
      <c r="AI310">
        <v>0</v>
      </c>
      <c r="AJ310">
        <v>0</v>
      </c>
      <c r="AK310">
        <v>1</v>
      </c>
      <c r="AL310" t="s">
        <v>5460</v>
      </c>
      <c r="AM310" t="s">
        <v>5461</v>
      </c>
      <c r="AN310" t="s">
        <v>5462</v>
      </c>
      <c r="AO310" t="s">
        <v>5463</v>
      </c>
      <c r="AP310" t="s">
        <v>5464</v>
      </c>
      <c r="AQ310" t="s">
        <v>74</v>
      </c>
      <c r="AR310" t="s">
        <v>5465</v>
      </c>
      <c r="AS310" t="s">
        <v>5466</v>
      </c>
      <c r="AT310" t="s">
        <v>74</v>
      </c>
      <c r="AU310">
        <v>2021</v>
      </c>
      <c r="AV310">
        <v>61</v>
      </c>
      <c r="AW310">
        <v>3</v>
      </c>
      <c r="AX310" t="s">
        <v>74</v>
      </c>
      <c r="AY310" t="s">
        <v>74</v>
      </c>
      <c r="AZ310" t="s">
        <v>74</v>
      </c>
      <c r="BA310" t="s">
        <v>74</v>
      </c>
      <c r="BB310">
        <v>431</v>
      </c>
      <c r="BC310">
        <v>444</v>
      </c>
      <c r="BD310" t="s">
        <v>74</v>
      </c>
      <c r="BE310" t="s">
        <v>6168</v>
      </c>
      <c r="BF310" t="str">
        <f>HYPERLINK("http://dx.doi.org/10.31857/S2076673421030099","http://dx.doi.org/10.31857/S2076673421030099")</f>
        <v>http://dx.doi.org/10.31857/S2076673421030099</v>
      </c>
      <c r="BG310" t="s">
        <v>74</v>
      </c>
      <c r="BH310" t="s">
        <v>74</v>
      </c>
      <c r="BI310">
        <v>14</v>
      </c>
      <c r="BJ310" t="s">
        <v>401</v>
      </c>
      <c r="BK310" t="s">
        <v>3050</v>
      </c>
      <c r="BL310" t="s">
        <v>402</v>
      </c>
      <c r="BM310" t="s">
        <v>6169</v>
      </c>
      <c r="BN310" t="s">
        <v>74</v>
      </c>
      <c r="BO310" t="s">
        <v>326</v>
      </c>
      <c r="BP310" t="s">
        <v>74</v>
      </c>
      <c r="BQ310" t="s">
        <v>74</v>
      </c>
      <c r="BR310" t="s">
        <v>106</v>
      </c>
      <c r="BS310" t="s">
        <v>6170</v>
      </c>
      <c r="BT310" t="str">
        <f>HYPERLINK("https%3A%2F%2Fwww.webofscience.com%2Fwos%2Fwoscc%2Ffull-record%2FWOS:000697494800001","View Full Record in Web of Science")</f>
        <v>View Full Record in Web of Science</v>
      </c>
    </row>
    <row r="311" spans="1:72" x14ac:dyDescent="0.15">
      <c r="A311" t="s">
        <v>72</v>
      </c>
      <c r="B311" t="s">
        <v>6171</v>
      </c>
      <c r="C311" t="s">
        <v>74</v>
      </c>
      <c r="D311" t="s">
        <v>74</v>
      </c>
      <c r="E311" t="s">
        <v>74</v>
      </c>
      <c r="F311" t="s">
        <v>6172</v>
      </c>
      <c r="G311" t="s">
        <v>74</v>
      </c>
      <c r="H311" t="s">
        <v>74</v>
      </c>
      <c r="I311" t="s">
        <v>6173</v>
      </c>
      <c r="J311" t="s">
        <v>5193</v>
      </c>
      <c r="K311" t="s">
        <v>74</v>
      </c>
      <c r="L311" t="s">
        <v>74</v>
      </c>
      <c r="M311" t="s">
        <v>78</v>
      </c>
      <c r="N311" t="s">
        <v>79</v>
      </c>
      <c r="O311" t="s">
        <v>74</v>
      </c>
      <c r="P311" t="s">
        <v>74</v>
      </c>
      <c r="Q311" t="s">
        <v>74</v>
      </c>
      <c r="R311" t="s">
        <v>74</v>
      </c>
      <c r="S311" t="s">
        <v>74</v>
      </c>
      <c r="T311" t="s">
        <v>6174</v>
      </c>
      <c r="U311" t="s">
        <v>6175</v>
      </c>
      <c r="V311" t="s">
        <v>6176</v>
      </c>
      <c r="W311" t="s">
        <v>6177</v>
      </c>
      <c r="X311" t="s">
        <v>6178</v>
      </c>
      <c r="Y311" t="s">
        <v>6179</v>
      </c>
      <c r="Z311" t="s">
        <v>6180</v>
      </c>
      <c r="AA311" t="s">
        <v>6181</v>
      </c>
      <c r="AB311" t="s">
        <v>6182</v>
      </c>
      <c r="AC311" t="s">
        <v>6183</v>
      </c>
      <c r="AD311" t="s">
        <v>6183</v>
      </c>
      <c r="AE311" t="s">
        <v>6184</v>
      </c>
      <c r="AF311" t="s">
        <v>74</v>
      </c>
      <c r="AG311">
        <v>110</v>
      </c>
      <c r="AH311">
        <v>5</v>
      </c>
      <c r="AI311">
        <v>5</v>
      </c>
      <c r="AJ311">
        <v>0</v>
      </c>
      <c r="AK311">
        <v>4</v>
      </c>
      <c r="AL311" t="s">
        <v>446</v>
      </c>
      <c r="AM311" t="s">
        <v>447</v>
      </c>
      <c r="AN311" t="s">
        <v>448</v>
      </c>
      <c r="AO311" t="s">
        <v>5206</v>
      </c>
      <c r="AP311" t="s">
        <v>5207</v>
      </c>
      <c r="AQ311" t="s">
        <v>74</v>
      </c>
      <c r="AR311" t="s">
        <v>5208</v>
      </c>
      <c r="AS311" t="s">
        <v>5209</v>
      </c>
      <c r="AT311" t="s">
        <v>74</v>
      </c>
      <c r="AU311">
        <v>2021</v>
      </c>
      <c r="AV311">
        <v>45</v>
      </c>
      <c r="AW311" t="s">
        <v>74</v>
      </c>
      <c r="AX311" t="s">
        <v>74</v>
      </c>
      <c r="AY311" t="s">
        <v>74</v>
      </c>
      <c r="AZ311" t="s">
        <v>74</v>
      </c>
      <c r="BA311" t="s">
        <v>74</v>
      </c>
      <c r="BB311">
        <v>181</v>
      </c>
      <c r="BC311">
        <v>194</v>
      </c>
      <c r="BD311" t="s">
        <v>74</v>
      </c>
      <c r="BE311" t="s">
        <v>6185</v>
      </c>
      <c r="BF311" t="str">
        <f>HYPERLINK("http://dx.doi.org/10.3354/esr01129","http://dx.doi.org/10.3354/esr01129")</f>
        <v>http://dx.doi.org/10.3354/esr01129</v>
      </c>
      <c r="BG311" t="s">
        <v>74</v>
      </c>
      <c r="BH311" t="s">
        <v>74</v>
      </c>
      <c r="BI311">
        <v>14</v>
      </c>
      <c r="BJ311" t="s">
        <v>5211</v>
      </c>
      <c r="BK311" t="s">
        <v>103</v>
      </c>
      <c r="BL311" t="s">
        <v>5212</v>
      </c>
      <c r="BM311" t="s">
        <v>6186</v>
      </c>
      <c r="BN311" t="s">
        <v>74</v>
      </c>
      <c r="BO311" t="s">
        <v>326</v>
      </c>
      <c r="BP311" t="s">
        <v>74</v>
      </c>
      <c r="BQ311" t="s">
        <v>74</v>
      </c>
      <c r="BR311" t="s">
        <v>106</v>
      </c>
      <c r="BS311" t="s">
        <v>6187</v>
      </c>
      <c r="BT311" t="str">
        <f>HYPERLINK("https%3A%2F%2Fwww.webofscience.com%2Fwos%2Fwoscc%2Ffull-record%2FWOS:000696225000014","View Full Record in Web of Science")</f>
        <v>View Full Record in Web of Science</v>
      </c>
    </row>
    <row r="312" spans="1:72" x14ac:dyDescent="0.15">
      <c r="A312" t="s">
        <v>4529</v>
      </c>
      <c r="B312" t="s">
        <v>6188</v>
      </c>
      <c r="C312" t="s">
        <v>74</v>
      </c>
      <c r="D312" t="s">
        <v>6189</v>
      </c>
      <c r="E312" t="s">
        <v>74</v>
      </c>
      <c r="F312" t="s">
        <v>6190</v>
      </c>
      <c r="G312" t="s">
        <v>74</v>
      </c>
      <c r="H312" t="s">
        <v>74</v>
      </c>
      <c r="I312" t="s">
        <v>6191</v>
      </c>
      <c r="J312" t="s">
        <v>6192</v>
      </c>
      <c r="K312" t="s">
        <v>74</v>
      </c>
      <c r="L312" t="s">
        <v>74</v>
      </c>
      <c r="M312" t="s">
        <v>78</v>
      </c>
      <c r="N312" t="s">
        <v>4535</v>
      </c>
      <c r="O312" t="s">
        <v>6193</v>
      </c>
      <c r="P312" t="s">
        <v>6194</v>
      </c>
      <c r="Q312" t="s">
        <v>4538</v>
      </c>
      <c r="R312" t="s">
        <v>74</v>
      </c>
      <c r="S312" t="s">
        <v>74</v>
      </c>
      <c r="T312" t="s">
        <v>74</v>
      </c>
      <c r="U312" t="s">
        <v>74</v>
      </c>
      <c r="V312" t="s">
        <v>6195</v>
      </c>
      <c r="W312" t="s">
        <v>6196</v>
      </c>
      <c r="X312" t="s">
        <v>6197</v>
      </c>
      <c r="Y312" t="s">
        <v>6198</v>
      </c>
      <c r="Z312" t="s">
        <v>6199</v>
      </c>
      <c r="AA312" t="s">
        <v>74</v>
      </c>
      <c r="AB312" t="s">
        <v>74</v>
      </c>
      <c r="AC312" t="s">
        <v>74</v>
      </c>
      <c r="AD312" t="s">
        <v>74</v>
      </c>
      <c r="AE312" t="s">
        <v>74</v>
      </c>
      <c r="AF312" t="s">
        <v>74</v>
      </c>
      <c r="AG312">
        <v>12</v>
      </c>
      <c r="AH312">
        <v>2</v>
      </c>
      <c r="AI312">
        <v>2</v>
      </c>
      <c r="AJ312">
        <v>0</v>
      </c>
      <c r="AK312">
        <v>3</v>
      </c>
      <c r="AL312" t="s">
        <v>6200</v>
      </c>
      <c r="AM312" t="s">
        <v>473</v>
      </c>
      <c r="AN312" t="s">
        <v>6201</v>
      </c>
      <c r="AO312" t="s">
        <v>74</v>
      </c>
      <c r="AP312" t="s">
        <v>74</v>
      </c>
      <c r="AQ312" t="s">
        <v>6202</v>
      </c>
      <c r="AR312" t="s">
        <v>74</v>
      </c>
      <c r="AS312" t="s">
        <v>74</v>
      </c>
      <c r="AT312" t="s">
        <v>74</v>
      </c>
      <c r="AU312">
        <v>2021</v>
      </c>
      <c r="AV312" t="s">
        <v>74</v>
      </c>
      <c r="AW312" t="s">
        <v>74</v>
      </c>
      <c r="AX312" t="s">
        <v>74</v>
      </c>
      <c r="AY312" t="s">
        <v>74</v>
      </c>
      <c r="AZ312" t="s">
        <v>74</v>
      </c>
      <c r="BA312" t="s">
        <v>74</v>
      </c>
      <c r="BB312">
        <v>471</v>
      </c>
      <c r="BC312">
        <v>480</v>
      </c>
      <c r="BD312" t="s">
        <v>74</v>
      </c>
      <c r="BE312" t="s">
        <v>74</v>
      </c>
      <c r="BF312" t="s">
        <v>74</v>
      </c>
      <c r="BG312" t="s">
        <v>74</v>
      </c>
      <c r="BH312" t="s">
        <v>74</v>
      </c>
      <c r="BI312">
        <v>10</v>
      </c>
      <c r="BJ312" t="s">
        <v>6203</v>
      </c>
      <c r="BK312" t="s">
        <v>4553</v>
      </c>
      <c r="BL312" t="s">
        <v>6204</v>
      </c>
      <c r="BM312" t="s">
        <v>6205</v>
      </c>
      <c r="BN312" t="s">
        <v>74</v>
      </c>
      <c r="BO312" t="s">
        <v>74</v>
      </c>
      <c r="BP312" t="s">
        <v>74</v>
      </c>
      <c r="BQ312" t="s">
        <v>74</v>
      </c>
      <c r="BR312" t="s">
        <v>106</v>
      </c>
      <c r="BS312" t="s">
        <v>6206</v>
      </c>
      <c r="BT312" t="str">
        <f>HYPERLINK("https%3A%2F%2Fwww.webofscience.com%2Fwos%2Fwoscc%2Ffull-record%2FWOS:000692156300045","View Full Record in Web of Science")</f>
        <v>View Full Record in Web of Science</v>
      </c>
    </row>
    <row r="313" spans="1:72" x14ac:dyDescent="0.15">
      <c r="A313" t="s">
        <v>4529</v>
      </c>
      <c r="B313" t="s">
        <v>6207</v>
      </c>
      <c r="C313" t="s">
        <v>74</v>
      </c>
      <c r="D313" t="s">
        <v>6189</v>
      </c>
      <c r="E313" t="s">
        <v>74</v>
      </c>
      <c r="F313" t="s">
        <v>6208</v>
      </c>
      <c r="G313" t="s">
        <v>74</v>
      </c>
      <c r="H313" t="s">
        <v>74</v>
      </c>
      <c r="I313" t="s">
        <v>6209</v>
      </c>
      <c r="J313" t="s">
        <v>6192</v>
      </c>
      <c r="K313" t="s">
        <v>74</v>
      </c>
      <c r="L313" t="s">
        <v>74</v>
      </c>
      <c r="M313" t="s">
        <v>78</v>
      </c>
      <c r="N313" t="s">
        <v>4535</v>
      </c>
      <c r="O313" t="s">
        <v>6193</v>
      </c>
      <c r="P313" t="s">
        <v>6194</v>
      </c>
      <c r="Q313" t="s">
        <v>4538</v>
      </c>
      <c r="R313" t="s">
        <v>74</v>
      </c>
      <c r="S313" t="s">
        <v>74</v>
      </c>
      <c r="T313" t="s">
        <v>74</v>
      </c>
      <c r="U313" t="s">
        <v>74</v>
      </c>
      <c r="V313" t="s">
        <v>6210</v>
      </c>
      <c r="W313" t="s">
        <v>6211</v>
      </c>
      <c r="X313" t="s">
        <v>6212</v>
      </c>
      <c r="Y313" t="s">
        <v>6213</v>
      </c>
      <c r="Z313" t="s">
        <v>6214</v>
      </c>
      <c r="AA313" t="s">
        <v>6215</v>
      </c>
      <c r="AB313" t="s">
        <v>74</v>
      </c>
      <c r="AC313" t="s">
        <v>6216</v>
      </c>
      <c r="AD313" t="s">
        <v>6217</v>
      </c>
      <c r="AE313" t="s">
        <v>6218</v>
      </c>
      <c r="AF313" t="s">
        <v>74</v>
      </c>
      <c r="AG313">
        <v>5</v>
      </c>
      <c r="AH313">
        <v>0</v>
      </c>
      <c r="AI313">
        <v>0</v>
      </c>
      <c r="AJ313">
        <v>0</v>
      </c>
      <c r="AK313">
        <v>1</v>
      </c>
      <c r="AL313" t="s">
        <v>6200</v>
      </c>
      <c r="AM313" t="s">
        <v>473</v>
      </c>
      <c r="AN313" t="s">
        <v>6201</v>
      </c>
      <c r="AO313" t="s">
        <v>74</v>
      </c>
      <c r="AP313" t="s">
        <v>74</v>
      </c>
      <c r="AQ313" t="s">
        <v>6202</v>
      </c>
      <c r="AR313" t="s">
        <v>74</v>
      </c>
      <c r="AS313" t="s">
        <v>74</v>
      </c>
      <c r="AT313" t="s">
        <v>74</v>
      </c>
      <c r="AU313">
        <v>2021</v>
      </c>
      <c r="AV313" t="s">
        <v>74</v>
      </c>
      <c r="AW313" t="s">
        <v>74</v>
      </c>
      <c r="AX313" t="s">
        <v>74</v>
      </c>
      <c r="AY313" t="s">
        <v>74</v>
      </c>
      <c r="AZ313" t="s">
        <v>74</v>
      </c>
      <c r="BA313" t="s">
        <v>74</v>
      </c>
      <c r="BB313">
        <v>626</v>
      </c>
      <c r="BC313">
        <v>632</v>
      </c>
      <c r="BD313" t="s">
        <v>74</v>
      </c>
      <c r="BE313" t="s">
        <v>74</v>
      </c>
      <c r="BF313" t="s">
        <v>74</v>
      </c>
      <c r="BG313" t="s">
        <v>74</v>
      </c>
      <c r="BH313" t="s">
        <v>74</v>
      </c>
      <c r="BI313">
        <v>7</v>
      </c>
      <c r="BJ313" t="s">
        <v>6203</v>
      </c>
      <c r="BK313" t="s">
        <v>4553</v>
      </c>
      <c r="BL313" t="s">
        <v>6204</v>
      </c>
      <c r="BM313" t="s">
        <v>6205</v>
      </c>
      <c r="BN313" t="s">
        <v>74</v>
      </c>
      <c r="BO313" t="s">
        <v>74</v>
      </c>
      <c r="BP313" t="s">
        <v>74</v>
      </c>
      <c r="BQ313" t="s">
        <v>74</v>
      </c>
      <c r="BR313" t="s">
        <v>106</v>
      </c>
      <c r="BS313" t="s">
        <v>6219</v>
      </c>
      <c r="BT313" t="str">
        <f>HYPERLINK("https%3A%2F%2Fwww.webofscience.com%2Fwos%2Fwoscc%2Ffull-record%2FWOS:000692156300058","View Full Record in Web of Science")</f>
        <v>View Full Record in Web of Science</v>
      </c>
    </row>
    <row r="314" spans="1:72" x14ac:dyDescent="0.15">
      <c r="A314" t="s">
        <v>72</v>
      </c>
      <c r="B314" t="s">
        <v>6220</v>
      </c>
      <c r="C314" t="s">
        <v>74</v>
      </c>
      <c r="D314" t="s">
        <v>74</v>
      </c>
      <c r="E314" t="s">
        <v>74</v>
      </c>
      <c r="F314" t="s">
        <v>6221</v>
      </c>
      <c r="G314" t="s">
        <v>74</v>
      </c>
      <c r="H314" t="s">
        <v>74</v>
      </c>
      <c r="I314" t="s">
        <v>6222</v>
      </c>
      <c r="J314" t="s">
        <v>6223</v>
      </c>
      <c r="K314" t="s">
        <v>74</v>
      </c>
      <c r="L314" t="s">
        <v>74</v>
      </c>
      <c r="M314" t="s">
        <v>5447</v>
      </c>
      <c r="N314" t="s">
        <v>79</v>
      </c>
      <c r="O314" t="s">
        <v>74</v>
      </c>
      <c r="P314" t="s">
        <v>74</v>
      </c>
      <c r="Q314" t="s">
        <v>74</v>
      </c>
      <c r="R314" t="s">
        <v>74</v>
      </c>
      <c r="S314" t="s">
        <v>74</v>
      </c>
      <c r="T314" t="s">
        <v>6224</v>
      </c>
      <c r="U314" t="s">
        <v>74</v>
      </c>
      <c r="V314" t="s">
        <v>6225</v>
      </c>
      <c r="W314" t="s">
        <v>6226</v>
      </c>
      <c r="X314" t="s">
        <v>6227</v>
      </c>
      <c r="Y314" t="s">
        <v>6228</v>
      </c>
      <c r="Z314" t="s">
        <v>6229</v>
      </c>
      <c r="AA314" t="s">
        <v>74</v>
      </c>
      <c r="AB314" t="s">
        <v>74</v>
      </c>
      <c r="AC314" t="s">
        <v>74</v>
      </c>
      <c r="AD314" t="s">
        <v>74</v>
      </c>
      <c r="AE314" t="s">
        <v>74</v>
      </c>
      <c r="AF314" t="s">
        <v>74</v>
      </c>
      <c r="AG314">
        <v>17</v>
      </c>
      <c r="AH314">
        <v>0</v>
      </c>
      <c r="AI314">
        <v>0</v>
      </c>
      <c r="AJ314">
        <v>0</v>
      </c>
      <c r="AK314">
        <v>0</v>
      </c>
      <c r="AL314" t="s">
        <v>6230</v>
      </c>
      <c r="AM314" t="s">
        <v>5461</v>
      </c>
      <c r="AN314" t="s">
        <v>6231</v>
      </c>
      <c r="AO314" t="s">
        <v>6232</v>
      </c>
      <c r="AP314" t="s">
        <v>74</v>
      </c>
      <c r="AQ314" t="s">
        <v>74</v>
      </c>
      <c r="AR314" t="s">
        <v>6233</v>
      </c>
      <c r="AS314" t="s">
        <v>6234</v>
      </c>
      <c r="AT314" t="s">
        <v>74</v>
      </c>
      <c r="AU314">
        <v>2021</v>
      </c>
      <c r="AV314" t="s">
        <v>74</v>
      </c>
      <c r="AW314">
        <v>76</v>
      </c>
      <c r="AX314" t="s">
        <v>74</v>
      </c>
      <c r="AY314" t="s">
        <v>74</v>
      </c>
      <c r="AZ314" t="s">
        <v>74</v>
      </c>
      <c r="BA314" t="s">
        <v>74</v>
      </c>
      <c r="BB314">
        <v>314</v>
      </c>
      <c r="BC314">
        <v>329</v>
      </c>
      <c r="BD314" t="s">
        <v>74</v>
      </c>
      <c r="BE314" t="s">
        <v>74</v>
      </c>
      <c r="BF314" t="s">
        <v>74</v>
      </c>
      <c r="BG314" t="s">
        <v>74</v>
      </c>
      <c r="BH314" t="s">
        <v>74</v>
      </c>
      <c r="BI314">
        <v>16</v>
      </c>
      <c r="BJ314" t="s">
        <v>4338</v>
      </c>
      <c r="BK314" t="s">
        <v>3050</v>
      </c>
      <c r="BL314" t="s">
        <v>4338</v>
      </c>
      <c r="BM314" t="s">
        <v>6235</v>
      </c>
      <c r="BN314" t="s">
        <v>74</v>
      </c>
      <c r="BO314" t="s">
        <v>3283</v>
      </c>
      <c r="BP314" t="s">
        <v>74</v>
      </c>
      <c r="BQ314" t="s">
        <v>74</v>
      </c>
      <c r="BR314" t="s">
        <v>106</v>
      </c>
      <c r="BS314" t="s">
        <v>6236</v>
      </c>
      <c r="BT314" t="str">
        <f>HYPERLINK("https%3A%2F%2Fwww.webofscience.com%2Fwos%2Fwoscc%2Ffull-record%2FWOS:000686207200024","View Full Record in Web of Science")</f>
        <v>View Full Record in Web of Science</v>
      </c>
    </row>
    <row r="315" spans="1:72" x14ac:dyDescent="0.15">
      <c r="A315" t="s">
        <v>72</v>
      </c>
      <c r="B315" t="s">
        <v>6237</v>
      </c>
      <c r="C315" t="s">
        <v>74</v>
      </c>
      <c r="D315" t="s">
        <v>74</v>
      </c>
      <c r="E315" t="s">
        <v>74</v>
      </c>
      <c r="F315" t="s">
        <v>6238</v>
      </c>
      <c r="G315" t="s">
        <v>74</v>
      </c>
      <c r="H315" t="s">
        <v>74</v>
      </c>
      <c r="I315" t="s">
        <v>6239</v>
      </c>
      <c r="J315" t="s">
        <v>6240</v>
      </c>
      <c r="K315" t="s">
        <v>74</v>
      </c>
      <c r="L315" t="s">
        <v>74</v>
      </c>
      <c r="M315" t="s">
        <v>78</v>
      </c>
      <c r="N315" t="s">
        <v>6241</v>
      </c>
      <c r="O315" t="s">
        <v>6242</v>
      </c>
      <c r="P315" t="s">
        <v>6243</v>
      </c>
      <c r="Q315" t="s">
        <v>4538</v>
      </c>
      <c r="R315" t="s">
        <v>74</v>
      </c>
      <c r="S315" t="s">
        <v>74</v>
      </c>
      <c r="T315" t="s">
        <v>74</v>
      </c>
      <c r="U315" t="s">
        <v>74</v>
      </c>
      <c r="V315" t="s">
        <v>6244</v>
      </c>
      <c r="W315" t="s">
        <v>6245</v>
      </c>
      <c r="X315" t="s">
        <v>6246</v>
      </c>
      <c r="Y315" t="s">
        <v>6247</v>
      </c>
      <c r="Z315" t="s">
        <v>6248</v>
      </c>
      <c r="AA315" t="s">
        <v>6249</v>
      </c>
      <c r="AB315" t="s">
        <v>6250</v>
      </c>
      <c r="AC315" t="s">
        <v>6251</v>
      </c>
      <c r="AD315" t="s">
        <v>6251</v>
      </c>
      <c r="AE315" t="s">
        <v>6252</v>
      </c>
      <c r="AF315" t="s">
        <v>74</v>
      </c>
      <c r="AG315">
        <v>43</v>
      </c>
      <c r="AH315">
        <v>0</v>
      </c>
      <c r="AI315">
        <v>0</v>
      </c>
      <c r="AJ315">
        <v>0</v>
      </c>
      <c r="AK315">
        <v>4</v>
      </c>
      <c r="AL315" t="s">
        <v>6253</v>
      </c>
      <c r="AM315" t="s">
        <v>6254</v>
      </c>
      <c r="AN315" t="s">
        <v>6255</v>
      </c>
      <c r="AO315" t="s">
        <v>6256</v>
      </c>
      <c r="AP315" t="s">
        <v>6257</v>
      </c>
      <c r="AQ315" t="s">
        <v>74</v>
      </c>
      <c r="AR315" t="s">
        <v>6258</v>
      </c>
      <c r="AS315" t="s">
        <v>6259</v>
      </c>
      <c r="AT315" t="s">
        <v>3279</v>
      </c>
      <c r="AU315">
        <v>2021</v>
      </c>
      <c r="AV315">
        <v>44</v>
      </c>
      <c r="AW315">
        <v>1</v>
      </c>
      <c r="AX315" t="s">
        <v>74</v>
      </c>
      <c r="AY315" t="s">
        <v>74</v>
      </c>
      <c r="AZ315" t="s">
        <v>74</v>
      </c>
      <c r="BA315" t="s">
        <v>74</v>
      </c>
      <c r="BB315" t="s">
        <v>74</v>
      </c>
      <c r="BC315" t="s">
        <v>74</v>
      </c>
      <c r="BD315">
        <v>15</v>
      </c>
      <c r="BE315" t="s">
        <v>6260</v>
      </c>
      <c r="BF315" t="str">
        <f>HYPERLINK("http://dx.doi.org/10.1393/ncc/i2021-21015-8","http://dx.doi.org/10.1393/ncc/i2021-21015-8")</f>
        <v>http://dx.doi.org/10.1393/ncc/i2021-21015-8</v>
      </c>
      <c r="BG315" t="s">
        <v>74</v>
      </c>
      <c r="BH315" t="s">
        <v>74</v>
      </c>
      <c r="BI315">
        <v>10</v>
      </c>
      <c r="BJ315" t="s">
        <v>6261</v>
      </c>
      <c r="BK315" t="s">
        <v>3050</v>
      </c>
      <c r="BL315" t="s">
        <v>6262</v>
      </c>
      <c r="BM315" t="s">
        <v>6263</v>
      </c>
      <c r="BN315" t="s">
        <v>74</v>
      </c>
      <c r="BO315" t="s">
        <v>74</v>
      </c>
      <c r="BP315" t="s">
        <v>74</v>
      </c>
      <c r="BQ315" t="s">
        <v>74</v>
      </c>
      <c r="BR315" t="s">
        <v>106</v>
      </c>
      <c r="BS315" t="s">
        <v>6264</v>
      </c>
      <c r="BT315" t="str">
        <f>HYPERLINK("https%3A%2F%2Fwww.webofscience.com%2Fwos%2Fwoscc%2Ffull-record%2FWOS:000694009700016","View Full Record in Web of Science")</f>
        <v>View Full Record in Web of Science</v>
      </c>
    </row>
    <row r="316" spans="1:72" x14ac:dyDescent="0.15">
      <c r="A316" t="s">
        <v>72</v>
      </c>
      <c r="B316" t="s">
        <v>6265</v>
      </c>
      <c r="C316" t="s">
        <v>74</v>
      </c>
      <c r="D316" t="s">
        <v>74</v>
      </c>
      <c r="E316" t="s">
        <v>74</v>
      </c>
      <c r="F316" t="s">
        <v>6266</v>
      </c>
      <c r="G316" t="s">
        <v>74</v>
      </c>
      <c r="H316" t="s">
        <v>74</v>
      </c>
      <c r="I316" t="s">
        <v>6267</v>
      </c>
      <c r="J316" t="s">
        <v>6268</v>
      </c>
      <c r="K316" t="s">
        <v>74</v>
      </c>
      <c r="L316" t="s">
        <v>74</v>
      </c>
      <c r="M316" t="s">
        <v>78</v>
      </c>
      <c r="N316" t="s">
        <v>79</v>
      </c>
      <c r="O316" t="s">
        <v>74</v>
      </c>
      <c r="P316" t="s">
        <v>74</v>
      </c>
      <c r="Q316" t="s">
        <v>74</v>
      </c>
      <c r="R316" t="s">
        <v>74</v>
      </c>
      <c r="S316" t="s">
        <v>74</v>
      </c>
      <c r="T316" t="s">
        <v>6269</v>
      </c>
      <c r="U316" t="s">
        <v>6270</v>
      </c>
      <c r="V316" t="s">
        <v>6271</v>
      </c>
      <c r="W316" t="s">
        <v>6272</v>
      </c>
      <c r="X316" t="s">
        <v>6273</v>
      </c>
      <c r="Y316" t="s">
        <v>6274</v>
      </c>
      <c r="Z316" t="s">
        <v>6275</v>
      </c>
      <c r="AA316" t="s">
        <v>6276</v>
      </c>
      <c r="AB316" t="s">
        <v>6277</v>
      </c>
      <c r="AC316" t="s">
        <v>6278</v>
      </c>
      <c r="AD316" t="s">
        <v>6279</v>
      </c>
      <c r="AE316" t="s">
        <v>6280</v>
      </c>
      <c r="AF316" t="s">
        <v>74</v>
      </c>
      <c r="AG316">
        <v>36</v>
      </c>
      <c r="AH316">
        <v>7</v>
      </c>
      <c r="AI316">
        <v>7</v>
      </c>
      <c r="AJ316">
        <v>0</v>
      </c>
      <c r="AK316">
        <v>1</v>
      </c>
      <c r="AL316" t="s">
        <v>5433</v>
      </c>
      <c r="AM316" t="s">
        <v>1184</v>
      </c>
      <c r="AN316" t="s">
        <v>5434</v>
      </c>
      <c r="AO316" t="s">
        <v>6281</v>
      </c>
      <c r="AP316" t="s">
        <v>6282</v>
      </c>
      <c r="AQ316" t="s">
        <v>74</v>
      </c>
      <c r="AR316" t="s">
        <v>6283</v>
      </c>
      <c r="AS316" t="s">
        <v>6284</v>
      </c>
      <c r="AT316" t="s">
        <v>74</v>
      </c>
      <c r="AU316">
        <v>2021</v>
      </c>
      <c r="AV316">
        <v>81</v>
      </c>
      <c r="AW316">
        <v>4</v>
      </c>
      <c r="AX316" t="s">
        <v>74</v>
      </c>
      <c r="AY316" t="s">
        <v>74</v>
      </c>
      <c r="AZ316" t="s">
        <v>74</v>
      </c>
      <c r="BA316" t="s">
        <v>74</v>
      </c>
      <c r="BB316">
        <v>1483</v>
      </c>
      <c r="BC316">
        <v>1502</v>
      </c>
      <c r="BD316" t="s">
        <v>74</v>
      </c>
      <c r="BE316" t="s">
        <v>6285</v>
      </c>
      <c r="BF316" t="str">
        <f>HYPERLINK("http://dx.doi.org/10.1137/20M1385172","http://dx.doi.org/10.1137/20M1385172")</f>
        <v>http://dx.doi.org/10.1137/20M1385172</v>
      </c>
      <c r="BG316" t="s">
        <v>74</v>
      </c>
      <c r="BH316" t="s">
        <v>74</v>
      </c>
      <c r="BI316">
        <v>20</v>
      </c>
      <c r="BJ316" t="s">
        <v>6286</v>
      </c>
      <c r="BK316" t="s">
        <v>103</v>
      </c>
      <c r="BL316" t="s">
        <v>1193</v>
      </c>
      <c r="BM316" t="s">
        <v>6287</v>
      </c>
      <c r="BN316" t="s">
        <v>74</v>
      </c>
      <c r="BO316" t="s">
        <v>74</v>
      </c>
      <c r="BP316" t="s">
        <v>74</v>
      </c>
      <c r="BQ316" t="s">
        <v>74</v>
      </c>
      <c r="BR316" t="s">
        <v>106</v>
      </c>
      <c r="BS316" t="s">
        <v>6288</v>
      </c>
      <c r="BT316" t="str">
        <f>HYPERLINK("https%3A%2F%2Fwww.webofscience.com%2Fwos%2Fwoscc%2Ffull-record%2FWOS:000692280000007","View Full Record in Web of Science")</f>
        <v>View Full Record in Web of Science</v>
      </c>
    </row>
    <row r="317" spans="1:72" x14ac:dyDescent="0.15">
      <c r="A317" t="s">
        <v>72</v>
      </c>
      <c r="B317" t="s">
        <v>6289</v>
      </c>
      <c r="C317" t="s">
        <v>74</v>
      </c>
      <c r="D317" t="s">
        <v>74</v>
      </c>
      <c r="E317" t="s">
        <v>74</v>
      </c>
      <c r="F317" t="s">
        <v>6290</v>
      </c>
      <c r="G317" t="s">
        <v>74</v>
      </c>
      <c r="H317" t="s">
        <v>74</v>
      </c>
      <c r="I317" t="s">
        <v>6291</v>
      </c>
      <c r="J317" t="s">
        <v>6292</v>
      </c>
      <c r="K317" t="s">
        <v>74</v>
      </c>
      <c r="L317" t="s">
        <v>74</v>
      </c>
      <c r="M317" t="s">
        <v>5447</v>
      </c>
      <c r="N317" t="s">
        <v>79</v>
      </c>
      <c r="O317" t="s">
        <v>74</v>
      </c>
      <c r="P317" t="s">
        <v>74</v>
      </c>
      <c r="Q317" t="s">
        <v>74</v>
      </c>
      <c r="R317" t="s">
        <v>74</v>
      </c>
      <c r="S317" t="s">
        <v>74</v>
      </c>
      <c r="T317" t="s">
        <v>6293</v>
      </c>
      <c r="U317" t="s">
        <v>6294</v>
      </c>
      <c r="V317" t="s">
        <v>6295</v>
      </c>
      <c r="W317" t="s">
        <v>6296</v>
      </c>
      <c r="X317" t="s">
        <v>6297</v>
      </c>
      <c r="Y317" t="s">
        <v>6298</v>
      </c>
      <c r="Z317" t="s">
        <v>6299</v>
      </c>
      <c r="AA317" t="s">
        <v>74</v>
      </c>
      <c r="AB317" t="s">
        <v>74</v>
      </c>
      <c r="AC317" t="s">
        <v>74</v>
      </c>
      <c r="AD317" t="s">
        <v>74</v>
      </c>
      <c r="AE317" t="s">
        <v>74</v>
      </c>
      <c r="AF317" t="s">
        <v>74</v>
      </c>
      <c r="AG317">
        <v>17</v>
      </c>
      <c r="AH317">
        <v>0</v>
      </c>
      <c r="AI317">
        <v>0</v>
      </c>
      <c r="AJ317">
        <v>2</v>
      </c>
      <c r="AK317">
        <v>13</v>
      </c>
      <c r="AL317" t="s">
        <v>6300</v>
      </c>
      <c r="AM317" t="s">
        <v>6301</v>
      </c>
      <c r="AN317" t="s">
        <v>6302</v>
      </c>
      <c r="AO317" t="s">
        <v>6303</v>
      </c>
      <c r="AP317" t="s">
        <v>6304</v>
      </c>
      <c r="AQ317" t="s">
        <v>74</v>
      </c>
      <c r="AR317" t="s">
        <v>6305</v>
      </c>
      <c r="AS317" t="s">
        <v>6306</v>
      </c>
      <c r="AT317" t="s">
        <v>74</v>
      </c>
      <c r="AU317">
        <v>2021</v>
      </c>
      <c r="AV317">
        <v>65</v>
      </c>
      <c r="AW317">
        <v>4</v>
      </c>
      <c r="AX317" t="s">
        <v>74</v>
      </c>
      <c r="AY317" t="s">
        <v>74</v>
      </c>
      <c r="AZ317" t="s">
        <v>74</v>
      </c>
      <c r="BA317" t="s">
        <v>74</v>
      </c>
      <c r="BB317">
        <v>495</v>
      </c>
      <c r="BC317">
        <v>502</v>
      </c>
      <c r="BD317" t="s">
        <v>74</v>
      </c>
      <c r="BE317" t="s">
        <v>6307</v>
      </c>
      <c r="BF317" t="str">
        <f>HYPERLINK("http://dx.doi.org/10.29235/1561-8323-2021-65-4-495-502","http://dx.doi.org/10.29235/1561-8323-2021-65-4-495-502")</f>
        <v>http://dx.doi.org/10.29235/1561-8323-2021-65-4-495-502</v>
      </c>
      <c r="BG317" t="s">
        <v>74</v>
      </c>
      <c r="BH317" t="s">
        <v>74</v>
      </c>
      <c r="BI317">
        <v>8</v>
      </c>
      <c r="BJ317" t="s">
        <v>534</v>
      </c>
      <c r="BK317" t="s">
        <v>3050</v>
      </c>
      <c r="BL317" t="s">
        <v>535</v>
      </c>
      <c r="BM317" t="s">
        <v>6308</v>
      </c>
      <c r="BN317" t="s">
        <v>74</v>
      </c>
      <c r="BO317" t="s">
        <v>326</v>
      </c>
      <c r="BP317" t="s">
        <v>74</v>
      </c>
      <c r="BQ317" t="s">
        <v>74</v>
      </c>
      <c r="BR317" t="s">
        <v>106</v>
      </c>
      <c r="BS317" t="s">
        <v>6309</v>
      </c>
      <c r="BT317" t="str">
        <f>HYPERLINK("https%3A%2F%2Fwww.webofscience.com%2Fwos%2Fwoscc%2Ffull-record%2FWOS:000692825200013","View Full Record in Web of Science")</f>
        <v>View Full Record in Web of Science</v>
      </c>
    </row>
    <row r="318" spans="1:72" x14ac:dyDescent="0.15">
      <c r="A318" t="s">
        <v>72</v>
      </c>
      <c r="B318" t="s">
        <v>6310</v>
      </c>
      <c r="C318" t="s">
        <v>74</v>
      </c>
      <c r="D318" t="s">
        <v>74</v>
      </c>
      <c r="E318" t="s">
        <v>74</v>
      </c>
      <c r="F318" t="s">
        <v>6311</v>
      </c>
      <c r="G318" t="s">
        <v>74</v>
      </c>
      <c r="H318" t="s">
        <v>74</v>
      </c>
      <c r="I318" t="s">
        <v>6312</v>
      </c>
      <c r="J318" t="s">
        <v>5502</v>
      </c>
      <c r="K318" t="s">
        <v>74</v>
      </c>
      <c r="L318" t="s">
        <v>74</v>
      </c>
      <c r="M318" t="s">
        <v>78</v>
      </c>
      <c r="N318" t="s">
        <v>79</v>
      </c>
      <c r="O318" t="s">
        <v>74</v>
      </c>
      <c r="P318" t="s">
        <v>74</v>
      </c>
      <c r="Q318" t="s">
        <v>74</v>
      </c>
      <c r="R318" t="s">
        <v>74</v>
      </c>
      <c r="S318" t="s">
        <v>74</v>
      </c>
      <c r="T318" t="s">
        <v>6313</v>
      </c>
      <c r="U318" t="s">
        <v>6314</v>
      </c>
      <c r="V318" t="s">
        <v>6315</v>
      </c>
      <c r="W318" t="s">
        <v>6316</v>
      </c>
      <c r="X318" t="s">
        <v>6317</v>
      </c>
      <c r="Y318" t="s">
        <v>6318</v>
      </c>
      <c r="Z318" t="s">
        <v>6319</v>
      </c>
      <c r="AA318" t="s">
        <v>6320</v>
      </c>
      <c r="AB318" t="s">
        <v>6321</v>
      </c>
      <c r="AC318" t="s">
        <v>6322</v>
      </c>
      <c r="AD318" t="s">
        <v>6323</v>
      </c>
      <c r="AE318" t="s">
        <v>6324</v>
      </c>
      <c r="AF318" t="s">
        <v>74</v>
      </c>
      <c r="AG318">
        <v>63</v>
      </c>
      <c r="AH318">
        <v>3</v>
      </c>
      <c r="AI318">
        <v>3</v>
      </c>
      <c r="AJ318">
        <v>2</v>
      </c>
      <c r="AK318">
        <v>8</v>
      </c>
      <c r="AL318" t="s">
        <v>5512</v>
      </c>
      <c r="AM318" t="s">
        <v>5513</v>
      </c>
      <c r="AN318" t="s">
        <v>5514</v>
      </c>
      <c r="AO318" t="s">
        <v>5515</v>
      </c>
      <c r="AP318" t="s">
        <v>5516</v>
      </c>
      <c r="AQ318" t="s">
        <v>74</v>
      </c>
      <c r="AR318" t="s">
        <v>5517</v>
      </c>
      <c r="AS318" t="s">
        <v>5518</v>
      </c>
      <c r="AT318" t="s">
        <v>74</v>
      </c>
      <c r="AU318">
        <v>2021</v>
      </c>
      <c r="AV318">
        <v>42</v>
      </c>
      <c r="AW318">
        <v>2</v>
      </c>
      <c r="AX318" t="s">
        <v>74</v>
      </c>
      <c r="AY318" t="s">
        <v>74</v>
      </c>
      <c r="AZ318" t="s">
        <v>74</v>
      </c>
      <c r="BA318" t="s">
        <v>74</v>
      </c>
      <c r="BB318">
        <v>97</v>
      </c>
      <c r="BC318">
        <v>116</v>
      </c>
      <c r="BD318" t="s">
        <v>74</v>
      </c>
      <c r="BE318" t="s">
        <v>6325</v>
      </c>
      <c r="BF318" t="str">
        <f>HYPERLINK("http://dx.doi.org/10.24425/ppr.2021.136602","http://dx.doi.org/10.24425/ppr.2021.136602")</f>
        <v>http://dx.doi.org/10.24425/ppr.2021.136602</v>
      </c>
      <c r="BG318" t="s">
        <v>74</v>
      </c>
      <c r="BH318" t="s">
        <v>74</v>
      </c>
      <c r="BI318">
        <v>20</v>
      </c>
      <c r="BJ318" t="s">
        <v>3680</v>
      </c>
      <c r="BK318" t="s">
        <v>103</v>
      </c>
      <c r="BL318" t="s">
        <v>3681</v>
      </c>
      <c r="BM318" t="s">
        <v>6326</v>
      </c>
      <c r="BN318" t="s">
        <v>74</v>
      </c>
      <c r="BO318" t="s">
        <v>326</v>
      </c>
      <c r="BP318" t="s">
        <v>74</v>
      </c>
      <c r="BQ318" t="s">
        <v>74</v>
      </c>
      <c r="BR318" t="s">
        <v>106</v>
      </c>
      <c r="BS318" t="s">
        <v>6327</v>
      </c>
      <c r="BT318" t="str">
        <f>HYPERLINK("https%3A%2F%2Fwww.webofscience.com%2Fwos%2Fwoscc%2Ffull-record%2FWOS:000692869900002","View Full Record in Web of Science")</f>
        <v>View Full Record in Web of Science</v>
      </c>
    </row>
    <row r="319" spans="1:72" x14ac:dyDescent="0.15">
      <c r="A319" t="s">
        <v>72</v>
      </c>
      <c r="B319" t="s">
        <v>6328</v>
      </c>
      <c r="C319" t="s">
        <v>74</v>
      </c>
      <c r="D319" t="s">
        <v>74</v>
      </c>
      <c r="E319" t="s">
        <v>74</v>
      </c>
      <c r="F319" t="s">
        <v>6329</v>
      </c>
      <c r="G319" t="s">
        <v>74</v>
      </c>
      <c r="H319" t="s">
        <v>74</v>
      </c>
      <c r="I319" t="s">
        <v>6330</v>
      </c>
      <c r="J319" t="s">
        <v>6331</v>
      </c>
      <c r="K319" t="s">
        <v>74</v>
      </c>
      <c r="L319" t="s">
        <v>74</v>
      </c>
      <c r="M319" t="s">
        <v>78</v>
      </c>
      <c r="N319" t="s">
        <v>79</v>
      </c>
      <c r="O319" t="s">
        <v>74</v>
      </c>
      <c r="P319" t="s">
        <v>74</v>
      </c>
      <c r="Q319" t="s">
        <v>74</v>
      </c>
      <c r="R319" t="s">
        <v>74</v>
      </c>
      <c r="S319" t="s">
        <v>74</v>
      </c>
      <c r="T319" t="s">
        <v>6332</v>
      </c>
      <c r="U319" t="s">
        <v>6333</v>
      </c>
      <c r="V319" t="s">
        <v>6334</v>
      </c>
      <c r="W319" t="s">
        <v>6335</v>
      </c>
      <c r="X319" t="s">
        <v>6336</v>
      </c>
      <c r="Y319" t="s">
        <v>6337</v>
      </c>
      <c r="Z319" t="s">
        <v>6338</v>
      </c>
      <c r="AA319" t="s">
        <v>6339</v>
      </c>
      <c r="AB319" t="s">
        <v>6340</v>
      </c>
      <c r="AC319" t="s">
        <v>6341</v>
      </c>
      <c r="AD319" t="s">
        <v>6342</v>
      </c>
      <c r="AE319" t="s">
        <v>6343</v>
      </c>
      <c r="AF319" t="s">
        <v>74</v>
      </c>
      <c r="AG319">
        <v>57</v>
      </c>
      <c r="AH319">
        <v>5</v>
      </c>
      <c r="AI319">
        <v>5</v>
      </c>
      <c r="AJ319">
        <v>0</v>
      </c>
      <c r="AK319">
        <v>3</v>
      </c>
      <c r="AL319" t="s">
        <v>6344</v>
      </c>
      <c r="AM319" t="s">
        <v>6345</v>
      </c>
      <c r="AN319" t="s">
        <v>6346</v>
      </c>
      <c r="AO319" t="s">
        <v>6347</v>
      </c>
      <c r="AP319" t="s">
        <v>6348</v>
      </c>
      <c r="AQ319" t="s">
        <v>74</v>
      </c>
      <c r="AR319" t="s">
        <v>6331</v>
      </c>
      <c r="AS319" t="s">
        <v>6349</v>
      </c>
      <c r="AT319" t="s">
        <v>74</v>
      </c>
      <c r="AU319">
        <v>2021</v>
      </c>
      <c r="AV319">
        <v>45</v>
      </c>
      <c r="AW319">
        <v>6</v>
      </c>
      <c r="AX319" t="s">
        <v>74</v>
      </c>
      <c r="AY319" t="s">
        <v>74</v>
      </c>
      <c r="AZ319" t="s">
        <v>74</v>
      </c>
      <c r="BA319" t="s">
        <v>74</v>
      </c>
      <c r="BB319">
        <v>1611</v>
      </c>
      <c r="BC319">
        <v>1619</v>
      </c>
      <c r="BD319" t="s">
        <v>74</v>
      </c>
      <c r="BE319" t="s">
        <v>6350</v>
      </c>
      <c r="BF319" t="str">
        <f>HYPERLINK("http://dx.doi.org/10.32604/biocell.2021.016121","http://dx.doi.org/10.32604/biocell.2021.016121")</f>
        <v>http://dx.doi.org/10.32604/biocell.2021.016121</v>
      </c>
      <c r="BG319" t="s">
        <v>74</v>
      </c>
      <c r="BH319" t="s">
        <v>74</v>
      </c>
      <c r="BI319">
        <v>9</v>
      </c>
      <c r="BJ319" t="s">
        <v>6351</v>
      </c>
      <c r="BK319" t="s">
        <v>103</v>
      </c>
      <c r="BL319" t="s">
        <v>6352</v>
      </c>
      <c r="BM319" t="s">
        <v>6353</v>
      </c>
      <c r="BN319" t="s">
        <v>74</v>
      </c>
      <c r="BO319" t="s">
        <v>159</v>
      </c>
      <c r="BP319" t="s">
        <v>74</v>
      </c>
      <c r="BQ319" t="s">
        <v>74</v>
      </c>
      <c r="BR319" t="s">
        <v>106</v>
      </c>
      <c r="BS319" t="s">
        <v>6354</v>
      </c>
      <c r="BT319" t="str">
        <f>HYPERLINK("https%3A%2F%2Fwww.webofscience.com%2Fwos%2Fwoscc%2Ffull-record%2FWOS:000692540600004","View Full Record in Web of Science")</f>
        <v>View Full Record in Web of Science</v>
      </c>
    </row>
    <row r="320" spans="1:72" x14ac:dyDescent="0.15">
      <c r="A320" t="s">
        <v>72</v>
      </c>
      <c r="B320" t="s">
        <v>6355</v>
      </c>
      <c r="C320" t="s">
        <v>74</v>
      </c>
      <c r="D320" t="s">
        <v>74</v>
      </c>
      <c r="E320" t="s">
        <v>74</v>
      </c>
      <c r="F320" t="s">
        <v>6356</v>
      </c>
      <c r="G320" t="s">
        <v>74</v>
      </c>
      <c r="H320" t="s">
        <v>74</v>
      </c>
      <c r="I320" t="s">
        <v>6357</v>
      </c>
      <c r="J320" t="s">
        <v>5502</v>
      </c>
      <c r="K320" t="s">
        <v>74</v>
      </c>
      <c r="L320" t="s">
        <v>74</v>
      </c>
      <c r="M320" t="s">
        <v>78</v>
      </c>
      <c r="N320" t="s">
        <v>79</v>
      </c>
      <c r="O320" t="s">
        <v>74</v>
      </c>
      <c r="P320" t="s">
        <v>74</v>
      </c>
      <c r="Q320" t="s">
        <v>74</v>
      </c>
      <c r="R320" t="s">
        <v>74</v>
      </c>
      <c r="S320" t="s">
        <v>74</v>
      </c>
      <c r="T320" t="s">
        <v>6358</v>
      </c>
      <c r="U320" t="s">
        <v>6359</v>
      </c>
      <c r="V320" t="s">
        <v>6360</v>
      </c>
      <c r="W320" t="s">
        <v>6361</v>
      </c>
      <c r="X320" t="s">
        <v>6362</v>
      </c>
      <c r="Y320" t="s">
        <v>6363</v>
      </c>
      <c r="Z320" t="s">
        <v>6364</v>
      </c>
      <c r="AA320" t="s">
        <v>6365</v>
      </c>
      <c r="AB320" t="s">
        <v>74</v>
      </c>
      <c r="AC320" t="s">
        <v>6366</v>
      </c>
      <c r="AD320" t="s">
        <v>6367</v>
      </c>
      <c r="AE320" t="s">
        <v>6368</v>
      </c>
      <c r="AF320" t="s">
        <v>74</v>
      </c>
      <c r="AG320">
        <v>41</v>
      </c>
      <c r="AH320">
        <v>8</v>
      </c>
      <c r="AI320">
        <v>9</v>
      </c>
      <c r="AJ320">
        <v>0</v>
      </c>
      <c r="AK320">
        <v>3</v>
      </c>
      <c r="AL320" t="s">
        <v>5512</v>
      </c>
      <c r="AM320" t="s">
        <v>5513</v>
      </c>
      <c r="AN320" t="s">
        <v>5514</v>
      </c>
      <c r="AO320" t="s">
        <v>5515</v>
      </c>
      <c r="AP320" t="s">
        <v>5516</v>
      </c>
      <c r="AQ320" t="s">
        <v>74</v>
      </c>
      <c r="AR320" t="s">
        <v>5517</v>
      </c>
      <c r="AS320" t="s">
        <v>5518</v>
      </c>
      <c r="AT320" t="s">
        <v>74</v>
      </c>
      <c r="AU320">
        <v>2021</v>
      </c>
      <c r="AV320">
        <v>42</v>
      </c>
      <c r="AW320">
        <v>3</v>
      </c>
      <c r="AX320" t="s">
        <v>74</v>
      </c>
      <c r="AY320" t="s">
        <v>74</v>
      </c>
      <c r="AZ320" t="s">
        <v>74</v>
      </c>
      <c r="BA320" t="s">
        <v>74</v>
      </c>
      <c r="BB320">
        <v>203</v>
      </c>
      <c r="BC320">
        <v>219</v>
      </c>
      <c r="BD320" t="s">
        <v>74</v>
      </c>
      <c r="BE320" t="s">
        <v>6369</v>
      </c>
      <c r="BF320" t="str">
        <f>HYPERLINK("http://dx.doi.org/10.24425/ppr.2021.137145","http://dx.doi.org/10.24425/ppr.2021.137145")</f>
        <v>http://dx.doi.org/10.24425/ppr.2021.137145</v>
      </c>
      <c r="BG320" t="s">
        <v>74</v>
      </c>
      <c r="BH320" t="s">
        <v>74</v>
      </c>
      <c r="BI320">
        <v>17</v>
      </c>
      <c r="BJ320" t="s">
        <v>3680</v>
      </c>
      <c r="BK320" t="s">
        <v>103</v>
      </c>
      <c r="BL320" t="s">
        <v>3681</v>
      </c>
      <c r="BM320" t="s">
        <v>6370</v>
      </c>
      <c r="BN320" t="s">
        <v>74</v>
      </c>
      <c r="BO320" t="s">
        <v>326</v>
      </c>
      <c r="BP320" t="s">
        <v>74</v>
      </c>
      <c r="BQ320" t="s">
        <v>74</v>
      </c>
      <c r="BR320" t="s">
        <v>106</v>
      </c>
      <c r="BS320" t="s">
        <v>6371</v>
      </c>
      <c r="BT320" t="str">
        <f>HYPERLINK("https%3A%2F%2Fwww.webofscience.com%2Fwos%2Fwoscc%2Ffull-record%2FWOS:000692870100004","View Full Record in Web of Science")</f>
        <v>View Full Record in Web of Science</v>
      </c>
    </row>
    <row r="321" spans="1:72" x14ac:dyDescent="0.15">
      <c r="A321" t="s">
        <v>72</v>
      </c>
      <c r="B321" t="s">
        <v>6372</v>
      </c>
      <c r="C321" t="s">
        <v>74</v>
      </c>
      <c r="D321" t="s">
        <v>74</v>
      </c>
      <c r="E321" t="s">
        <v>74</v>
      </c>
      <c r="F321" t="s">
        <v>6373</v>
      </c>
      <c r="G321" t="s">
        <v>74</v>
      </c>
      <c r="H321" t="s">
        <v>74</v>
      </c>
      <c r="I321" t="s">
        <v>6374</v>
      </c>
      <c r="J321" t="s">
        <v>5590</v>
      </c>
      <c r="K321" t="s">
        <v>74</v>
      </c>
      <c r="L321" t="s">
        <v>74</v>
      </c>
      <c r="M321" t="s">
        <v>78</v>
      </c>
      <c r="N321" t="s">
        <v>79</v>
      </c>
      <c r="O321" t="s">
        <v>74</v>
      </c>
      <c r="P321" t="s">
        <v>74</v>
      </c>
      <c r="Q321" t="s">
        <v>74</v>
      </c>
      <c r="R321" t="s">
        <v>74</v>
      </c>
      <c r="S321" t="s">
        <v>74</v>
      </c>
      <c r="T321" t="s">
        <v>6375</v>
      </c>
      <c r="U321" t="s">
        <v>6376</v>
      </c>
      <c r="V321" t="s">
        <v>6377</v>
      </c>
      <c r="W321" t="s">
        <v>6378</v>
      </c>
      <c r="X321" t="s">
        <v>6379</v>
      </c>
      <c r="Y321" t="s">
        <v>6380</v>
      </c>
      <c r="Z321" t="s">
        <v>6381</v>
      </c>
      <c r="AA321" t="s">
        <v>74</v>
      </c>
      <c r="AB321" t="s">
        <v>74</v>
      </c>
      <c r="AC321" t="s">
        <v>6382</v>
      </c>
      <c r="AD321" t="s">
        <v>6383</v>
      </c>
      <c r="AE321" t="s">
        <v>6384</v>
      </c>
      <c r="AF321" t="s">
        <v>74</v>
      </c>
      <c r="AG321">
        <v>65</v>
      </c>
      <c r="AH321">
        <v>10</v>
      </c>
      <c r="AI321">
        <v>10</v>
      </c>
      <c r="AJ321">
        <v>3</v>
      </c>
      <c r="AK321">
        <v>22</v>
      </c>
      <c r="AL321" t="s">
        <v>5603</v>
      </c>
      <c r="AM321" t="s">
        <v>5604</v>
      </c>
      <c r="AN321" t="s">
        <v>5605</v>
      </c>
      <c r="AO321" t="s">
        <v>5606</v>
      </c>
      <c r="AP321" t="s">
        <v>5607</v>
      </c>
      <c r="AQ321" t="s">
        <v>74</v>
      </c>
      <c r="AR321" t="s">
        <v>5608</v>
      </c>
      <c r="AS321" t="s">
        <v>5609</v>
      </c>
      <c r="AT321" t="s">
        <v>74</v>
      </c>
      <c r="AU321">
        <v>2021</v>
      </c>
      <c r="AV321">
        <v>14</v>
      </c>
      <c r="AW321" t="s">
        <v>74</v>
      </c>
      <c r="AX321" t="s">
        <v>74</v>
      </c>
      <c r="AY321" t="s">
        <v>74</v>
      </c>
      <c r="AZ321" t="s">
        <v>74</v>
      </c>
      <c r="BA321" t="s">
        <v>74</v>
      </c>
      <c r="BB321">
        <v>8407</v>
      </c>
      <c r="BC321">
        <v>8418</v>
      </c>
      <c r="BD321" t="s">
        <v>74</v>
      </c>
      <c r="BE321" t="s">
        <v>6385</v>
      </c>
      <c r="BF321" t="str">
        <f>HYPERLINK("http://dx.doi.org/10.1109/JSTARS.2021.3105421","http://dx.doi.org/10.1109/JSTARS.2021.3105421")</f>
        <v>http://dx.doi.org/10.1109/JSTARS.2021.3105421</v>
      </c>
      <c r="BG321" t="s">
        <v>74</v>
      </c>
      <c r="BH321" t="s">
        <v>74</v>
      </c>
      <c r="BI321">
        <v>12</v>
      </c>
      <c r="BJ321" t="s">
        <v>5611</v>
      </c>
      <c r="BK321" t="s">
        <v>103</v>
      </c>
      <c r="BL321" t="s">
        <v>5612</v>
      </c>
      <c r="BM321" t="s">
        <v>6386</v>
      </c>
      <c r="BN321" t="s">
        <v>74</v>
      </c>
      <c r="BO321" t="s">
        <v>326</v>
      </c>
      <c r="BP321" t="s">
        <v>74</v>
      </c>
      <c r="BQ321" t="s">
        <v>74</v>
      </c>
      <c r="BR321" t="s">
        <v>106</v>
      </c>
      <c r="BS321" t="s">
        <v>6387</v>
      </c>
      <c r="BT321" t="str">
        <f>HYPERLINK("https%3A%2F%2Fwww.webofscience.com%2Fwos%2Fwoscc%2Ffull-record%2FWOS:000692230900006","View Full Record in Web of Science")</f>
        <v>View Full Record in Web of Science</v>
      </c>
    </row>
    <row r="322" spans="1:72" x14ac:dyDescent="0.15">
      <c r="A322" t="s">
        <v>72</v>
      </c>
      <c r="B322" t="s">
        <v>6388</v>
      </c>
      <c r="C322" t="s">
        <v>74</v>
      </c>
      <c r="D322" t="s">
        <v>74</v>
      </c>
      <c r="E322" t="s">
        <v>74</v>
      </c>
      <c r="F322" t="s">
        <v>6389</v>
      </c>
      <c r="G322" t="s">
        <v>74</v>
      </c>
      <c r="H322" t="s">
        <v>74</v>
      </c>
      <c r="I322" t="s">
        <v>6390</v>
      </c>
      <c r="J322" t="s">
        <v>6391</v>
      </c>
      <c r="K322" t="s">
        <v>74</v>
      </c>
      <c r="L322" t="s">
        <v>74</v>
      </c>
      <c r="M322" t="s">
        <v>78</v>
      </c>
      <c r="N322" t="s">
        <v>79</v>
      </c>
      <c r="O322" t="s">
        <v>74</v>
      </c>
      <c r="P322" t="s">
        <v>74</v>
      </c>
      <c r="Q322" t="s">
        <v>74</v>
      </c>
      <c r="R322" t="s">
        <v>74</v>
      </c>
      <c r="S322" t="s">
        <v>74</v>
      </c>
      <c r="T322" t="s">
        <v>6392</v>
      </c>
      <c r="U322" t="s">
        <v>6393</v>
      </c>
      <c r="V322" t="s">
        <v>6394</v>
      </c>
      <c r="W322" t="s">
        <v>6395</v>
      </c>
      <c r="X322" t="s">
        <v>6396</v>
      </c>
      <c r="Y322" t="s">
        <v>6397</v>
      </c>
      <c r="Z322" t="s">
        <v>6398</v>
      </c>
      <c r="AA322" t="s">
        <v>74</v>
      </c>
      <c r="AB322" t="s">
        <v>74</v>
      </c>
      <c r="AC322" t="s">
        <v>6399</v>
      </c>
      <c r="AD322" t="s">
        <v>6400</v>
      </c>
      <c r="AE322" t="s">
        <v>6401</v>
      </c>
      <c r="AF322" t="s">
        <v>74</v>
      </c>
      <c r="AG322">
        <v>35</v>
      </c>
      <c r="AH322">
        <v>2</v>
      </c>
      <c r="AI322">
        <v>2</v>
      </c>
      <c r="AJ322">
        <v>0</v>
      </c>
      <c r="AK322">
        <v>7</v>
      </c>
      <c r="AL322" t="s">
        <v>6146</v>
      </c>
      <c r="AM322" t="s">
        <v>6147</v>
      </c>
      <c r="AN322" t="s">
        <v>6148</v>
      </c>
      <c r="AO322" t="s">
        <v>6402</v>
      </c>
      <c r="AP322" t="s">
        <v>6403</v>
      </c>
      <c r="AQ322" t="s">
        <v>74</v>
      </c>
      <c r="AR322" t="s">
        <v>6404</v>
      </c>
      <c r="AS322" t="s">
        <v>6405</v>
      </c>
      <c r="AT322" t="s">
        <v>74</v>
      </c>
      <c r="AU322">
        <v>2021</v>
      </c>
      <c r="AV322">
        <v>28</v>
      </c>
      <c r="AW322">
        <v>6</v>
      </c>
      <c r="AX322" t="s">
        <v>74</v>
      </c>
      <c r="AY322" t="s">
        <v>74</v>
      </c>
      <c r="AZ322" t="s">
        <v>74</v>
      </c>
      <c r="BA322" t="s">
        <v>74</v>
      </c>
      <c r="BB322">
        <v>651</v>
      </c>
      <c r="BC322">
        <v>664</v>
      </c>
      <c r="BD322" t="s">
        <v>74</v>
      </c>
      <c r="BE322" t="s">
        <v>6406</v>
      </c>
      <c r="BF322" t="str">
        <f>HYPERLINK("http://dx.doi.org/10.2174/0929866527666201112123714","http://dx.doi.org/10.2174/0929866527666201112123714")</f>
        <v>http://dx.doi.org/10.2174/0929866527666201112123714</v>
      </c>
      <c r="BG322" t="s">
        <v>74</v>
      </c>
      <c r="BH322" t="s">
        <v>74</v>
      </c>
      <c r="BI322">
        <v>14</v>
      </c>
      <c r="BJ322" t="s">
        <v>6407</v>
      </c>
      <c r="BK322" t="s">
        <v>103</v>
      </c>
      <c r="BL322" t="s">
        <v>6407</v>
      </c>
      <c r="BM322" t="s">
        <v>6408</v>
      </c>
      <c r="BN322">
        <v>33183186</v>
      </c>
      <c r="BO322" t="s">
        <v>74</v>
      </c>
      <c r="BP322" t="s">
        <v>74</v>
      </c>
      <c r="BQ322" t="s">
        <v>74</v>
      </c>
      <c r="BR322" t="s">
        <v>106</v>
      </c>
      <c r="BS322" t="s">
        <v>6409</v>
      </c>
      <c r="BT322" t="str">
        <f>HYPERLINK("https%3A%2F%2Fwww.webofscience.com%2Fwos%2Fwoscc%2Ffull-record%2FWOS:000691406900005","View Full Record in Web of Science")</f>
        <v>View Full Record in Web of Science</v>
      </c>
    </row>
    <row r="323" spans="1:72" x14ac:dyDescent="0.15">
      <c r="A323" t="s">
        <v>72</v>
      </c>
      <c r="B323" t="s">
        <v>6410</v>
      </c>
      <c r="C323" t="s">
        <v>74</v>
      </c>
      <c r="D323" t="s">
        <v>74</v>
      </c>
      <c r="E323" t="s">
        <v>74</v>
      </c>
      <c r="F323" t="s">
        <v>6411</v>
      </c>
      <c r="G323" t="s">
        <v>74</v>
      </c>
      <c r="H323" t="s">
        <v>74</v>
      </c>
      <c r="I323" t="s">
        <v>6412</v>
      </c>
      <c r="J323" t="s">
        <v>6413</v>
      </c>
      <c r="K323" t="s">
        <v>74</v>
      </c>
      <c r="L323" t="s">
        <v>74</v>
      </c>
      <c r="M323" t="s">
        <v>78</v>
      </c>
      <c r="N323" t="s">
        <v>79</v>
      </c>
      <c r="O323" t="s">
        <v>74</v>
      </c>
      <c r="P323" t="s">
        <v>74</v>
      </c>
      <c r="Q323" t="s">
        <v>74</v>
      </c>
      <c r="R323" t="s">
        <v>74</v>
      </c>
      <c r="S323" t="s">
        <v>74</v>
      </c>
      <c r="T323" t="s">
        <v>6414</v>
      </c>
      <c r="U323" t="s">
        <v>6415</v>
      </c>
      <c r="V323" t="s">
        <v>6416</v>
      </c>
      <c r="W323" t="s">
        <v>6417</v>
      </c>
      <c r="X323" t="s">
        <v>6418</v>
      </c>
      <c r="Y323" t="s">
        <v>6419</v>
      </c>
      <c r="Z323" t="s">
        <v>6420</v>
      </c>
      <c r="AA323" t="s">
        <v>6421</v>
      </c>
      <c r="AB323" t="s">
        <v>6422</v>
      </c>
      <c r="AC323" t="s">
        <v>6423</v>
      </c>
      <c r="AD323" t="s">
        <v>6424</v>
      </c>
      <c r="AE323" t="s">
        <v>6425</v>
      </c>
      <c r="AF323" t="s">
        <v>74</v>
      </c>
      <c r="AG323">
        <v>36</v>
      </c>
      <c r="AH323">
        <v>1</v>
      </c>
      <c r="AI323">
        <v>1</v>
      </c>
      <c r="AJ323">
        <v>2</v>
      </c>
      <c r="AK323">
        <v>13</v>
      </c>
      <c r="AL323" t="s">
        <v>6426</v>
      </c>
      <c r="AM323" t="s">
        <v>236</v>
      </c>
      <c r="AN323" t="s">
        <v>6427</v>
      </c>
      <c r="AO323" t="s">
        <v>6428</v>
      </c>
      <c r="AP323" t="s">
        <v>6429</v>
      </c>
      <c r="AQ323" t="s">
        <v>74</v>
      </c>
      <c r="AR323" t="s">
        <v>6430</v>
      </c>
      <c r="AS323" t="s">
        <v>6431</v>
      </c>
      <c r="AT323" t="s">
        <v>74</v>
      </c>
      <c r="AU323">
        <v>2021</v>
      </c>
      <c r="AV323">
        <v>71</v>
      </c>
      <c r="AW323">
        <v>6</v>
      </c>
      <c r="AX323" t="s">
        <v>74</v>
      </c>
      <c r="AY323" t="s">
        <v>74</v>
      </c>
      <c r="AZ323" t="s">
        <v>74</v>
      </c>
      <c r="BA323" t="s">
        <v>74</v>
      </c>
      <c r="BB323" t="s">
        <v>74</v>
      </c>
      <c r="BC323" t="s">
        <v>74</v>
      </c>
      <c r="BD323">
        <v>4829</v>
      </c>
      <c r="BE323" t="s">
        <v>6432</v>
      </c>
      <c r="BF323" t="str">
        <f>HYPERLINK("http://dx.doi.org/10.1099/ijsem.0.004829","http://dx.doi.org/10.1099/ijsem.0.004829")</f>
        <v>http://dx.doi.org/10.1099/ijsem.0.004829</v>
      </c>
      <c r="BG323" t="s">
        <v>74</v>
      </c>
      <c r="BH323" t="s">
        <v>74</v>
      </c>
      <c r="BI323">
        <v>7</v>
      </c>
      <c r="BJ323" t="s">
        <v>3581</v>
      </c>
      <c r="BK323" t="s">
        <v>103</v>
      </c>
      <c r="BL323" t="s">
        <v>3581</v>
      </c>
      <c r="BM323" t="s">
        <v>6433</v>
      </c>
      <c r="BN323">
        <v>34100698</v>
      </c>
      <c r="BO323" t="s">
        <v>74</v>
      </c>
      <c r="BP323" t="s">
        <v>74</v>
      </c>
      <c r="BQ323" t="s">
        <v>74</v>
      </c>
      <c r="BR323" t="s">
        <v>106</v>
      </c>
      <c r="BS323" t="s">
        <v>6434</v>
      </c>
      <c r="BT323" t="str">
        <f>HYPERLINK("https%3A%2F%2Fwww.webofscience.com%2Fwos%2Fwoscc%2Ffull-record%2FWOS:000687127500002","View Full Record in Web of Science")</f>
        <v>View Full Record in Web of Science</v>
      </c>
    </row>
    <row r="324" spans="1:72" x14ac:dyDescent="0.15">
      <c r="A324" t="s">
        <v>72</v>
      </c>
      <c r="B324" t="s">
        <v>6435</v>
      </c>
      <c r="C324" t="s">
        <v>74</v>
      </c>
      <c r="D324" t="s">
        <v>74</v>
      </c>
      <c r="E324" t="s">
        <v>74</v>
      </c>
      <c r="F324" t="s">
        <v>6436</v>
      </c>
      <c r="G324" t="s">
        <v>74</v>
      </c>
      <c r="H324" t="s">
        <v>74</v>
      </c>
      <c r="I324" t="s">
        <v>6437</v>
      </c>
      <c r="J324" t="s">
        <v>6438</v>
      </c>
      <c r="K324" t="s">
        <v>74</v>
      </c>
      <c r="L324" t="s">
        <v>74</v>
      </c>
      <c r="M324" t="s">
        <v>78</v>
      </c>
      <c r="N324" t="s">
        <v>79</v>
      </c>
      <c r="O324" t="s">
        <v>74</v>
      </c>
      <c r="P324" t="s">
        <v>74</v>
      </c>
      <c r="Q324" t="s">
        <v>74</v>
      </c>
      <c r="R324" t="s">
        <v>74</v>
      </c>
      <c r="S324" t="s">
        <v>74</v>
      </c>
      <c r="T324" t="s">
        <v>74</v>
      </c>
      <c r="U324" t="s">
        <v>6439</v>
      </c>
      <c r="V324" t="s">
        <v>6440</v>
      </c>
      <c r="W324" t="s">
        <v>6441</v>
      </c>
      <c r="X324" t="s">
        <v>6442</v>
      </c>
      <c r="Y324" t="s">
        <v>6443</v>
      </c>
      <c r="Z324" t="s">
        <v>6444</v>
      </c>
      <c r="AA324" t="s">
        <v>6445</v>
      </c>
      <c r="AB324" t="s">
        <v>6446</v>
      </c>
      <c r="AC324" t="s">
        <v>6447</v>
      </c>
      <c r="AD324" t="s">
        <v>6448</v>
      </c>
      <c r="AE324" t="s">
        <v>6449</v>
      </c>
      <c r="AF324" t="s">
        <v>74</v>
      </c>
      <c r="AG324">
        <v>78</v>
      </c>
      <c r="AH324">
        <v>8</v>
      </c>
      <c r="AI324">
        <v>8</v>
      </c>
      <c r="AJ324">
        <v>0</v>
      </c>
      <c r="AK324">
        <v>7</v>
      </c>
      <c r="AL324" t="s">
        <v>6450</v>
      </c>
      <c r="AM324" t="s">
        <v>6451</v>
      </c>
      <c r="AN324" t="s">
        <v>6452</v>
      </c>
      <c r="AO324" t="s">
        <v>6453</v>
      </c>
      <c r="AP324" t="s">
        <v>74</v>
      </c>
      <c r="AQ324" t="s">
        <v>74</v>
      </c>
      <c r="AR324" t="s">
        <v>6438</v>
      </c>
      <c r="AS324" t="s">
        <v>6454</v>
      </c>
      <c r="AT324" t="s">
        <v>74</v>
      </c>
      <c r="AU324">
        <v>2021</v>
      </c>
      <c r="AV324">
        <v>16</v>
      </c>
      <c r="AW324">
        <v>8</v>
      </c>
      <c r="AX324" t="s">
        <v>74</v>
      </c>
      <c r="AY324" t="s">
        <v>74</v>
      </c>
      <c r="AZ324" t="s">
        <v>74</v>
      </c>
      <c r="BA324" t="s">
        <v>74</v>
      </c>
      <c r="BB324" t="s">
        <v>74</v>
      </c>
      <c r="BC324" t="s">
        <v>74</v>
      </c>
      <c r="BD324" t="s">
        <v>6455</v>
      </c>
      <c r="BE324" t="s">
        <v>6456</v>
      </c>
      <c r="BF324" t="str">
        <f>HYPERLINK("http://dx.doi.org/10.1371/journal.pone.0256339","http://dx.doi.org/10.1371/journal.pone.0256339")</f>
        <v>http://dx.doi.org/10.1371/journal.pone.0256339</v>
      </c>
      <c r="BG324" t="s">
        <v>74</v>
      </c>
      <c r="BH324" t="s">
        <v>74</v>
      </c>
      <c r="BI324">
        <v>19</v>
      </c>
      <c r="BJ324" t="s">
        <v>534</v>
      </c>
      <c r="BK324" t="s">
        <v>103</v>
      </c>
      <c r="BL324" t="s">
        <v>535</v>
      </c>
      <c r="BM324" t="s">
        <v>6457</v>
      </c>
      <c r="BN324">
        <v>34415944</v>
      </c>
      <c r="BO324" t="s">
        <v>1105</v>
      </c>
      <c r="BP324" t="s">
        <v>74</v>
      </c>
      <c r="BQ324" t="s">
        <v>74</v>
      </c>
      <c r="BR324" t="s">
        <v>106</v>
      </c>
      <c r="BS324" t="s">
        <v>6458</v>
      </c>
      <c r="BT324" t="str">
        <f>HYPERLINK("https%3A%2F%2Fwww.webofscience.com%2Fwos%2Fwoscc%2Ffull-record%2FWOS:000686828600044","View Full Record in Web of Science")</f>
        <v>View Full Record in Web of Science</v>
      </c>
    </row>
    <row r="325" spans="1:72" x14ac:dyDescent="0.15">
      <c r="A325" t="s">
        <v>4529</v>
      </c>
      <c r="B325" t="s">
        <v>6459</v>
      </c>
      <c r="C325" t="s">
        <v>74</v>
      </c>
      <c r="D325" t="s">
        <v>6460</v>
      </c>
      <c r="E325" t="s">
        <v>74</v>
      </c>
      <c r="F325" t="s">
        <v>6461</v>
      </c>
      <c r="G325" t="s">
        <v>74</v>
      </c>
      <c r="H325" t="s">
        <v>74</v>
      </c>
      <c r="I325" t="s">
        <v>6462</v>
      </c>
      <c r="J325" t="s">
        <v>6463</v>
      </c>
      <c r="K325" t="s">
        <v>4762</v>
      </c>
      <c r="L325" t="s">
        <v>74</v>
      </c>
      <c r="M325" t="s">
        <v>78</v>
      </c>
      <c r="N325" t="s">
        <v>4535</v>
      </c>
      <c r="O325" t="s">
        <v>6464</v>
      </c>
      <c r="P325" t="s">
        <v>6465</v>
      </c>
      <c r="Q325" t="s">
        <v>4538</v>
      </c>
      <c r="R325" t="s">
        <v>74</v>
      </c>
      <c r="S325" t="s">
        <v>74</v>
      </c>
      <c r="T325" t="s">
        <v>6466</v>
      </c>
      <c r="U325" t="s">
        <v>74</v>
      </c>
      <c r="V325" t="s">
        <v>6467</v>
      </c>
      <c r="W325" t="s">
        <v>6468</v>
      </c>
      <c r="X325" t="s">
        <v>6469</v>
      </c>
      <c r="Y325" t="s">
        <v>6470</v>
      </c>
      <c r="Z325" t="s">
        <v>6471</v>
      </c>
      <c r="AA325" t="s">
        <v>6472</v>
      </c>
      <c r="AB325" t="s">
        <v>6473</v>
      </c>
      <c r="AC325" t="s">
        <v>6474</v>
      </c>
      <c r="AD325" t="s">
        <v>6475</v>
      </c>
      <c r="AE325" t="s">
        <v>6476</v>
      </c>
      <c r="AF325" t="s">
        <v>74</v>
      </c>
      <c r="AG325">
        <v>21</v>
      </c>
      <c r="AH325">
        <v>1</v>
      </c>
      <c r="AI325">
        <v>1</v>
      </c>
      <c r="AJ325">
        <v>0</v>
      </c>
      <c r="AK325">
        <v>11</v>
      </c>
      <c r="AL325" t="s">
        <v>4777</v>
      </c>
      <c r="AM325" t="s">
        <v>4778</v>
      </c>
      <c r="AN325" t="s">
        <v>4779</v>
      </c>
      <c r="AO325" t="s">
        <v>4780</v>
      </c>
      <c r="AP325" t="s">
        <v>4781</v>
      </c>
      <c r="AQ325" t="s">
        <v>6477</v>
      </c>
      <c r="AR325" t="s">
        <v>4783</v>
      </c>
      <c r="AS325" t="s">
        <v>74</v>
      </c>
      <c r="AT325" t="s">
        <v>74</v>
      </c>
      <c r="AU325">
        <v>2021</v>
      </c>
      <c r="AV325">
        <v>11444</v>
      </c>
      <c r="AW325" t="s">
        <v>74</v>
      </c>
      <c r="AX325" t="s">
        <v>74</v>
      </c>
      <c r="AY325" t="s">
        <v>74</v>
      </c>
      <c r="AZ325" t="s">
        <v>74</v>
      </c>
      <c r="BA325" t="s">
        <v>74</v>
      </c>
      <c r="BB325" t="s">
        <v>74</v>
      </c>
      <c r="BC325" t="s">
        <v>74</v>
      </c>
      <c r="BD325" t="s">
        <v>6478</v>
      </c>
      <c r="BE325" t="s">
        <v>6479</v>
      </c>
      <c r="BF325" t="str">
        <f>HYPERLINK("http://dx.doi.org/10.1117/12.2560319","http://dx.doi.org/10.1117/12.2560319")</f>
        <v>http://dx.doi.org/10.1117/12.2560319</v>
      </c>
      <c r="BG325" t="s">
        <v>74</v>
      </c>
      <c r="BH325" t="s">
        <v>74</v>
      </c>
      <c r="BI325">
        <v>9</v>
      </c>
      <c r="BJ325" t="s">
        <v>6480</v>
      </c>
      <c r="BK325" t="s">
        <v>4553</v>
      </c>
      <c r="BL325" t="s">
        <v>6480</v>
      </c>
      <c r="BM325" t="s">
        <v>6481</v>
      </c>
      <c r="BN325" t="s">
        <v>74</v>
      </c>
      <c r="BO325" t="s">
        <v>74</v>
      </c>
      <c r="BP325" t="s">
        <v>74</v>
      </c>
      <c r="BQ325" t="s">
        <v>74</v>
      </c>
      <c r="BR325" t="s">
        <v>106</v>
      </c>
      <c r="BS325" t="s">
        <v>6482</v>
      </c>
      <c r="BT325" t="str">
        <f>HYPERLINK("https%3A%2F%2Fwww.webofscience.com%2Fwos%2Fwoscc%2Ffull-record%2FWOS:000674737700046","View Full Record in Web of Science")</f>
        <v>View Full Record in Web of Science</v>
      </c>
    </row>
    <row r="326" spans="1:72" x14ac:dyDescent="0.15">
      <c r="A326" t="s">
        <v>72</v>
      </c>
      <c r="B326" t="s">
        <v>6483</v>
      </c>
      <c r="C326" t="s">
        <v>74</v>
      </c>
      <c r="D326" t="s">
        <v>74</v>
      </c>
      <c r="E326" t="s">
        <v>74</v>
      </c>
      <c r="F326" t="s">
        <v>6484</v>
      </c>
      <c r="G326" t="s">
        <v>74</v>
      </c>
      <c r="H326" t="s">
        <v>74</v>
      </c>
      <c r="I326" t="s">
        <v>6485</v>
      </c>
      <c r="J326" t="s">
        <v>6486</v>
      </c>
      <c r="K326" t="s">
        <v>74</v>
      </c>
      <c r="L326" t="s">
        <v>74</v>
      </c>
      <c r="M326" t="s">
        <v>78</v>
      </c>
      <c r="N326" t="s">
        <v>79</v>
      </c>
      <c r="O326" t="s">
        <v>74</v>
      </c>
      <c r="P326" t="s">
        <v>74</v>
      </c>
      <c r="Q326" t="s">
        <v>74</v>
      </c>
      <c r="R326" t="s">
        <v>74</v>
      </c>
      <c r="S326" t="s">
        <v>74</v>
      </c>
      <c r="T326" t="s">
        <v>74</v>
      </c>
      <c r="U326" t="s">
        <v>6487</v>
      </c>
      <c r="V326" t="s">
        <v>74</v>
      </c>
      <c r="W326" t="s">
        <v>6488</v>
      </c>
      <c r="X326" t="s">
        <v>6489</v>
      </c>
      <c r="Y326" t="s">
        <v>6490</v>
      </c>
      <c r="Z326" t="s">
        <v>6491</v>
      </c>
      <c r="AA326" t="s">
        <v>74</v>
      </c>
      <c r="AB326" t="s">
        <v>74</v>
      </c>
      <c r="AC326" t="s">
        <v>6492</v>
      </c>
      <c r="AD326" t="s">
        <v>6493</v>
      </c>
      <c r="AE326" t="s">
        <v>6494</v>
      </c>
      <c r="AF326" t="s">
        <v>74</v>
      </c>
      <c r="AG326">
        <v>47</v>
      </c>
      <c r="AH326">
        <v>8</v>
      </c>
      <c r="AI326">
        <v>9</v>
      </c>
      <c r="AJ326">
        <v>1</v>
      </c>
      <c r="AK326">
        <v>8</v>
      </c>
      <c r="AL326" t="s">
        <v>6495</v>
      </c>
      <c r="AM326" t="s">
        <v>6496</v>
      </c>
      <c r="AN326" t="s">
        <v>6497</v>
      </c>
      <c r="AO326" t="s">
        <v>6498</v>
      </c>
      <c r="AP326" t="s">
        <v>74</v>
      </c>
      <c r="AQ326" t="s">
        <v>74</v>
      </c>
      <c r="AR326" t="s">
        <v>6499</v>
      </c>
      <c r="AS326" t="s">
        <v>6500</v>
      </c>
      <c r="AT326" t="s">
        <v>74</v>
      </c>
      <c r="AU326">
        <v>2021</v>
      </c>
      <c r="AV326">
        <v>47</v>
      </c>
      <c r="AW326">
        <v>4</v>
      </c>
      <c r="AX326" t="s">
        <v>74</v>
      </c>
      <c r="AY326" t="s">
        <v>74</v>
      </c>
      <c r="AZ326" t="s">
        <v>74</v>
      </c>
      <c r="BA326" t="s">
        <v>74</v>
      </c>
      <c r="BB326">
        <v>349</v>
      </c>
      <c r="BC326">
        <v>354</v>
      </c>
      <c r="BD326" t="s">
        <v>74</v>
      </c>
      <c r="BE326" t="s">
        <v>6501</v>
      </c>
      <c r="BF326" t="str">
        <f>HYPERLINK("http://dx.doi.org/10.1578/AM.47.4.2021.349","http://dx.doi.org/10.1578/AM.47.4.2021.349")</f>
        <v>http://dx.doi.org/10.1578/AM.47.4.2021.349</v>
      </c>
      <c r="BG326" t="s">
        <v>74</v>
      </c>
      <c r="BH326" t="s">
        <v>74</v>
      </c>
      <c r="BI326">
        <v>6</v>
      </c>
      <c r="BJ326" t="s">
        <v>3209</v>
      </c>
      <c r="BK326" t="s">
        <v>103</v>
      </c>
      <c r="BL326" t="s">
        <v>3209</v>
      </c>
      <c r="BM326" t="s">
        <v>6502</v>
      </c>
      <c r="BN326" t="s">
        <v>74</v>
      </c>
      <c r="BO326" t="s">
        <v>74</v>
      </c>
      <c r="BP326" t="s">
        <v>74</v>
      </c>
      <c r="BQ326" t="s">
        <v>74</v>
      </c>
      <c r="BR326" t="s">
        <v>106</v>
      </c>
      <c r="BS326" t="s">
        <v>6503</v>
      </c>
      <c r="BT326" t="str">
        <f>HYPERLINK("https%3A%2F%2Fwww.webofscience.com%2Fwos%2Fwoscc%2Ffull-record%2FWOS:000672413000004","View Full Record in Web of Science")</f>
        <v>View Full Record in Web of Science</v>
      </c>
    </row>
    <row r="327" spans="1:72" x14ac:dyDescent="0.15">
      <c r="A327" t="s">
        <v>4529</v>
      </c>
      <c r="B327" t="s">
        <v>6504</v>
      </c>
      <c r="C327" t="s">
        <v>74</v>
      </c>
      <c r="D327" t="s">
        <v>74</v>
      </c>
      <c r="E327" t="s">
        <v>4644</v>
      </c>
      <c r="F327" t="s">
        <v>6505</v>
      </c>
      <c r="G327" t="s">
        <v>74</v>
      </c>
      <c r="H327" t="s">
        <v>74</v>
      </c>
      <c r="I327" t="s">
        <v>6506</v>
      </c>
      <c r="J327" t="s">
        <v>6507</v>
      </c>
      <c r="K327" t="s">
        <v>6508</v>
      </c>
      <c r="L327" t="s">
        <v>74</v>
      </c>
      <c r="M327" t="s">
        <v>78</v>
      </c>
      <c r="N327" t="s">
        <v>4535</v>
      </c>
      <c r="O327" t="s">
        <v>6509</v>
      </c>
      <c r="P327" t="s">
        <v>6510</v>
      </c>
      <c r="Q327" t="s">
        <v>6511</v>
      </c>
      <c r="R327" t="s">
        <v>74</v>
      </c>
      <c r="S327" t="s">
        <v>6512</v>
      </c>
      <c r="T327" t="s">
        <v>6513</v>
      </c>
      <c r="U327" t="s">
        <v>74</v>
      </c>
      <c r="V327" t="s">
        <v>6514</v>
      </c>
      <c r="W327" t="s">
        <v>6515</v>
      </c>
      <c r="X327" t="s">
        <v>6516</v>
      </c>
      <c r="Y327" t="s">
        <v>6517</v>
      </c>
      <c r="Z327" t="s">
        <v>6518</v>
      </c>
      <c r="AA327" t="s">
        <v>6519</v>
      </c>
      <c r="AB327" t="s">
        <v>6520</v>
      </c>
      <c r="AC327" t="s">
        <v>74</v>
      </c>
      <c r="AD327" t="s">
        <v>74</v>
      </c>
      <c r="AE327" t="s">
        <v>74</v>
      </c>
      <c r="AF327" t="s">
        <v>74</v>
      </c>
      <c r="AG327">
        <v>17</v>
      </c>
      <c r="AH327">
        <v>0</v>
      </c>
      <c r="AI327">
        <v>0</v>
      </c>
      <c r="AJ327">
        <v>0</v>
      </c>
      <c r="AK327">
        <v>0</v>
      </c>
      <c r="AL327" t="s">
        <v>4644</v>
      </c>
      <c r="AM327" t="s">
        <v>473</v>
      </c>
      <c r="AN327" t="s">
        <v>4662</v>
      </c>
      <c r="AO327" t="s">
        <v>6521</v>
      </c>
      <c r="AP327" t="s">
        <v>74</v>
      </c>
      <c r="AQ327" t="s">
        <v>6522</v>
      </c>
      <c r="AR327" t="s">
        <v>6523</v>
      </c>
      <c r="AS327" t="s">
        <v>74</v>
      </c>
      <c r="AT327" t="s">
        <v>74</v>
      </c>
      <c r="AU327">
        <v>2021</v>
      </c>
      <c r="AV327" t="s">
        <v>74</v>
      </c>
      <c r="AW327" t="s">
        <v>74</v>
      </c>
      <c r="AX327" t="s">
        <v>74</v>
      </c>
      <c r="AY327" t="s">
        <v>74</v>
      </c>
      <c r="AZ327" t="s">
        <v>74</v>
      </c>
      <c r="BA327" t="s">
        <v>74</v>
      </c>
      <c r="BB327">
        <v>1704</v>
      </c>
      <c r="BC327">
        <v>1707</v>
      </c>
      <c r="BD327" t="s">
        <v>74</v>
      </c>
      <c r="BE327" t="s">
        <v>6524</v>
      </c>
      <c r="BF327" t="str">
        <f>HYPERLINK("http://dx.doi.org/10.1109/ElConRus51938.2021.9396398","http://dx.doi.org/10.1109/ElConRus51938.2021.9396398")</f>
        <v>http://dx.doi.org/10.1109/ElConRus51938.2021.9396398</v>
      </c>
      <c r="BG327" t="s">
        <v>74</v>
      </c>
      <c r="BH327" t="s">
        <v>74</v>
      </c>
      <c r="BI327">
        <v>4</v>
      </c>
      <c r="BJ327" t="s">
        <v>4890</v>
      </c>
      <c r="BK327" t="s">
        <v>4553</v>
      </c>
      <c r="BL327" t="s">
        <v>187</v>
      </c>
      <c r="BM327" t="s">
        <v>6525</v>
      </c>
      <c r="BN327" t="s">
        <v>74</v>
      </c>
      <c r="BO327" t="s">
        <v>74</v>
      </c>
      <c r="BP327" t="s">
        <v>74</v>
      </c>
      <c r="BQ327" t="s">
        <v>74</v>
      </c>
      <c r="BR327" t="s">
        <v>106</v>
      </c>
      <c r="BS327" t="s">
        <v>6526</v>
      </c>
      <c r="BT327" t="str">
        <f>HYPERLINK("https%3A%2F%2Fwww.webofscience.com%2Fwos%2Fwoscc%2Ffull-record%2FWOS:000669709801162","View Full Record in Web of Science")</f>
        <v>View Full Record in Web of Science</v>
      </c>
    </row>
    <row r="328" spans="1:72" x14ac:dyDescent="0.15">
      <c r="A328" t="s">
        <v>4589</v>
      </c>
      <c r="B328" t="s">
        <v>6527</v>
      </c>
      <c r="C328" t="s">
        <v>74</v>
      </c>
      <c r="D328" t="s">
        <v>6528</v>
      </c>
      <c r="E328" t="s">
        <v>74</v>
      </c>
      <c r="F328" t="s">
        <v>6529</v>
      </c>
      <c r="G328" t="s">
        <v>74</v>
      </c>
      <c r="H328" t="s">
        <v>74</v>
      </c>
      <c r="I328" t="s">
        <v>6530</v>
      </c>
      <c r="J328" t="s">
        <v>6531</v>
      </c>
      <c r="K328" t="s">
        <v>6532</v>
      </c>
      <c r="L328" t="s">
        <v>74</v>
      </c>
      <c r="M328" t="s">
        <v>78</v>
      </c>
      <c r="N328" t="s">
        <v>4596</v>
      </c>
      <c r="O328" t="s">
        <v>74</v>
      </c>
      <c r="P328" t="s">
        <v>74</v>
      </c>
      <c r="Q328" t="s">
        <v>74</v>
      </c>
      <c r="R328" t="s">
        <v>74</v>
      </c>
      <c r="S328" t="s">
        <v>74</v>
      </c>
      <c r="T328" t="s">
        <v>74</v>
      </c>
      <c r="U328" t="s">
        <v>6533</v>
      </c>
      <c r="V328" t="s">
        <v>6534</v>
      </c>
      <c r="W328" t="s">
        <v>6535</v>
      </c>
      <c r="X328" t="s">
        <v>6536</v>
      </c>
      <c r="Y328" t="s">
        <v>6537</v>
      </c>
      <c r="Z328" t="s">
        <v>6538</v>
      </c>
      <c r="AA328" t="s">
        <v>74</v>
      </c>
      <c r="AB328" t="s">
        <v>6539</v>
      </c>
      <c r="AC328" t="s">
        <v>74</v>
      </c>
      <c r="AD328" t="s">
        <v>74</v>
      </c>
      <c r="AE328" t="s">
        <v>74</v>
      </c>
      <c r="AF328" t="s">
        <v>74</v>
      </c>
      <c r="AG328">
        <v>140</v>
      </c>
      <c r="AH328">
        <v>3</v>
      </c>
      <c r="AI328">
        <v>3</v>
      </c>
      <c r="AJ328">
        <v>0</v>
      </c>
      <c r="AK328">
        <v>1</v>
      </c>
      <c r="AL328" t="s">
        <v>4607</v>
      </c>
      <c r="AM328" t="s">
        <v>1914</v>
      </c>
      <c r="AN328" t="s">
        <v>4608</v>
      </c>
      <c r="AO328" t="s">
        <v>6540</v>
      </c>
      <c r="AP328" t="s">
        <v>74</v>
      </c>
      <c r="AQ328" t="s">
        <v>74</v>
      </c>
      <c r="AR328" t="s">
        <v>6541</v>
      </c>
      <c r="AS328" t="s">
        <v>6542</v>
      </c>
      <c r="AT328" t="s">
        <v>74</v>
      </c>
      <c r="AU328">
        <v>2021</v>
      </c>
      <c r="AV328">
        <v>506</v>
      </c>
      <c r="AW328" t="s">
        <v>74</v>
      </c>
      <c r="AX328" t="s">
        <v>74</v>
      </c>
      <c r="AY328" t="s">
        <v>74</v>
      </c>
      <c r="AZ328" t="s">
        <v>74</v>
      </c>
      <c r="BA328" t="s">
        <v>74</v>
      </c>
      <c r="BB328">
        <v>277</v>
      </c>
      <c r="BC328">
        <v>302</v>
      </c>
      <c r="BD328" t="s">
        <v>74</v>
      </c>
      <c r="BE328" t="s">
        <v>6543</v>
      </c>
      <c r="BF328" t="str">
        <f>HYPERLINK("http://dx.doi.org/10.1144/SP506-2019-225","http://dx.doi.org/10.1144/SP506-2019-225")</f>
        <v>http://dx.doi.org/10.1144/SP506-2019-225</v>
      </c>
      <c r="BG328" t="s">
        <v>6544</v>
      </c>
      <c r="BH328" t="s">
        <v>74</v>
      </c>
      <c r="BI328">
        <v>26</v>
      </c>
      <c r="BJ328" t="s">
        <v>6545</v>
      </c>
      <c r="BK328" t="s">
        <v>6546</v>
      </c>
      <c r="BL328" t="s">
        <v>6547</v>
      </c>
      <c r="BM328" t="s">
        <v>6548</v>
      </c>
      <c r="BN328" t="s">
        <v>74</v>
      </c>
      <c r="BO328" t="s">
        <v>74</v>
      </c>
      <c r="BP328" t="s">
        <v>74</v>
      </c>
      <c r="BQ328" t="s">
        <v>74</v>
      </c>
      <c r="BR328" t="s">
        <v>106</v>
      </c>
      <c r="BS328" t="s">
        <v>6549</v>
      </c>
      <c r="BT328" t="str">
        <f>HYPERLINK("https%3A%2F%2Fwww.webofscience.com%2Fwos%2Fwoscc%2Ffull-record%2FWOS:000674577800020","View Full Record in Web of Science")</f>
        <v>View Full Record in Web of Science</v>
      </c>
    </row>
    <row r="329" spans="1:72" x14ac:dyDescent="0.15">
      <c r="A329" t="s">
        <v>4529</v>
      </c>
      <c r="B329" t="s">
        <v>6550</v>
      </c>
      <c r="C329" t="s">
        <v>74</v>
      </c>
      <c r="D329" t="s">
        <v>74</v>
      </c>
      <c r="E329" t="s">
        <v>4644</v>
      </c>
      <c r="F329" t="s">
        <v>6551</v>
      </c>
      <c r="G329" t="s">
        <v>74</v>
      </c>
      <c r="H329" t="s">
        <v>74</v>
      </c>
      <c r="I329" t="s">
        <v>6552</v>
      </c>
      <c r="J329" t="s">
        <v>6553</v>
      </c>
      <c r="K329" t="s">
        <v>6554</v>
      </c>
      <c r="L329" t="s">
        <v>74</v>
      </c>
      <c r="M329" t="s">
        <v>78</v>
      </c>
      <c r="N329" t="s">
        <v>4535</v>
      </c>
      <c r="O329" t="s">
        <v>6555</v>
      </c>
      <c r="P329" t="s">
        <v>6556</v>
      </c>
      <c r="Q329" t="s">
        <v>4538</v>
      </c>
      <c r="R329" t="s">
        <v>74</v>
      </c>
      <c r="S329" t="s">
        <v>74</v>
      </c>
      <c r="T329" t="s">
        <v>74</v>
      </c>
      <c r="U329" t="s">
        <v>74</v>
      </c>
      <c r="V329" t="s">
        <v>6557</v>
      </c>
      <c r="W329" t="s">
        <v>6558</v>
      </c>
      <c r="X329" t="s">
        <v>6559</v>
      </c>
      <c r="Y329" t="s">
        <v>6560</v>
      </c>
      <c r="Z329" t="s">
        <v>6561</v>
      </c>
      <c r="AA329" t="s">
        <v>6562</v>
      </c>
      <c r="AB329" t="s">
        <v>6563</v>
      </c>
      <c r="AC329" t="s">
        <v>6564</v>
      </c>
      <c r="AD329" t="s">
        <v>6565</v>
      </c>
      <c r="AE329" t="s">
        <v>6566</v>
      </c>
      <c r="AF329" t="s">
        <v>74</v>
      </c>
      <c r="AG329">
        <v>3</v>
      </c>
      <c r="AH329">
        <v>0</v>
      </c>
      <c r="AI329">
        <v>0</v>
      </c>
      <c r="AJ329">
        <v>0</v>
      </c>
      <c r="AK329">
        <v>0</v>
      </c>
      <c r="AL329" t="s">
        <v>4644</v>
      </c>
      <c r="AM329" t="s">
        <v>473</v>
      </c>
      <c r="AN329" t="s">
        <v>4662</v>
      </c>
      <c r="AO329" t="s">
        <v>6567</v>
      </c>
      <c r="AP329" t="s">
        <v>74</v>
      </c>
      <c r="AQ329" t="s">
        <v>6568</v>
      </c>
      <c r="AR329" t="s">
        <v>6569</v>
      </c>
      <c r="AS329" t="s">
        <v>74</v>
      </c>
      <c r="AT329" t="s">
        <v>74</v>
      </c>
      <c r="AU329">
        <v>2021</v>
      </c>
      <c r="AV329" t="s">
        <v>74</v>
      </c>
      <c r="AW329" t="s">
        <v>74</v>
      </c>
      <c r="AX329" t="s">
        <v>74</v>
      </c>
      <c r="AY329" t="s">
        <v>74</v>
      </c>
      <c r="AZ329" t="s">
        <v>74</v>
      </c>
      <c r="BA329" t="s">
        <v>74</v>
      </c>
      <c r="BB329" t="s">
        <v>74</v>
      </c>
      <c r="BC329" t="s">
        <v>74</v>
      </c>
      <c r="BD329" t="s">
        <v>74</v>
      </c>
      <c r="BE329" t="s">
        <v>74</v>
      </c>
      <c r="BF329" t="s">
        <v>74</v>
      </c>
      <c r="BG329" t="s">
        <v>74</v>
      </c>
      <c r="BH329" t="s">
        <v>74</v>
      </c>
      <c r="BI329">
        <v>3</v>
      </c>
      <c r="BJ329" t="s">
        <v>6570</v>
      </c>
      <c r="BK329" t="s">
        <v>4553</v>
      </c>
      <c r="BL329" t="s">
        <v>6571</v>
      </c>
      <c r="BM329" t="s">
        <v>6572</v>
      </c>
      <c r="BN329" t="s">
        <v>74</v>
      </c>
      <c r="BO329" t="s">
        <v>74</v>
      </c>
      <c r="BP329" t="s">
        <v>74</v>
      </c>
      <c r="BQ329" t="s">
        <v>74</v>
      </c>
      <c r="BR329" t="s">
        <v>106</v>
      </c>
      <c r="BS329" t="s">
        <v>6573</v>
      </c>
      <c r="BT329" t="str">
        <f>HYPERLINK("https%3A%2F%2Fwww.webofscience.com%2Fwos%2Fwoscc%2Ffull-record%2FWOS:000672699800340","View Full Record in Web of Science")</f>
        <v>View Full Record in Web of Science</v>
      </c>
    </row>
    <row r="330" spans="1:72" x14ac:dyDescent="0.15">
      <c r="A330" t="s">
        <v>72</v>
      </c>
      <c r="B330" t="s">
        <v>6574</v>
      </c>
      <c r="C330" t="s">
        <v>74</v>
      </c>
      <c r="D330" t="s">
        <v>74</v>
      </c>
      <c r="E330" t="s">
        <v>74</v>
      </c>
      <c r="F330" t="s">
        <v>6575</v>
      </c>
      <c r="G330" t="s">
        <v>74</v>
      </c>
      <c r="H330" t="s">
        <v>74</v>
      </c>
      <c r="I330" t="s">
        <v>6576</v>
      </c>
      <c r="J330" t="s">
        <v>5422</v>
      </c>
      <c r="K330" t="s">
        <v>74</v>
      </c>
      <c r="L330" t="s">
        <v>74</v>
      </c>
      <c r="M330" t="s">
        <v>78</v>
      </c>
      <c r="N330" t="s">
        <v>79</v>
      </c>
      <c r="O330" t="s">
        <v>74</v>
      </c>
      <c r="P330" t="s">
        <v>74</v>
      </c>
      <c r="Q330" t="s">
        <v>74</v>
      </c>
      <c r="R330" t="s">
        <v>74</v>
      </c>
      <c r="S330" t="s">
        <v>74</v>
      </c>
      <c r="T330" t="s">
        <v>6577</v>
      </c>
      <c r="U330" t="s">
        <v>6578</v>
      </c>
      <c r="V330" t="s">
        <v>6579</v>
      </c>
      <c r="W330" t="s">
        <v>6580</v>
      </c>
      <c r="X330" t="s">
        <v>6581</v>
      </c>
      <c r="Y330" t="s">
        <v>6582</v>
      </c>
      <c r="Z330" t="s">
        <v>6583</v>
      </c>
      <c r="AA330" t="s">
        <v>74</v>
      </c>
      <c r="AB330" t="s">
        <v>6584</v>
      </c>
      <c r="AC330" t="s">
        <v>6585</v>
      </c>
      <c r="AD330" t="s">
        <v>6586</v>
      </c>
      <c r="AE330" t="s">
        <v>6587</v>
      </c>
      <c r="AF330" t="s">
        <v>74</v>
      </c>
      <c r="AG330">
        <v>35</v>
      </c>
      <c r="AH330">
        <v>1</v>
      </c>
      <c r="AI330">
        <v>1</v>
      </c>
      <c r="AJ330">
        <v>3</v>
      </c>
      <c r="AK330">
        <v>7</v>
      </c>
      <c r="AL330" t="s">
        <v>5433</v>
      </c>
      <c r="AM330" t="s">
        <v>1184</v>
      </c>
      <c r="AN330" t="s">
        <v>5434</v>
      </c>
      <c r="AO330" t="s">
        <v>5435</v>
      </c>
      <c r="AP330" t="s">
        <v>74</v>
      </c>
      <c r="AQ330" t="s">
        <v>74</v>
      </c>
      <c r="AR330" t="s">
        <v>5436</v>
      </c>
      <c r="AS330" t="s">
        <v>5437</v>
      </c>
      <c r="AT330" t="s">
        <v>74</v>
      </c>
      <c r="AU330">
        <v>2021</v>
      </c>
      <c r="AV330">
        <v>20</v>
      </c>
      <c r="AW330">
        <v>2</v>
      </c>
      <c r="AX330" t="s">
        <v>74</v>
      </c>
      <c r="AY330" t="s">
        <v>74</v>
      </c>
      <c r="AZ330" t="s">
        <v>74</v>
      </c>
      <c r="BA330" t="s">
        <v>74</v>
      </c>
      <c r="BB330">
        <v>1090</v>
      </c>
      <c r="BC330">
        <v>1103</v>
      </c>
      <c r="BD330" t="s">
        <v>74</v>
      </c>
      <c r="BE330" t="s">
        <v>6588</v>
      </c>
      <c r="BF330" t="str">
        <f>HYPERLINK("http://dx.doi.org/10.1137/20M1355483","http://dx.doi.org/10.1137/20M1355483")</f>
        <v>http://dx.doi.org/10.1137/20M1355483</v>
      </c>
      <c r="BG330" t="s">
        <v>74</v>
      </c>
      <c r="BH330" t="s">
        <v>74</v>
      </c>
      <c r="BI330">
        <v>14</v>
      </c>
      <c r="BJ330" t="s">
        <v>5439</v>
      </c>
      <c r="BK330" t="s">
        <v>103</v>
      </c>
      <c r="BL330" t="s">
        <v>5440</v>
      </c>
      <c r="BM330" t="s">
        <v>6589</v>
      </c>
      <c r="BN330" t="s">
        <v>74</v>
      </c>
      <c r="BO330" t="s">
        <v>74</v>
      </c>
      <c r="BP330" t="s">
        <v>74</v>
      </c>
      <c r="BQ330" t="s">
        <v>74</v>
      </c>
      <c r="BR330" t="s">
        <v>106</v>
      </c>
      <c r="BS330" t="s">
        <v>6590</v>
      </c>
      <c r="BT330" t="str">
        <f>HYPERLINK("https%3A%2F%2Fwww.webofscience.com%2Fwos%2Fwoscc%2Ffull-record%2FWOS:000674143200017","View Full Record in Web of Science")</f>
        <v>View Full Record in Web of Science</v>
      </c>
    </row>
    <row r="331" spans="1:72" x14ac:dyDescent="0.15">
      <c r="A331" t="s">
        <v>72</v>
      </c>
      <c r="B331" t="s">
        <v>6591</v>
      </c>
      <c r="C331" t="s">
        <v>74</v>
      </c>
      <c r="D331" t="s">
        <v>74</v>
      </c>
      <c r="E331" t="s">
        <v>74</v>
      </c>
      <c r="F331" t="s">
        <v>6592</v>
      </c>
      <c r="G331" t="s">
        <v>74</v>
      </c>
      <c r="H331" t="s">
        <v>74</v>
      </c>
      <c r="I331" t="s">
        <v>6593</v>
      </c>
      <c r="J331" t="s">
        <v>6268</v>
      </c>
      <c r="K331" t="s">
        <v>74</v>
      </c>
      <c r="L331" t="s">
        <v>74</v>
      </c>
      <c r="M331" t="s">
        <v>78</v>
      </c>
      <c r="N331" t="s">
        <v>79</v>
      </c>
      <c r="O331" t="s">
        <v>74</v>
      </c>
      <c r="P331" t="s">
        <v>74</v>
      </c>
      <c r="Q331" t="s">
        <v>74</v>
      </c>
      <c r="R331" t="s">
        <v>74</v>
      </c>
      <c r="S331" t="s">
        <v>74</v>
      </c>
      <c r="T331" t="s">
        <v>6594</v>
      </c>
      <c r="U331" t="s">
        <v>6595</v>
      </c>
      <c r="V331" t="s">
        <v>6596</v>
      </c>
      <c r="W331" t="s">
        <v>6597</v>
      </c>
      <c r="X331" t="s">
        <v>6598</v>
      </c>
      <c r="Y331" t="s">
        <v>6599</v>
      </c>
      <c r="Z331" t="s">
        <v>6600</v>
      </c>
      <c r="AA331" t="s">
        <v>6601</v>
      </c>
      <c r="AB331" t="s">
        <v>6602</v>
      </c>
      <c r="AC331" t="s">
        <v>6603</v>
      </c>
      <c r="AD331" t="s">
        <v>6604</v>
      </c>
      <c r="AE331" t="s">
        <v>6605</v>
      </c>
      <c r="AF331" t="s">
        <v>74</v>
      </c>
      <c r="AG331">
        <v>31</v>
      </c>
      <c r="AH331">
        <v>3</v>
      </c>
      <c r="AI331">
        <v>3</v>
      </c>
      <c r="AJ331">
        <v>1</v>
      </c>
      <c r="AK331">
        <v>2</v>
      </c>
      <c r="AL331" t="s">
        <v>5433</v>
      </c>
      <c r="AM331" t="s">
        <v>1184</v>
      </c>
      <c r="AN331" t="s">
        <v>5434</v>
      </c>
      <c r="AO331" t="s">
        <v>6281</v>
      </c>
      <c r="AP331" t="s">
        <v>6282</v>
      </c>
      <c r="AQ331" t="s">
        <v>74</v>
      </c>
      <c r="AR331" t="s">
        <v>6283</v>
      </c>
      <c r="AS331" t="s">
        <v>6284</v>
      </c>
      <c r="AT331" t="s">
        <v>74</v>
      </c>
      <c r="AU331">
        <v>2021</v>
      </c>
      <c r="AV331">
        <v>81</v>
      </c>
      <c r="AW331">
        <v>3</v>
      </c>
      <c r="AX331" t="s">
        <v>74</v>
      </c>
      <c r="AY331" t="s">
        <v>74</v>
      </c>
      <c r="AZ331" t="s">
        <v>74</v>
      </c>
      <c r="BA331" t="s">
        <v>74</v>
      </c>
      <c r="BB331">
        <v>834</v>
      </c>
      <c r="BC331">
        <v>852</v>
      </c>
      <c r="BD331" t="s">
        <v>74</v>
      </c>
      <c r="BE331" t="s">
        <v>6606</v>
      </c>
      <c r="BF331" t="str">
        <f>HYPERLINK("http://dx.doi.org/10.1137/20M1386979","http://dx.doi.org/10.1137/20M1386979")</f>
        <v>http://dx.doi.org/10.1137/20M1386979</v>
      </c>
      <c r="BG331" t="s">
        <v>74</v>
      </c>
      <c r="BH331" t="s">
        <v>74</v>
      </c>
      <c r="BI331">
        <v>19</v>
      </c>
      <c r="BJ331" t="s">
        <v>6286</v>
      </c>
      <c r="BK331" t="s">
        <v>103</v>
      </c>
      <c r="BL331" t="s">
        <v>1193</v>
      </c>
      <c r="BM331" t="s">
        <v>6607</v>
      </c>
      <c r="BN331" t="s">
        <v>74</v>
      </c>
      <c r="BO331" t="s">
        <v>74</v>
      </c>
      <c r="BP331" t="s">
        <v>74</v>
      </c>
      <c r="BQ331" t="s">
        <v>74</v>
      </c>
      <c r="BR331" t="s">
        <v>106</v>
      </c>
      <c r="BS331" t="s">
        <v>6608</v>
      </c>
      <c r="BT331" t="str">
        <f>HYPERLINK("https%3A%2F%2Fwww.webofscience.com%2Fwos%2Fwoscc%2Ffull-record%2FWOS:000674268900005","View Full Record in Web of Science")</f>
        <v>View Full Record in Web of Science</v>
      </c>
    </row>
    <row r="332" spans="1:72" x14ac:dyDescent="0.15">
      <c r="A332" t="s">
        <v>72</v>
      </c>
      <c r="B332" t="s">
        <v>6609</v>
      </c>
      <c r="C332" t="s">
        <v>74</v>
      </c>
      <c r="D332" t="s">
        <v>74</v>
      </c>
      <c r="E332" t="s">
        <v>74</v>
      </c>
      <c r="F332" t="s">
        <v>6610</v>
      </c>
      <c r="G332" t="s">
        <v>74</v>
      </c>
      <c r="H332" t="s">
        <v>74</v>
      </c>
      <c r="I332" t="s">
        <v>6611</v>
      </c>
      <c r="J332" t="s">
        <v>5346</v>
      </c>
      <c r="K332" t="s">
        <v>74</v>
      </c>
      <c r="L332" t="s">
        <v>74</v>
      </c>
      <c r="M332" t="s">
        <v>5347</v>
      </c>
      <c r="N332" t="s">
        <v>79</v>
      </c>
      <c r="O332" t="s">
        <v>74</v>
      </c>
      <c r="P332" t="s">
        <v>74</v>
      </c>
      <c r="Q332" t="s">
        <v>74</v>
      </c>
      <c r="R332" t="s">
        <v>74</v>
      </c>
      <c r="S332" t="s">
        <v>74</v>
      </c>
      <c r="T332" t="s">
        <v>6612</v>
      </c>
      <c r="U332" t="s">
        <v>6613</v>
      </c>
      <c r="V332" t="s">
        <v>6614</v>
      </c>
      <c r="W332" t="s">
        <v>6615</v>
      </c>
      <c r="X332" t="s">
        <v>6616</v>
      </c>
      <c r="Y332" t="s">
        <v>6617</v>
      </c>
      <c r="Z332" t="s">
        <v>6618</v>
      </c>
      <c r="AA332" t="s">
        <v>6619</v>
      </c>
      <c r="AB332" t="s">
        <v>6620</v>
      </c>
      <c r="AC332" t="s">
        <v>74</v>
      </c>
      <c r="AD332" t="s">
        <v>74</v>
      </c>
      <c r="AE332" t="s">
        <v>74</v>
      </c>
      <c r="AF332" t="s">
        <v>74</v>
      </c>
      <c r="AG332">
        <v>53</v>
      </c>
      <c r="AH332">
        <v>1</v>
      </c>
      <c r="AI332">
        <v>2</v>
      </c>
      <c r="AJ332">
        <v>3</v>
      </c>
      <c r="AK332">
        <v>27</v>
      </c>
      <c r="AL332" t="s">
        <v>1096</v>
      </c>
      <c r="AM332" t="s">
        <v>5357</v>
      </c>
      <c r="AN332" t="s">
        <v>5358</v>
      </c>
      <c r="AO332" t="s">
        <v>5359</v>
      </c>
      <c r="AP332" t="s">
        <v>5360</v>
      </c>
      <c r="AQ332" t="s">
        <v>74</v>
      </c>
      <c r="AR332" t="s">
        <v>5361</v>
      </c>
      <c r="AS332" t="s">
        <v>5362</v>
      </c>
      <c r="AT332" t="s">
        <v>74</v>
      </c>
      <c r="AU332">
        <v>2021</v>
      </c>
      <c r="AV332">
        <v>66</v>
      </c>
      <c r="AW332">
        <v>21</v>
      </c>
      <c r="AX332" t="s">
        <v>74</v>
      </c>
      <c r="AY332" t="s">
        <v>74</v>
      </c>
      <c r="AZ332" t="s">
        <v>74</v>
      </c>
      <c r="BA332" t="s">
        <v>74</v>
      </c>
      <c r="BB332">
        <v>2663</v>
      </c>
      <c r="BC332">
        <v>2670</v>
      </c>
      <c r="BD332" t="s">
        <v>74</v>
      </c>
      <c r="BE332" t="s">
        <v>6621</v>
      </c>
      <c r="BF332" t="str">
        <f>HYPERLINK("http://dx.doi.org/10.1360/TB-2020-1151","http://dx.doi.org/10.1360/TB-2020-1151")</f>
        <v>http://dx.doi.org/10.1360/TB-2020-1151</v>
      </c>
      <c r="BG332" t="s">
        <v>74</v>
      </c>
      <c r="BH332" t="s">
        <v>74</v>
      </c>
      <c r="BI332">
        <v>8</v>
      </c>
      <c r="BJ332" t="s">
        <v>534</v>
      </c>
      <c r="BK332" t="s">
        <v>3050</v>
      </c>
      <c r="BL332" t="s">
        <v>535</v>
      </c>
      <c r="BM332" t="s">
        <v>6622</v>
      </c>
      <c r="BN332" t="s">
        <v>74</v>
      </c>
      <c r="BO332" t="s">
        <v>74</v>
      </c>
      <c r="BP332" t="s">
        <v>74</v>
      </c>
      <c r="BQ332" t="s">
        <v>74</v>
      </c>
      <c r="BR332" t="s">
        <v>106</v>
      </c>
      <c r="BS332" t="s">
        <v>6623</v>
      </c>
      <c r="BT332" t="str">
        <f>HYPERLINK("https%3A%2F%2Fwww.webofscience.com%2Fwos%2Fwoscc%2Ffull-record%2FWOS:000678834200003","View Full Record in Web of Science")</f>
        <v>View Full Record in Web of Science</v>
      </c>
    </row>
    <row r="333" spans="1:72" x14ac:dyDescent="0.15">
      <c r="A333" t="s">
        <v>72</v>
      </c>
      <c r="B333" t="s">
        <v>6624</v>
      </c>
      <c r="C333" t="s">
        <v>74</v>
      </c>
      <c r="D333" t="s">
        <v>74</v>
      </c>
      <c r="E333" t="s">
        <v>74</v>
      </c>
      <c r="F333" t="s">
        <v>6625</v>
      </c>
      <c r="G333" t="s">
        <v>74</v>
      </c>
      <c r="H333" t="s">
        <v>74</v>
      </c>
      <c r="I333" t="s">
        <v>6626</v>
      </c>
      <c r="J333" t="s">
        <v>6627</v>
      </c>
      <c r="K333" t="s">
        <v>74</v>
      </c>
      <c r="L333" t="s">
        <v>74</v>
      </c>
      <c r="M333" t="s">
        <v>78</v>
      </c>
      <c r="N333" t="s">
        <v>79</v>
      </c>
      <c r="O333" t="s">
        <v>74</v>
      </c>
      <c r="P333" t="s">
        <v>74</v>
      </c>
      <c r="Q333" t="s">
        <v>74</v>
      </c>
      <c r="R333" t="s">
        <v>74</v>
      </c>
      <c r="S333" t="s">
        <v>74</v>
      </c>
      <c r="T333" t="s">
        <v>6628</v>
      </c>
      <c r="U333" t="s">
        <v>6629</v>
      </c>
      <c r="V333" t="s">
        <v>6630</v>
      </c>
      <c r="W333" t="s">
        <v>6631</v>
      </c>
      <c r="X333" t="s">
        <v>5477</v>
      </c>
      <c r="Y333" t="s">
        <v>6632</v>
      </c>
      <c r="Z333" t="s">
        <v>6633</v>
      </c>
      <c r="AA333" t="s">
        <v>6634</v>
      </c>
      <c r="AB333" t="s">
        <v>74</v>
      </c>
      <c r="AC333" t="s">
        <v>74</v>
      </c>
      <c r="AD333" t="s">
        <v>74</v>
      </c>
      <c r="AE333" t="s">
        <v>74</v>
      </c>
      <c r="AF333" t="s">
        <v>74</v>
      </c>
      <c r="AG333">
        <v>25</v>
      </c>
      <c r="AH333">
        <v>0</v>
      </c>
      <c r="AI333">
        <v>0</v>
      </c>
      <c r="AJ333">
        <v>0</v>
      </c>
      <c r="AK333">
        <v>1</v>
      </c>
      <c r="AL333" t="s">
        <v>6635</v>
      </c>
      <c r="AM333" t="s">
        <v>473</v>
      </c>
      <c r="AN333" t="s">
        <v>6636</v>
      </c>
      <c r="AO333" t="s">
        <v>6637</v>
      </c>
      <c r="AP333" t="s">
        <v>6638</v>
      </c>
      <c r="AQ333" t="s">
        <v>74</v>
      </c>
      <c r="AR333" t="s">
        <v>6639</v>
      </c>
      <c r="AS333" t="s">
        <v>6640</v>
      </c>
      <c r="AT333" t="s">
        <v>374</v>
      </c>
      <c r="AU333">
        <v>2021</v>
      </c>
      <c r="AV333">
        <v>46</v>
      </c>
      <c r="AW333">
        <v>3</v>
      </c>
      <c r="AX333" t="s">
        <v>74</v>
      </c>
      <c r="AY333" t="s">
        <v>74</v>
      </c>
      <c r="AZ333" t="s">
        <v>74</v>
      </c>
      <c r="BA333" t="s">
        <v>74</v>
      </c>
      <c r="BB333">
        <v>139</v>
      </c>
      <c r="BC333">
        <v>149</v>
      </c>
      <c r="BD333" t="s">
        <v>74</v>
      </c>
      <c r="BE333" t="s">
        <v>6641</v>
      </c>
      <c r="BF333" t="str">
        <f>HYPERLINK("http://dx.doi.org/10.3103/S1068373921030018","http://dx.doi.org/10.3103/S1068373921030018")</f>
        <v>http://dx.doi.org/10.3103/S1068373921030018</v>
      </c>
      <c r="BG333" t="s">
        <v>74</v>
      </c>
      <c r="BH333" t="s">
        <v>74</v>
      </c>
      <c r="BI333">
        <v>11</v>
      </c>
      <c r="BJ333" t="s">
        <v>687</v>
      </c>
      <c r="BK333" t="s">
        <v>103</v>
      </c>
      <c r="BL333" t="s">
        <v>687</v>
      </c>
      <c r="BM333" t="s">
        <v>6642</v>
      </c>
      <c r="BN333" t="s">
        <v>74</v>
      </c>
      <c r="BO333" t="s">
        <v>74</v>
      </c>
      <c r="BP333" t="s">
        <v>74</v>
      </c>
      <c r="BQ333" t="s">
        <v>74</v>
      </c>
      <c r="BR333" t="s">
        <v>106</v>
      </c>
      <c r="BS333" t="s">
        <v>6643</v>
      </c>
      <c r="BT333" t="str">
        <f>HYPERLINK("https%3A%2F%2Fwww.webofscience.com%2Fwos%2Fwoscc%2Ffull-record%2FWOS:000679328300001","View Full Record in Web of Science")</f>
        <v>View Full Record in Web of Science</v>
      </c>
    </row>
    <row r="334" spans="1:72" x14ac:dyDescent="0.15">
      <c r="A334" t="s">
        <v>72</v>
      </c>
      <c r="B334" t="s">
        <v>6644</v>
      </c>
      <c r="C334" t="s">
        <v>74</v>
      </c>
      <c r="D334" t="s">
        <v>74</v>
      </c>
      <c r="E334" t="s">
        <v>74</v>
      </c>
      <c r="F334" t="s">
        <v>6645</v>
      </c>
      <c r="G334" t="s">
        <v>74</v>
      </c>
      <c r="H334" t="s">
        <v>74</v>
      </c>
      <c r="I334" t="s">
        <v>6646</v>
      </c>
      <c r="J334" t="s">
        <v>6627</v>
      </c>
      <c r="K334" t="s">
        <v>74</v>
      </c>
      <c r="L334" t="s">
        <v>74</v>
      </c>
      <c r="M334" t="s">
        <v>78</v>
      </c>
      <c r="N334" t="s">
        <v>79</v>
      </c>
      <c r="O334" t="s">
        <v>74</v>
      </c>
      <c r="P334" t="s">
        <v>74</v>
      </c>
      <c r="Q334" t="s">
        <v>74</v>
      </c>
      <c r="R334" t="s">
        <v>74</v>
      </c>
      <c r="S334" t="s">
        <v>74</v>
      </c>
      <c r="T334" t="s">
        <v>6647</v>
      </c>
      <c r="U334" t="s">
        <v>6648</v>
      </c>
      <c r="V334" t="s">
        <v>6649</v>
      </c>
      <c r="W334" t="s">
        <v>6650</v>
      </c>
      <c r="X334" t="s">
        <v>5477</v>
      </c>
      <c r="Y334" t="s">
        <v>6651</v>
      </c>
      <c r="Z334" t="s">
        <v>6652</v>
      </c>
      <c r="AA334" t="s">
        <v>74</v>
      </c>
      <c r="AB334" t="s">
        <v>74</v>
      </c>
      <c r="AC334" t="s">
        <v>6653</v>
      </c>
      <c r="AD334" t="s">
        <v>5458</v>
      </c>
      <c r="AE334" t="s">
        <v>6654</v>
      </c>
      <c r="AF334" t="s">
        <v>74</v>
      </c>
      <c r="AG334">
        <v>35</v>
      </c>
      <c r="AH334">
        <v>1</v>
      </c>
      <c r="AI334">
        <v>1</v>
      </c>
      <c r="AJ334">
        <v>0</v>
      </c>
      <c r="AK334">
        <v>1</v>
      </c>
      <c r="AL334" t="s">
        <v>6635</v>
      </c>
      <c r="AM334" t="s">
        <v>473</v>
      </c>
      <c r="AN334" t="s">
        <v>6636</v>
      </c>
      <c r="AO334" t="s">
        <v>6637</v>
      </c>
      <c r="AP334" t="s">
        <v>6638</v>
      </c>
      <c r="AQ334" t="s">
        <v>74</v>
      </c>
      <c r="AR334" t="s">
        <v>6639</v>
      </c>
      <c r="AS334" t="s">
        <v>6640</v>
      </c>
      <c r="AT334" t="s">
        <v>374</v>
      </c>
      <c r="AU334">
        <v>2021</v>
      </c>
      <c r="AV334">
        <v>46</v>
      </c>
      <c r="AW334">
        <v>3</v>
      </c>
      <c r="AX334" t="s">
        <v>74</v>
      </c>
      <c r="AY334" t="s">
        <v>74</v>
      </c>
      <c r="AZ334" t="s">
        <v>74</v>
      </c>
      <c r="BA334" t="s">
        <v>74</v>
      </c>
      <c r="BB334">
        <v>194</v>
      </c>
      <c r="BC334">
        <v>199</v>
      </c>
      <c r="BD334" t="s">
        <v>74</v>
      </c>
      <c r="BE334" t="s">
        <v>6655</v>
      </c>
      <c r="BF334" t="str">
        <f>HYPERLINK("http://dx.doi.org/10.3103/S1068373921030080","http://dx.doi.org/10.3103/S1068373921030080")</f>
        <v>http://dx.doi.org/10.3103/S1068373921030080</v>
      </c>
      <c r="BG334" t="s">
        <v>74</v>
      </c>
      <c r="BH334" t="s">
        <v>74</v>
      </c>
      <c r="BI334">
        <v>6</v>
      </c>
      <c r="BJ334" t="s">
        <v>687</v>
      </c>
      <c r="BK334" t="s">
        <v>103</v>
      </c>
      <c r="BL334" t="s">
        <v>687</v>
      </c>
      <c r="BM334" t="s">
        <v>6642</v>
      </c>
      <c r="BN334" t="s">
        <v>74</v>
      </c>
      <c r="BO334" t="s">
        <v>74</v>
      </c>
      <c r="BP334" t="s">
        <v>74</v>
      </c>
      <c r="BQ334" t="s">
        <v>74</v>
      </c>
      <c r="BR334" t="s">
        <v>106</v>
      </c>
      <c r="BS334" t="s">
        <v>6656</v>
      </c>
      <c r="BT334" t="str">
        <f>HYPERLINK("https%3A%2F%2Fwww.webofscience.com%2Fwos%2Fwoscc%2Ffull-record%2FWOS:000679328300008","View Full Record in Web of Science")</f>
        <v>View Full Record in Web of Science</v>
      </c>
    </row>
    <row r="335" spans="1:72" x14ac:dyDescent="0.15">
      <c r="A335" t="s">
        <v>72</v>
      </c>
      <c r="B335" t="s">
        <v>6657</v>
      </c>
      <c r="C335" t="s">
        <v>74</v>
      </c>
      <c r="D335" t="s">
        <v>74</v>
      </c>
      <c r="E335" t="s">
        <v>74</v>
      </c>
      <c r="F335" t="s">
        <v>6658</v>
      </c>
      <c r="G335" t="s">
        <v>74</v>
      </c>
      <c r="H335" t="s">
        <v>74</v>
      </c>
      <c r="I335" t="s">
        <v>6659</v>
      </c>
      <c r="J335" t="s">
        <v>6627</v>
      </c>
      <c r="K335" t="s">
        <v>74</v>
      </c>
      <c r="L335" t="s">
        <v>74</v>
      </c>
      <c r="M335" t="s">
        <v>78</v>
      </c>
      <c r="N335" t="s">
        <v>79</v>
      </c>
      <c r="O335" t="s">
        <v>74</v>
      </c>
      <c r="P335" t="s">
        <v>74</v>
      </c>
      <c r="Q335" t="s">
        <v>74</v>
      </c>
      <c r="R335" t="s">
        <v>74</v>
      </c>
      <c r="S335" t="s">
        <v>74</v>
      </c>
      <c r="T335" t="s">
        <v>6660</v>
      </c>
      <c r="U335" t="s">
        <v>74</v>
      </c>
      <c r="V335" t="s">
        <v>6661</v>
      </c>
      <c r="W335" t="s">
        <v>6662</v>
      </c>
      <c r="X335" t="s">
        <v>5477</v>
      </c>
      <c r="Y335" t="s">
        <v>6663</v>
      </c>
      <c r="Z335" t="s">
        <v>6664</v>
      </c>
      <c r="AA335" t="s">
        <v>74</v>
      </c>
      <c r="AB335" t="s">
        <v>74</v>
      </c>
      <c r="AC335" t="s">
        <v>74</v>
      </c>
      <c r="AD335" t="s">
        <v>74</v>
      </c>
      <c r="AE335" t="s">
        <v>74</v>
      </c>
      <c r="AF335" t="s">
        <v>74</v>
      </c>
      <c r="AG335">
        <v>12</v>
      </c>
      <c r="AH335">
        <v>1</v>
      </c>
      <c r="AI335">
        <v>1</v>
      </c>
      <c r="AJ335">
        <v>0</v>
      </c>
      <c r="AK335">
        <v>6</v>
      </c>
      <c r="AL335" t="s">
        <v>6635</v>
      </c>
      <c r="AM335" t="s">
        <v>473</v>
      </c>
      <c r="AN335" t="s">
        <v>6636</v>
      </c>
      <c r="AO335" t="s">
        <v>6637</v>
      </c>
      <c r="AP335" t="s">
        <v>6638</v>
      </c>
      <c r="AQ335" t="s">
        <v>74</v>
      </c>
      <c r="AR335" t="s">
        <v>6639</v>
      </c>
      <c r="AS335" t="s">
        <v>6640</v>
      </c>
      <c r="AT335" t="s">
        <v>374</v>
      </c>
      <c r="AU335">
        <v>2021</v>
      </c>
      <c r="AV335">
        <v>46</v>
      </c>
      <c r="AW335">
        <v>3</v>
      </c>
      <c r="AX335" t="s">
        <v>74</v>
      </c>
      <c r="AY335" t="s">
        <v>74</v>
      </c>
      <c r="AZ335" t="s">
        <v>74</v>
      </c>
      <c r="BA335" t="s">
        <v>74</v>
      </c>
      <c r="BB335">
        <v>212</v>
      </c>
      <c r="BC335">
        <v>216</v>
      </c>
      <c r="BD335" t="s">
        <v>74</v>
      </c>
      <c r="BE335" t="s">
        <v>6665</v>
      </c>
      <c r="BF335" t="str">
        <f>HYPERLINK("http://dx.doi.org/10.3103/S1068373921030110","http://dx.doi.org/10.3103/S1068373921030110")</f>
        <v>http://dx.doi.org/10.3103/S1068373921030110</v>
      </c>
      <c r="BG335" t="s">
        <v>74</v>
      </c>
      <c r="BH335" t="s">
        <v>74</v>
      </c>
      <c r="BI335">
        <v>5</v>
      </c>
      <c r="BJ335" t="s">
        <v>687</v>
      </c>
      <c r="BK335" t="s">
        <v>103</v>
      </c>
      <c r="BL335" t="s">
        <v>687</v>
      </c>
      <c r="BM335" t="s">
        <v>6642</v>
      </c>
      <c r="BN335" t="s">
        <v>74</v>
      </c>
      <c r="BO335" t="s">
        <v>74</v>
      </c>
      <c r="BP335" t="s">
        <v>74</v>
      </c>
      <c r="BQ335" t="s">
        <v>74</v>
      </c>
      <c r="BR335" t="s">
        <v>106</v>
      </c>
      <c r="BS335" t="s">
        <v>6666</v>
      </c>
      <c r="BT335" t="str">
        <f>HYPERLINK("https%3A%2F%2Fwww.webofscience.com%2Fwos%2Fwoscc%2Ffull-record%2FWOS:000679328300011","View Full Record in Web of Science")</f>
        <v>View Full Record in Web of Science</v>
      </c>
    </row>
    <row r="336" spans="1:72" x14ac:dyDescent="0.15">
      <c r="A336" t="s">
        <v>72</v>
      </c>
      <c r="B336" t="s">
        <v>6667</v>
      </c>
      <c r="C336" t="s">
        <v>74</v>
      </c>
      <c r="D336" t="s">
        <v>74</v>
      </c>
      <c r="E336" t="s">
        <v>74</v>
      </c>
      <c r="F336" t="s">
        <v>6668</v>
      </c>
      <c r="G336" t="s">
        <v>74</v>
      </c>
      <c r="H336" t="s">
        <v>74</v>
      </c>
      <c r="I336" t="s">
        <v>6669</v>
      </c>
      <c r="J336" t="s">
        <v>6670</v>
      </c>
      <c r="K336" t="s">
        <v>74</v>
      </c>
      <c r="L336" t="s">
        <v>74</v>
      </c>
      <c r="M336" t="s">
        <v>4693</v>
      </c>
      <c r="N336" t="s">
        <v>79</v>
      </c>
      <c r="O336" t="s">
        <v>74</v>
      </c>
      <c r="P336" t="s">
        <v>74</v>
      </c>
      <c r="Q336" t="s">
        <v>74</v>
      </c>
      <c r="R336" t="s">
        <v>74</v>
      </c>
      <c r="S336" t="s">
        <v>74</v>
      </c>
      <c r="T336" t="s">
        <v>74</v>
      </c>
      <c r="U336" t="s">
        <v>74</v>
      </c>
      <c r="V336" t="s">
        <v>6671</v>
      </c>
      <c r="W336" t="s">
        <v>6672</v>
      </c>
      <c r="X336" t="s">
        <v>6673</v>
      </c>
      <c r="Y336" t="s">
        <v>6674</v>
      </c>
      <c r="Z336" t="s">
        <v>6675</v>
      </c>
      <c r="AA336" t="s">
        <v>74</v>
      </c>
      <c r="AB336" t="s">
        <v>74</v>
      </c>
      <c r="AC336" t="s">
        <v>74</v>
      </c>
      <c r="AD336" t="s">
        <v>74</v>
      </c>
      <c r="AE336" t="s">
        <v>74</v>
      </c>
      <c r="AF336" t="s">
        <v>74</v>
      </c>
      <c r="AG336">
        <v>44</v>
      </c>
      <c r="AH336">
        <v>0</v>
      </c>
      <c r="AI336">
        <v>0</v>
      </c>
      <c r="AJ336">
        <v>0</v>
      </c>
      <c r="AK336">
        <v>0</v>
      </c>
      <c r="AL336" t="s">
        <v>6676</v>
      </c>
      <c r="AM336" t="s">
        <v>6677</v>
      </c>
      <c r="AN336" t="s">
        <v>6678</v>
      </c>
      <c r="AO336" t="s">
        <v>6679</v>
      </c>
      <c r="AP336" t="s">
        <v>6680</v>
      </c>
      <c r="AQ336" t="s">
        <v>74</v>
      </c>
      <c r="AR336" t="s">
        <v>6670</v>
      </c>
      <c r="AS336" t="s">
        <v>6681</v>
      </c>
      <c r="AT336" t="s">
        <v>74</v>
      </c>
      <c r="AU336">
        <v>2021</v>
      </c>
      <c r="AV336">
        <v>22</v>
      </c>
      <c r="AW336">
        <v>1</v>
      </c>
      <c r="AX336" t="s">
        <v>74</v>
      </c>
      <c r="AY336" t="s">
        <v>74</v>
      </c>
      <c r="AZ336" t="s">
        <v>74</v>
      </c>
      <c r="BA336" t="s">
        <v>74</v>
      </c>
      <c r="BB336">
        <v>143</v>
      </c>
      <c r="BC336">
        <v>168</v>
      </c>
      <c r="BD336" t="s">
        <v>74</v>
      </c>
      <c r="BE336" t="s">
        <v>74</v>
      </c>
      <c r="BF336" t="s">
        <v>74</v>
      </c>
      <c r="BG336" t="s">
        <v>74</v>
      </c>
      <c r="BH336" t="s">
        <v>74</v>
      </c>
      <c r="BI336">
        <v>26</v>
      </c>
      <c r="BJ336" t="s">
        <v>6682</v>
      </c>
      <c r="BK336" t="s">
        <v>4339</v>
      </c>
      <c r="BL336" t="s">
        <v>6683</v>
      </c>
      <c r="BM336" t="s">
        <v>6684</v>
      </c>
      <c r="BN336" t="s">
        <v>74</v>
      </c>
      <c r="BO336" t="s">
        <v>74</v>
      </c>
      <c r="BP336" t="s">
        <v>74</v>
      </c>
      <c r="BQ336" t="s">
        <v>74</v>
      </c>
      <c r="BR336" t="s">
        <v>106</v>
      </c>
      <c r="BS336" t="s">
        <v>6685</v>
      </c>
      <c r="BT336" t="str">
        <f>HYPERLINK("https%3A%2F%2Fwww.webofscience.com%2Fwos%2Fwoscc%2Ffull-record%2FWOS:000669650900009","View Full Record in Web of Science")</f>
        <v>View Full Record in Web of Science</v>
      </c>
    </row>
    <row r="337" spans="1:72" x14ac:dyDescent="0.15">
      <c r="A337" t="s">
        <v>4589</v>
      </c>
      <c r="B337" t="s">
        <v>6686</v>
      </c>
      <c r="C337" t="s">
        <v>74</v>
      </c>
      <c r="D337" t="s">
        <v>6687</v>
      </c>
      <c r="E337" t="s">
        <v>74</v>
      </c>
      <c r="F337" t="s">
        <v>6688</v>
      </c>
      <c r="G337" t="s">
        <v>74</v>
      </c>
      <c r="H337" t="s">
        <v>74</v>
      </c>
      <c r="I337" t="s">
        <v>6689</v>
      </c>
      <c r="J337" t="s">
        <v>6690</v>
      </c>
      <c r="K337" t="s">
        <v>6691</v>
      </c>
      <c r="L337" t="s">
        <v>74</v>
      </c>
      <c r="M337" t="s">
        <v>78</v>
      </c>
      <c r="N337" t="s">
        <v>6692</v>
      </c>
      <c r="O337" t="s">
        <v>74</v>
      </c>
      <c r="P337" t="s">
        <v>74</v>
      </c>
      <c r="Q337" t="s">
        <v>74</v>
      </c>
      <c r="R337" t="s">
        <v>74</v>
      </c>
      <c r="S337" t="s">
        <v>74</v>
      </c>
      <c r="T337" t="s">
        <v>6693</v>
      </c>
      <c r="U337" t="s">
        <v>6694</v>
      </c>
      <c r="V337" t="s">
        <v>6695</v>
      </c>
      <c r="W337" t="s">
        <v>6696</v>
      </c>
      <c r="X337" t="s">
        <v>6697</v>
      </c>
      <c r="Y337" t="s">
        <v>6698</v>
      </c>
      <c r="Z337" t="s">
        <v>6699</v>
      </c>
      <c r="AA337" t="s">
        <v>6700</v>
      </c>
      <c r="AB337" t="s">
        <v>6701</v>
      </c>
      <c r="AC337" t="s">
        <v>6702</v>
      </c>
      <c r="AD337" t="s">
        <v>6703</v>
      </c>
      <c r="AE337" t="s">
        <v>6704</v>
      </c>
      <c r="AF337" t="s">
        <v>74</v>
      </c>
      <c r="AG337">
        <v>146</v>
      </c>
      <c r="AH337">
        <v>31</v>
      </c>
      <c r="AI337">
        <v>34</v>
      </c>
      <c r="AJ337">
        <v>45</v>
      </c>
      <c r="AK337">
        <v>227</v>
      </c>
      <c r="AL337" t="s">
        <v>6705</v>
      </c>
      <c r="AM337" t="s">
        <v>6706</v>
      </c>
      <c r="AN337" t="s">
        <v>6707</v>
      </c>
      <c r="AO337" t="s">
        <v>6708</v>
      </c>
      <c r="AP337" t="s">
        <v>6709</v>
      </c>
      <c r="AQ337" t="s">
        <v>6710</v>
      </c>
      <c r="AR337" t="s">
        <v>6711</v>
      </c>
      <c r="AS337" t="s">
        <v>6712</v>
      </c>
      <c r="AT337" t="s">
        <v>74</v>
      </c>
      <c r="AU337">
        <v>2021</v>
      </c>
      <c r="AV337">
        <v>49</v>
      </c>
      <c r="AW337" t="s">
        <v>74</v>
      </c>
      <c r="AX337" t="s">
        <v>74</v>
      </c>
      <c r="AY337" t="s">
        <v>74</v>
      </c>
      <c r="AZ337" t="s">
        <v>74</v>
      </c>
      <c r="BA337" t="s">
        <v>74</v>
      </c>
      <c r="BB337">
        <v>523</v>
      </c>
      <c r="BC337">
        <v>550</v>
      </c>
      <c r="BD337" t="s">
        <v>74</v>
      </c>
      <c r="BE337" t="s">
        <v>6713</v>
      </c>
      <c r="BF337" t="str">
        <f>HYPERLINK("http://dx.doi.org/10.1146/annurev-earth-083120-052147","http://dx.doi.org/10.1146/annurev-earth-083120-052147")</f>
        <v>http://dx.doi.org/10.1146/annurev-earth-083120-052147</v>
      </c>
      <c r="BG337" t="s">
        <v>6714</v>
      </c>
      <c r="BH337" t="s">
        <v>74</v>
      </c>
      <c r="BI337">
        <v>28</v>
      </c>
      <c r="BJ337" t="s">
        <v>6715</v>
      </c>
      <c r="BK337" t="s">
        <v>6716</v>
      </c>
      <c r="BL337" t="s">
        <v>6717</v>
      </c>
      <c r="BM337" t="s">
        <v>6718</v>
      </c>
      <c r="BN337" t="s">
        <v>74</v>
      </c>
      <c r="BO337" t="s">
        <v>3283</v>
      </c>
      <c r="BP337" t="s">
        <v>74</v>
      </c>
      <c r="BQ337" t="s">
        <v>74</v>
      </c>
      <c r="BR337" t="s">
        <v>106</v>
      </c>
      <c r="BS337" t="s">
        <v>6719</v>
      </c>
      <c r="BT337" t="str">
        <f>HYPERLINK("https%3A%2F%2Fwww.webofscience.com%2Fwos%2Fwoscc%2Ffull-record%2FWOS:000661535000021","View Full Record in Web of Science")</f>
        <v>View Full Record in Web of Science</v>
      </c>
    </row>
    <row r="338" spans="1:72" x14ac:dyDescent="0.15">
      <c r="A338" t="s">
        <v>72</v>
      </c>
      <c r="B338" t="s">
        <v>6720</v>
      </c>
      <c r="C338" t="s">
        <v>74</v>
      </c>
      <c r="D338" t="s">
        <v>74</v>
      </c>
      <c r="E338" t="s">
        <v>74</v>
      </c>
      <c r="F338" t="s">
        <v>6721</v>
      </c>
      <c r="G338" t="s">
        <v>74</v>
      </c>
      <c r="H338" t="s">
        <v>74</v>
      </c>
      <c r="I338" t="s">
        <v>6722</v>
      </c>
      <c r="J338" t="s">
        <v>6723</v>
      </c>
      <c r="K338" t="s">
        <v>74</v>
      </c>
      <c r="L338" t="s">
        <v>74</v>
      </c>
      <c r="M338" t="s">
        <v>4967</v>
      </c>
      <c r="N338" t="s">
        <v>79</v>
      </c>
      <c r="O338" t="s">
        <v>74</v>
      </c>
      <c r="P338" t="s">
        <v>74</v>
      </c>
      <c r="Q338" t="s">
        <v>74</v>
      </c>
      <c r="R338" t="s">
        <v>74</v>
      </c>
      <c r="S338" t="s">
        <v>74</v>
      </c>
      <c r="T338" t="s">
        <v>6724</v>
      </c>
      <c r="U338" t="s">
        <v>6725</v>
      </c>
      <c r="V338" t="s">
        <v>6726</v>
      </c>
      <c r="W338" t="s">
        <v>6727</v>
      </c>
      <c r="X338" t="s">
        <v>6728</v>
      </c>
      <c r="Y338" t="s">
        <v>6729</v>
      </c>
      <c r="Z338" t="s">
        <v>6730</v>
      </c>
      <c r="AA338" t="s">
        <v>6731</v>
      </c>
      <c r="AB338" t="s">
        <v>6732</v>
      </c>
      <c r="AC338" t="s">
        <v>74</v>
      </c>
      <c r="AD338" t="s">
        <v>74</v>
      </c>
      <c r="AE338" t="s">
        <v>74</v>
      </c>
      <c r="AF338" t="s">
        <v>74</v>
      </c>
      <c r="AG338">
        <v>16</v>
      </c>
      <c r="AH338">
        <v>0</v>
      </c>
      <c r="AI338">
        <v>0</v>
      </c>
      <c r="AJ338">
        <v>2</v>
      </c>
      <c r="AK338">
        <v>2</v>
      </c>
      <c r="AL338" t="s">
        <v>6733</v>
      </c>
      <c r="AM338" t="s">
        <v>5039</v>
      </c>
      <c r="AN338" t="s">
        <v>6734</v>
      </c>
      <c r="AO338" t="s">
        <v>6735</v>
      </c>
      <c r="AP338" t="s">
        <v>6736</v>
      </c>
      <c r="AQ338" t="s">
        <v>74</v>
      </c>
      <c r="AR338" t="s">
        <v>6737</v>
      </c>
      <c r="AS338" t="s">
        <v>6738</v>
      </c>
      <c r="AT338" t="s">
        <v>74</v>
      </c>
      <c r="AU338">
        <v>2021</v>
      </c>
      <c r="AV338">
        <v>43</v>
      </c>
      <c r="AW338">
        <v>2</v>
      </c>
      <c r="AX338" t="s">
        <v>74</v>
      </c>
      <c r="AY338" t="s">
        <v>74</v>
      </c>
      <c r="AZ338" t="s">
        <v>74</v>
      </c>
      <c r="BA338" t="s">
        <v>74</v>
      </c>
      <c r="BB338">
        <v>40</v>
      </c>
      <c r="BC338">
        <v>48</v>
      </c>
      <c r="BD338" t="s">
        <v>74</v>
      </c>
      <c r="BE338" t="s">
        <v>6739</v>
      </c>
      <c r="BF338" t="str">
        <f>HYPERLINK("http://dx.doi.org/10.15407/mineraljournal.43.02.040","http://dx.doi.org/10.15407/mineraljournal.43.02.040")</f>
        <v>http://dx.doi.org/10.15407/mineraljournal.43.02.040</v>
      </c>
      <c r="BG338" t="s">
        <v>74</v>
      </c>
      <c r="BH338" t="s">
        <v>74</v>
      </c>
      <c r="BI338">
        <v>9</v>
      </c>
      <c r="BJ338" t="s">
        <v>6740</v>
      </c>
      <c r="BK338" t="s">
        <v>3050</v>
      </c>
      <c r="BL338" t="s">
        <v>6740</v>
      </c>
      <c r="BM338" t="s">
        <v>6741</v>
      </c>
      <c r="BN338" t="s">
        <v>74</v>
      </c>
      <c r="BO338" t="s">
        <v>3283</v>
      </c>
      <c r="BP338" t="s">
        <v>74</v>
      </c>
      <c r="BQ338" t="s">
        <v>74</v>
      </c>
      <c r="BR338" t="s">
        <v>106</v>
      </c>
      <c r="BS338" t="s">
        <v>6742</v>
      </c>
      <c r="BT338" t="str">
        <f>HYPERLINK("https%3A%2F%2Fwww.webofscience.com%2Fwos%2Fwoscc%2Ffull-record%2FWOS:000668391600004","View Full Record in Web of Science")</f>
        <v>View Full Record in Web of Science</v>
      </c>
    </row>
    <row r="339" spans="1:72" x14ac:dyDescent="0.15">
      <c r="A339" t="s">
        <v>72</v>
      </c>
      <c r="B339" t="s">
        <v>6743</v>
      </c>
      <c r="C339" t="s">
        <v>74</v>
      </c>
      <c r="D339" t="s">
        <v>74</v>
      </c>
      <c r="E339" t="s">
        <v>74</v>
      </c>
      <c r="F339" t="s">
        <v>6744</v>
      </c>
      <c r="G339" t="s">
        <v>74</v>
      </c>
      <c r="H339" t="s">
        <v>74</v>
      </c>
      <c r="I339" t="s">
        <v>6745</v>
      </c>
      <c r="J339" t="s">
        <v>6746</v>
      </c>
      <c r="K339" t="s">
        <v>74</v>
      </c>
      <c r="L339" t="s">
        <v>74</v>
      </c>
      <c r="M339" t="s">
        <v>78</v>
      </c>
      <c r="N339" t="s">
        <v>79</v>
      </c>
      <c r="O339" t="s">
        <v>74</v>
      </c>
      <c r="P339" t="s">
        <v>74</v>
      </c>
      <c r="Q339" t="s">
        <v>74</v>
      </c>
      <c r="R339" t="s">
        <v>74</v>
      </c>
      <c r="S339" t="s">
        <v>74</v>
      </c>
      <c r="T339" t="s">
        <v>6747</v>
      </c>
      <c r="U339" t="s">
        <v>6748</v>
      </c>
      <c r="V339" t="s">
        <v>6749</v>
      </c>
      <c r="W339" t="s">
        <v>6750</v>
      </c>
      <c r="X339" t="s">
        <v>6751</v>
      </c>
      <c r="Y339" t="s">
        <v>6752</v>
      </c>
      <c r="Z339" t="s">
        <v>6753</v>
      </c>
      <c r="AA339" t="s">
        <v>74</v>
      </c>
      <c r="AB339" t="s">
        <v>74</v>
      </c>
      <c r="AC339" t="s">
        <v>6754</v>
      </c>
      <c r="AD339" t="s">
        <v>6755</v>
      </c>
      <c r="AE339" t="s">
        <v>6756</v>
      </c>
      <c r="AF339" t="s">
        <v>74</v>
      </c>
      <c r="AG339">
        <v>68</v>
      </c>
      <c r="AH339">
        <v>2</v>
      </c>
      <c r="AI339">
        <v>2</v>
      </c>
      <c r="AJ339">
        <v>3</v>
      </c>
      <c r="AK339">
        <v>13</v>
      </c>
      <c r="AL339" t="s">
        <v>446</v>
      </c>
      <c r="AM339" t="s">
        <v>447</v>
      </c>
      <c r="AN339" t="s">
        <v>448</v>
      </c>
      <c r="AO339" t="s">
        <v>6757</v>
      </c>
      <c r="AP339" t="s">
        <v>6758</v>
      </c>
      <c r="AQ339" t="s">
        <v>74</v>
      </c>
      <c r="AR339" t="s">
        <v>6759</v>
      </c>
      <c r="AS339" t="s">
        <v>6760</v>
      </c>
      <c r="AT339" t="s">
        <v>74</v>
      </c>
      <c r="AU339">
        <v>2021</v>
      </c>
      <c r="AV339">
        <v>30</v>
      </c>
      <c r="AW339" t="s">
        <v>74</v>
      </c>
      <c r="AX339" t="s">
        <v>74</v>
      </c>
      <c r="AY339" t="s">
        <v>74</v>
      </c>
      <c r="AZ339" t="s">
        <v>74</v>
      </c>
      <c r="BA339" t="s">
        <v>74</v>
      </c>
      <c r="BB339">
        <v>1</v>
      </c>
      <c r="BC339">
        <v>18</v>
      </c>
      <c r="BD339" t="s">
        <v>74</v>
      </c>
      <c r="BE339" t="s">
        <v>6761</v>
      </c>
      <c r="BF339" t="str">
        <f>HYPERLINK("http://dx.doi.org/10.3354/ab00736","http://dx.doi.org/10.3354/ab00736")</f>
        <v>http://dx.doi.org/10.3354/ab00736</v>
      </c>
      <c r="BG339" t="s">
        <v>74</v>
      </c>
      <c r="BH339" t="s">
        <v>74</v>
      </c>
      <c r="BI339">
        <v>18</v>
      </c>
      <c r="BJ339" t="s">
        <v>6762</v>
      </c>
      <c r="BK339" t="s">
        <v>103</v>
      </c>
      <c r="BL339" t="s">
        <v>6762</v>
      </c>
      <c r="BM339" t="s">
        <v>6763</v>
      </c>
      <c r="BN339" t="s">
        <v>74</v>
      </c>
      <c r="BO339" t="s">
        <v>1105</v>
      </c>
      <c r="BP339" t="s">
        <v>74</v>
      </c>
      <c r="BQ339" t="s">
        <v>74</v>
      </c>
      <c r="BR339" t="s">
        <v>106</v>
      </c>
      <c r="BS339" t="s">
        <v>6764</v>
      </c>
      <c r="BT339" t="str">
        <f>HYPERLINK("https%3A%2F%2Fwww.webofscience.com%2Fwos%2Fwoscc%2Ffull-record%2FWOS:000671857400001","View Full Record in Web of Science")</f>
        <v>View Full Record in Web of Science</v>
      </c>
    </row>
    <row r="340" spans="1:72" x14ac:dyDescent="0.15">
      <c r="A340" t="s">
        <v>4529</v>
      </c>
      <c r="B340" t="s">
        <v>6765</v>
      </c>
      <c r="C340" t="s">
        <v>74</v>
      </c>
      <c r="D340" t="s">
        <v>74</v>
      </c>
      <c r="E340" t="s">
        <v>4644</v>
      </c>
      <c r="F340" t="s">
        <v>6766</v>
      </c>
      <c r="G340" t="s">
        <v>74</v>
      </c>
      <c r="H340" t="s">
        <v>74</v>
      </c>
      <c r="I340" t="s">
        <v>6767</v>
      </c>
      <c r="J340" t="s">
        <v>6768</v>
      </c>
      <c r="K340" t="s">
        <v>74</v>
      </c>
      <c r="L340" t="s">
        <v>74</v>
      </c>
      <c r="M340" t="s">
        <v>78</v>
      </c>
      <c r="N340" t="s">
        <v>4535</v>
      </c>
      <c r="O340" t="s">
        <v>6769</v>
      </c>
      <c r="P340" t="s">
        <v>6770</v>
      </c>
      <c r="Q340" t="s">
        <v>4538</v>
      </c>
      <c r="R340" t="s">
        <v>74</v>
      </c>
      <c r="S340" t="s">
        <v>74</v>
      </c>
      <c r="T340" t="s">
        <v>6771</v>
      </c>
      <c r="U340" t="s">
        <v>74</v>
      </c>
      <c r="V340" t="s">
        <v>6772</v>
      </c>
      <c r="W340" t="s">
        <v>6773</v>
      </c>
      <c r="X340" t="s">
        <v>6774</v>
      </c>
      <c r="Y340" t="s">
        <v>6775</v>
      </c>
      <c r="Z340" t="s">
        <v>6776</v>
      </c>
      <c r="AA340" t="s">
        <v>74</v>
      </c>
      <c r="AB340" t="s">
        <v>74</v>
      </c>
      <c r="AC340" t="s">
        <v>74</v>
      </c>
      <c r="AD340" t="s">
        <v>74</v>
      </c>
      <c r="AE340" t="s">
        <v>74</v>
      </c>
      <c r="AF340" t="s">
        <v>74</v>
      </c>
      <c r="AG340">
        <v>4</v>
      </c>
      <c r="AH340">
        <v>0</v>
      </c>
      <c r="AI340">
        <v>0</v>
      </c>
      <c r="AJ340">
        <v>0</v>
      </c>
      <c r="AK340">
        <v>3</v>
      </c>
      <c r="AL340" t="s">
        <v>4644</v>
      </c>
      <c r="AM340" t="s">
        <v>473</v>
      </c>
      <c r="AN340" t="s">
        <v>4662</v>
      </c>
      <c r="AO340" t="s">
        <v>74</v>
      </c>
      <c r="AP340" t="s">
        <v>74</v>
      </c>
      <c r="AQ340" t="s">
        <v>6777</v>
      </c>
      <c r="AR340" t="s">
        <v>74</v>
      </c>
      <c r="AS340" t="s">
        <v>74</v>
      </c>
      <c r="AT340" t="s">
        <v>74</v>
      </c>
      <c r="AU340">
        <v>2021</v>
      </c>
      <c r="AV340" t="s">
        <v>74</v>
      </c>
      <c r="AW340" t="s">
        <v>74</v>
      </c>
      <c r="AX340" t="s">
        <v>74</v>
      </c>
      <c r="AY340" t="s">
        <v>74</v>
      </c>
      <c r="AZ340" t="s">
        <v>74</v>
      </c>
      <c r="BA340" t="s">
        <v>74</v>
      </c>
      <c r="BB340">
        <v>131</v>
      </c>
      <c r="BC340">
        <v>132</v>
      </c>
      <c r="BD340" t="s">
        <v>74</v>
      </c>
      <c r="BE340" t="s">
        <v>74</v>
      </c>
      <c r="BF340" t="s">
        <v>74</v>
      </c>
      <c r="BG340" t="s">
        <v>74</v>
      </c>
      <c r="BH340" t="s">
        <v>74</v>
      </c>
      <c r="BI340">
        <v>2</v>
      </c>
      <c r="BJ340" t="s">
        <v>6570</v>
      </c>
      <c r="BK340" t="s">
        <v>4553</v>
      </c>
      <c r="BL340" t="s">
        <v>6571</v>
      </c>
      <c r="BM340" t="s">
        <v>6778</v>
      </c>
      <c r="BN340" t="s">
        <v>74</v>
      </c>
      <c r="BO340" t="s">
        <v>74</v>
      </c>
      <c r="BP340" t="s">
        <v>74</v>
      </c>
      <c r="BQ340" t="s">
        <v>74</v>
      </c>
      <c r="BR340" t="s">
        <v>106</v>
      </c>
      <c r="BS340" t="s">
        <v>6779</v>
      </c>
      <c r="BT340" t="str">
        <f>HYPERLINK("https%3A%2F%2Fwww.webofscience.com%2Fwos%2Fwoscc%2Ffull-record%2FWOS:000668734200059","View Full Record in Web of Science")</f>
        <v>View Full Record in Web of Science</v>
      </c>
    </row>
    <row r="341" spans="1:72" x14ac:dyDescent="0.15">
      <c r="A341" t="s">
        <v>4529</v>
      </c>
      <c r="B341" t="s">
        <v>6780</v>
      </c>
      <c r="C341" t="s">
        <v>74</v>
      </c>
      <c r="D341" t="s">
        <v>74</v>
      </c>
      <c r="E341" t="s">
        <v>4644</v>
      </c>
      <c r="F341" t="s">
        <v>6781</v>
      </c>
      <c r="G341" t="s">
        <v>74</v>
      </c>
      <c r="H341" t="s">
        <v>74</v>
      </c>
      <c r="I341" t="s">
        <v>6782</v>
      </c>
      <c r="J341" t="s">
        <v>6768</v>
      </c>
      <c r="K341" t="s">
        <v>74</v>
      </c>
      <c r="L341" t="s">
        <v>74</v>
      </c>
      <c r="M341" t="s">
        <v>78</v>
      </c>
      <c r="N341" t="s">
        <v>4535</v>
      </c>
      <c r="O341" t="s">
        <v>6769</v>
      </c>
      <c r="P341" t="s">
        <v>6770</v>
      </c>
      <c r="Q341" t="s">
        <v>4538</v>
      </c>
      <c r="R341" t="s">
        <v>74</v>
      </c>
      <c r="S341" t="s">
        <v>74</v>
      </c>
      <c r="T341" t="s">
        <v>6783</v>
      </c>
      <c r="U341" t="s">
        <v>74</v>
      </c>
      <c r="V341" t="s">
        <v>6784</v>
      </c>
      <c r="W341" t="s">
        <v>6785</v>
      </c>
      <c r="X341" t="s">
        <v>6786</v>
      </c>
      <c r="Y341" t="s">
        <v>6787</v>
      </c>
      <c r="Z341" t="s">
        <v>6776</v>
      </c>
      <c r="AA341" t="s">
        <v>74</v>
      </c>
      <c r="AB341" t="s">
        <v>74</v>
      </c>
      <c r="AC341" t="s">
        <v>74</v>
      </c>
      <c r="AD341" t="s">
        <v>74</v>
      </c>
      <c r="AE341" t="s">
        <v>74</v>
      </c>
      <c r="AF341" t="s">
        <v>74</v>
      </c>
      <c r="AG341">
        <v>2</v>
      </c>
      <c r="AH341">
        <v>0</v>
      </c>
      <c r="AI341">
        <v>0</v>
      </c>
      <c r="AJ341">
        <v>0</v>
      </c>
      <c r="AK341">
        <v>0</v>
      </c>
      <c r="AL341" t="s">
        <v>4644</v>
      </c>
      <c r="AM341" t="s">
        <v>473</v>
      </c>
      <c r="AN341" t="s">
        <v>4662</v>
      </c>
      <c r="AO341" t="s">
        <v>74</v>
      </c>
      <c r="AP341" t="s">
        <v>74</v>
      </c>
      <c r="AQ341" t="s">
        <v>6777</v>
      </c>
      <c r="AR341" t="s">
        <v>74</v>
      </c>
      <c r="AS341" t="s">
        <v>74</v>
      </c>
      <c r="AT341" t="s">
        <v>74</v>
      </c>
      <c r="AU341">
        <v>2021</v>
      </c>
      <c r="AV341" t="s">
        <v>74</v>
      </c>
      <c r="AW341" t="s">
        <v>74</v>
      </c>
      <c r="AX341" t="s">
        <v>74</v>
      </c>
      <c r="AY341" t="s">
        <v>74</v>
      </c>
      <c r="AZ341" t="s">
        <v>74</v>
      </c>
      <c r="BA341" t="s">
        <v>74</v>
      </c>
      <c r="BB341">
        <v>431</v>
      </c>
      <c r="BC341">
        <v>432</v>
      </c>
      <c r="BD341" t="s">
        <v>74</v>
      </c>
      <c r="BE341" t="s">
        <v>74</v>
      </c>
      <c r="BF341" t="s">
        <v>74</v>
      </c>
      <c r="BG341" t="s">
        <v>74</v>
      </c>
      <c r="BH341" t="s">
        <v>74</v>
      </c>
      <c r="BI341">
        <v>2</v>
      </c>
      <c r="BJ341" t="s">
        <v>6570</v>
      </c>
      <c r="BK341" t="s">
        <v>4553</v>
      </c>
      <c r="BL341" t="s">
        <v>6571</v>
      </c>
      <c r="BM341" t="s">
        <v>6778</v>
      </c>
      <c r="BN341" t="s">
        <v>74</v>
      </c>
      <c r="BO341" t="s">
        <v>74</v>
      </c>
      <c r="BP341" t="s">
        <v>74</v>
      </c>
      <c r="BQ341" t="s">
        <v>74</v>
      </c>
      <c r="BR341" t="s">
        <v>106</v>
      </c>
      <c r="BS341" t="s">
        <v>6788</v>
      </c>
      <c r="BT341" t="str">
        <f>HYPERLINK("https%3A%2F%2Fwww.webofscience.com%2Fwos%2Fwoscc%2Ffull-record%2FWOS:000668734200195","View Full Record in Web of Science")</f>
        <v>View Full Record in Web of Science</v>
      </c>
    </row>
    <row r="342" spans="1:72" x14ac:dyDescent="0.15">
      <c r="A342" t="s">
        <v>72</v>
      </c>
      <c r="B342" t="s">
        <v>6789</v>
      </c>
      <c r="C342" t="s">
        <v>74</v>
      </c>
      <c r="D342" t="s">
        <v>74</v>
      </c>
      <c r="E342" t="s">
        <v>74</v>
      </c>
      <c r="F342" t="s">
        <v>6790</v>
      </c>
      <c r="G342" t="s">
        <v>74</v>
      </c>
      <c r="H342" t="s">
        <v>74</v>
      </c>
      <c r="I342" t="s">
        <v>6791</v>
      </c>
      <c r="J342" t="s">
        <v>6792</v>
      </c>
      <c r="K342" t="s">
        <v>74</v>
      </c>
      <c r="L342" t="s">
        <v>74</v>
      </c>
      <c r="M342" t="s">
        <v>78</v>
      </c>
      <c r="N342" t="s">
        <v>79</v>
      </c>
      <c r="O342" t="s">
        <v>74</v>
      </c>
      <c r="P342" t="s">
        <v>74</v>
      </c>
      <c r="Q342" t="s">
        <v>74</v>
      </c>
      <c r="R342" t="s">
        <v>74</v>
      </c>
      <c r="S342" t="s">
        <v>74</v>
      </c>
      <c r="T342" t="s">
        <v>6793</v>
      </c>
      <c r="U342" t="s">
        <v>74</v>
      </c>
      <c r="V342" t="s">
        <v>6794</v>
      </c>
      <c r="W342" t="s">
        <v>6795</v>
      </c>
      <c r="X342" t="s">
        <v>6796</v>
      </c>
      <c r="Y342" t="s">
        <v>6797</v>
      </c>
      <c r="Z342" t="s">
        <v>6798</v>
      </c>
      <c r="AA342" t="s">
        <v>74</v>
      </c>
      <c r="AB342" t="s">
        <v>74</v>
      </c>
      <c r="AC342" t="s">
        <v>74</v>
      </c>
      <c r="AD342" t="s">
        <v>74</v>
      </c>
      <c r="AE342" t="s">
        <v>74</v>
      </c>
      <c r="AF342" t="s">
        <v>74</v>
      </c>
      <c r="AG342">
        <v>10</v>
      </c>
      <c r="AH342">
        <v>0</v>
      </c>
      <c r="AI342">
        <v>0</v>
      </c>
      <c r="AJ342">
        <v>0</v>
      </c>
      <c r="AK342">
        <v>2</v>
      </c>
      <c r="AL342" t="s">
        <v>6799</v>
      </c>
      <c r="AM342" t="s">
        <v>6800</v>
      </c>
      <c r="AN342" t="s">
        <v>6801</v>
      </c>
      <c r="AO342" t="s">
        <v>6802</v>
      </c>
      <c r="AP342" t="s">
        <v>74</v>
      </c>
      <c r="AQ342" t="s">
        <v>74</v>
      </c>
      <c r="AR342" t="s">
        <v>6803</v>
      </c>
      <c r="AS342" t="s">
        <v>6804</v>
      </c>
      <c r="AT342" t="s">
        <v>74</v>
      </c>
      <c r="AU342">
        <v>2021</v>
      </c>
      <c r="AV342">
        <v>7</v>
      </c>
      <c r="AW342">
        <v>2</v>
      </c>
      <c r="AX342" t="s">
        <v>74</v>
      </c>
      <c r="AY342" t="s">
        <v>74</v>
      </c>
      <c r="AZ342" t="s">
        <v>74</v>
      </c>
      <c r="BA342" t="s">
        <v>74</v>
      </c>
      <c r="BB342">
        <v>129</v>
      </c>
      <c r="BC342">
        <v>137</v>
      </c>
      <c r="BD342" t="s">
        <v>74</v>
      </c>
      <c r="BE342" t="s">
        <v>6805</v>
      </c>
      <c r="BF342" t="str">
        <f>HYPERLINK("http://dx.doi.org/10.3934/geosci.2021008","http://dx.doi.org/10.3934/geosci.2021008")</f>
        <v>http://dx.doi.org/10.3934/geosci.2021008</v>
      </c>
      <c r="BG342" t="s">
        <v>74</v>
      </c>
      <c r="BH342" t="s">
        <v>74</v>
      </c>
      <c r="BI342">
        <v>9</v>
      </c>
      <c r="BJ342" t="s">
        <v>401</v>
      </c>
      <c r="BK342" t="s">
        <v>3050</v>
      </c>
      <c r="BL342" t="s">
        <v>402</v>
      </c>
      <c r="BM342" t="s">
        <v>6806</v>
      </c>
      <c r="BN342" t="s">
        <v>74</v>
      </c>
      <c r="BO342" t="s">
        <v>326</v>
      </c>
      <c r="BP342" t="s">
        <v>74</v>
      </c>
      <c r="BQ342" t="s">
        <v>74</v>
      </c>
      <c r="BR342" t="s">
        <v>106</v>
      </c>
      <c r="BS342" t="s">
        <v>6807</v>
      </c>
      <c r="BT342" t="str">
        <f>HYPERLINK("https%3A%2F%2Fwww.webofscience.com%2Fwos%2Fwoscc%2Ffull-record%2FWOS:000668350600002","View Full Record in Web of Science")</f>
        <v>View Full Record in Web of Science</v>
      </c>
    </row>
    <row r="343" spans="1:72" x14ac:dyDescent="0.15">
      <c r="A343" t="s">
        <v>72</v>
      </c>
      <c r="B343" t="s">
        <v>6808</v>
      </c>
      <c r="C343" t="s">
        <v>74</v>
      </c>
      <c r="D343" t="s">
        <v>74</v>
      </c>
      <c r="E343" t="s">
        <v>74</v>
      </c>
      <c r="F343" t="s">
        <v>6809</v>
      </c>
      <c r="G343" t="s">
        <v>74</v>
      </c>
      <c r="H343" t="s">
        <v>74</v>
      </c>
      <c r="I343" t="s">
        <v>6810</v>
      </c>
      <c r="J343" t="s">
        <v>6811</v>
      </c>
      <c r="K343" t="s">
        <v>74</v>
      </c>
      <c r="L343" t="s">
        <v>74</v>
      </c>
      <c r="M343" t="s">
        <v>78</v>
      </c>
      <c r="N343" t="s">
        <v>79</v>
      </c>
      <c r="O343" t="s">
        <v>74</v>
      </c>
      <c r="P343" t="s">
        <v>74</v>
      </c>
      <c r="Q343" t="s">
        <v>74</v>
      </c>
      <c r="R343" t="s">
        <v>74</v>
      </c>
      <c r="S343" t="s">
        <v>74</v>
      </c>
      <c r="T343" t="s">
        <v>74</v>
      </c>
      <c r="U343" t="s">
        <v>6812</v>
      </c>
      <c r="V343" t="s">
        <v>6813</v>
      </c>
      <c r="W343" t="s">
        <v>6814</v>
      </c>
      <c r="X343" t="s">
        <v>5705</v>
      </c>
      <c r="Y343" t="s">
        <v>6815</v>
      </c>
      <c r="Z343" t="s">
        <v>6816</v>
      </c>
      <c r="AA343" t="s">
        <v>74</v>
      </c>
      <c r="AB343" t="s">
        <v>74</v>
      </c>
      <c r="AC343" t="s">
        <v>6817</v>
      </c>
      <c r="AD343" t="s">
        <v>5636</v>
      </c>
      <c r="AE343" t="s">
        <v>74</v>
      </c>
      <c r="AF343" t="s">
        <v>74</v>
      </c>
      <c r="AG343">
        <v>32</v>
      </c>
      <c r="AH343">
        <v>1</v>
      </c>
      <c r="AI343">
        <v>1</v>
      </c>
      <c r="AJ343">
        <v>1</v>
      </c>
      <c r="AK343">
        <v>3</v>
      </c>
      <c r="AL343" t="s">
        <v>6818</v>
      </c>
      <c r="AM343" t="s">
        <v>6819</v>
      </c>
      <c r="AN343" t="s">
        <v>6820</v>
      </c>
      <c r="AO343" t="s">
        <v>6821</v>
      </c>
      <c r="AP343" t="s">
        <v>6822</v>
      </c>
      <c r="AQ343" t="s">
        <v>74</v>
      </c>
      <c r="AR343" t="s">
        <v>6823</v>
      </c>
      <c r="AS343" t="s">
        <v>6824</v>
      </c>
      <c r="AT343" t="s">
        <v>74</v>
      </c>
      <c r="AU343">
        <v>2021</v>
      </c>
      <c r="AV343" t="s">
        <v>6825</v>
      </c>
      <c r="AW343">
        <v>1</v>
      </c>
      <c r="AX343" t="s">
        <v>74</v>
      </c>
      <c r="AY343" t="s">
        <v>74</v>
      </c>
      <c r="AZ343" t="s">
        <v>74</v>
      </c>
      <c r="BA343" t="s">
        <v>74</v>
      </c>
      <c r="BB343">
        <v>9</v>
      </c>
      <c r="BC343">
        <v>20</v>
      </c>
      <c r="BD343" t="s">
        <v>74</v>
      </c>
      <c r="BE343" t="s">
        <v>6826</v>
      </c>
      <c r="BF343" t="str">
        <f>HYPERLINK("http://dx.doi.org/10.3318/BIOE.2021.03","http://dx.doi.org/10.3318/BIOE.2021.03")</f>
        <v>http://dx.doi.org/10.3318/BIOE.2021.03</v>
      </c>
      <c r="BG343" t="s">
        <v>74</v>
      </c>
      <c r="BH343" t="s">
        <v>74</v>
      </c>
      <c r="BI343">
        <v>12</v>
      </c>
      <c r="BJ343" t="s">
        <v>6827</v>
      </c>
      <c r="BK343" t="s">
        <v>103</v>
      </c>
      <c r="BL343" t="s">
        <v>6828</v>
      </c>
      <c r="BM343" t="s">
        <v>6829</v>
      </c>
      <c r="BN343" t="s">
        <v>74</v>
      </c>
      <c r="BO343" t="s">
        <v>74</v>
      </c>
      <c r="BP343" t="s">
        <v>74</v>
      </c>
      <c r="BQ343" t="s">
        <v>74</v>
      </c>
      <c r="BR343" t="s">
        <v>106</v>
      </c>
      <c r="BS343" t="s">
        <v>6830</v>
      </c>
      <c r="BT343" t="str">
        <f>HYPERLINK("https%3A%2F%2Fwww.webofscience.com%2Fwos%2Fwoscc%2Ffull-record%2FWOS:000668750600003","View Full Record in Web of Science")</f>
        <v>View Full Record in Web of Science</v>
      </c>
    </row>
    <row r="344" spans="1:72" x14ac:dyDescent="0.15">
      <c r="A344" t="s">
        <v>72</v>
      </c>
      <c r="B344" t="s">
        <v>6831</v>
      </c>
      <c r="C344" t="s">
        <v>74</v>
      </c>
      <c r="D344" t="s">
        <v>74</v>
      </c>
      <c r="E344" t="s">
        <v>74</v>
      </c>
      <c r="F344" t="s">
        <v>6832</v>
      </c>
      <c r="G344" t="s">
        <v>74</v>
      </c>
      <c r="H344" t="s">
        <v>74</v>
      </c>
      <c r="I344" t="s">
        <v>6833</v>
      </c>
      <c r="J344" t="s">
        <v>6834</v>
      </c>
      <c r="K344" t="s">
        <v>74</v>
      </c>
      <c r="L344" t="s">
        <v>74</v>
      </c>
      <c r="M344" t="s">
        <v>78</v>
      </c>
      <c r="N344" t="s">
        <v>79</v>
      </c>
      <c r="O344" t="s">
        <v>74</v>
      </c>
      <c r="P344" t="s">
        <v>74</v>
      </c>
      <c r="Q344" t="s">
        <v>74</v>
      </c>
      <c r="R344" t="s">
        <v>74</v>
      </c>
      <c r="S344" t="s">
        <v>74</v>
      </c>
      <c r="T344" t="s">
        <v>6835</v>
      </c>
      <c r="U344" t="s">
        <v>6836</v>
      </c>
      <c r="V344" t="s">
        <v>6837</v>
      </c>
      <c r="W344" t="s">
        <v>6838</v>
      </c>
      <c r="X344" t="s">
        <v>6839</v>
      </c>
      <c r="Y344" t="s">
        <v>6840</v>
      </c>
      <c r="Z344" t="s">
        <v>6841</v>
      </c>
      <c r="AA344" t="s">
        <v>6842</v>
      </c>
      <c r="AB344" t="s">
        <v>6843</v>
      </c>
      <c r="AC344" t="s">
        <v>6844</v>
      </c>
      <c r="AD344" t="s">
        <v>6845</v>
      </c>
      <c r="AE344" t="s">
        <v>6846</v>
      </c>
      <c r="AF344" t="s">
        <v>74</v>
      </c>
      <c r="AG344">
        <v>35</v>
      </c>
      <c r="AH344">
        <v>5</v>
      </c>
      <c r="AI344">
        <v>5</v>
      </c>
      <c r="AJ344">
        <v>1</v>
      </c>
      <c r="AK344">
        <v>1</v>
      </c>
      <c r="AL344" t="s">
        <v>6847</v>
      </c>
      <c r="AM344" t="s">
        <v>6848</v>
      </c>
      <c r="AN344" t="s">
        <v>6849</v>
      </c>
      <c r="AO344" t="s">
        <v>6850</v>
      </c>
      <c r="AP344" t="s">
        <v>6851</v>
      </c>
      <c r="AQ344" t="s">
        <v>74</v>
      </c>
      <c r="AR344" t="s">
        <v>6852</v>
      </c>
      <c r="AS344" t="s">
        <v>6853</v>
      </c>
      <c r="AT344" t="s">
        <v>74</v>
      </c>
      <c r="AU344">
        <v>2021</v>
      </c>
      <c r="AV344">
        <v>47</v>
      </c>
      <c r="AW344">
        <v>2</v>
      </c>
      <c r="AX344" t="s">
        <v>74</v>
      </c>
      <c r="AY344" t="s">
        <v>74</v>
      </c>
      <c r="AZ344" t="s">
        <v>74</v>
      </c>
      <c r="BA344" t="s">
        <v>74</v>
      </c>
      <c r="BB344">
        <v>291</v>
      </c>
      <c r="BC344">
        <v>307</v>
      </c>
      <c r="BD344" t="s">
        <v>74</v>
      </c>
      <c r="BE344" t="s">
        <v>6854</v>
      </c>
      <c r="BF344" t="str">
        <f>HYPERLINK("http://dx.doi.org/10.18172/cig.4879","http://dx.doi.org/10.18172/cig.4879")</f>
        <v>http://dx.doi.org/10.18172/cig.4879</v>
      </c>
      <c r="BG344" t="s">
        <v>74</v>
      </c>
      <c r="BH344" t="s">
        <v>74</v>
      </c>
      <c r="BI344">
        <v>17</v>
      </c>
      <c r="BJ344" t="s">
        <v>4731</v>
      </c>
      <c r="BK344" t="s">
        <v>3050</v>
      </c>
      <c r="BL344" t="s">
        <v>4732</v>
      </c>
      <c r="BM344" t="s">
        <v>6855</v>
      </c>
      <c r="BN344" t="s">
        <v>74</v>
      </c>
      <c r="BO344" t="s">
        <v>326</v>
      </c>
      <c r="BP344" t="s">
        <v>74</v>
      </c>
      <c r="BQ344" t="s">
        <v>74</v>
      </c>
      <c r="BR344" t="s">
        <v>106</v>
      </c>
      <c r="BS344" t="s">
        <v>6856</v>
      </c>
      <c r="BT344" t="str">
        <f>HYPERLINK("https%3A%2F%2Fwww.webofscience.com%2Fwos%2Fwoscc%2Ffull-record%2FWOS:000669421400001","View Full Record in Web of Science")</f>
        <v>View Full Record in Web of Science</v>
      </c>
    </row>
    <row r="345" spans="1:72" x14ac:dyDescent="0.15">
      <c r="A345" t="s">
        <v>72</v>
      </c>
      <c r="B345" t="s">
        <v>6857</v>
      </c>
      <c r="C345" t="s">
        <v>74</v>
      </c>
      <c r="D345" t="s">
        <v>74</v>
      </c>
      <c r="E345" t="s">
        <v>74</v>
      </c>
      <c r="F345" t="s">
        <v>6858</v>
      </c>
      <c r="G345" t="s">
        <v>74</v>
      </c>
      <c r="H345" t="s">
        <v>74</v>
      </c>
      <c r="I345" t="s">
        <v>6859</v>
      </c>
      <c r="J345" t="s">
        <v>4966</v>
      </c>
      <c r="K345" t="s">
        <v>74</v>
      </c>
      <c r="L345" t="s">
        <v>74</v>
      </c>
      <c r="M345" t="s">
        <v>5447</v>
      </c>
      <c r="N345" t="s">
        <v>79</v>
      </c>
      <c r="O345" t="s">
        <v>74</v>
      </c>
      <c r="P345" t="s">
        <v>74</v>
      </c>
      <c r="Q345" t="s">
        <v>74</v>
      </c>
      <c r="R345" t="s">
        <v>74</v>
      </c>
      <c r="S345" t="s">
        <v>74</v>
      </c>
      <c r="T345" t="s">
        <v>6860</v>
      </c>
      <c r="U345" t="s">
        <v>6861</v>
      </c>
      <c r="V345" t="s">
        <v>6862</v>
      </c>
      <c r="W345" t="s">
        <v>6863</v>
      </c>
      <c r="X345" t="s">
        <v>4972</v>
      </c>
      <c r="Y345" t="s">
        <v>4973</v>
      </c>
      <c r="Z345" t="s">
        <v>74</v>
      </c>
      <c r="AA345" t="s">
        <v>4974</v>
      </c>
      <c r="AB345" t="s">
        <v>4975</v>
      </c>
      <c r="AC345" t="s">
        <v>74</v>
      </c>
      <c r="AD345" t="s">
        <v>74</v>
      </c>
      <c r="AE345" t="s">
        <v>74</v>
      </c>
      <c r="AF345" t="s">
        <v>74</v>
      </c>
      <c r="AG345">
        <v>45</v>
      </c>
      <c r="AH345">
        <v>3</v>
      </c>
      <c r="AI345">
        <v>3</v>
      </c>
      <c r="AJ345">
        <v>0</v>
      </c>
      <c r="AK345">
        <v>7</v>
      </c>
      <c r="AL345" t="s">
        <v>4976</v>
      </c>
      <c r="AM345" t="s">
        <v>4977</v>
      </c>
      <c r="AN345" t="s">
        <v>4978</v>
      </c>
      <c r="AO345" t="s">
        <v>4979</v>
      </c>
      <c r="AP345" t="s">
        <v>4980</v>
      </c>
      <c r="AQ345" t="s">
        <v>74</v>
      </c>
      <c r="AR345" t="s">
        <v>4981</v>
      </c>
      <c r="AS345" t="s">
        <v>4982</v>
      </c>
      <c r="AT345" t="s">
        <v>74</v>
      </c>
      <c r="AU345">
        <v>2021</v>
      </c>
      <c r="AV345">
        <v>43</v>
      </c>
      <c r="AW345">
        <v>3</v>
      </c>
      <c r="AX345" t="s">
        <v>74</v>
      </c>
      <c r="AY345" t="s">
        <v>74</v>
      </c>
      <c r="AZ345" t="s">
        <v>74</v>
      </c>
      <c r="BA345" t="s">
        <v>74</v>
      </c>
      <c r="BB345">
        <v>135</v>
      </c>
      <c r="BC345">
        <v>160</v>
      </c>
      <c r="BD345" t="s">
        <v>74</v>
      </c>
      <c r="BE345" t="s">
        <v>6864</v>
      </c>
      <c r="BF345" t="str">
        <f>HYPERLINK("http://dx.doi.org/10.24028/gzh.v43i3.236385","http://dx.doi.org/10.24028/gzh.v43i3.236385")</f>
        <v>http://dx.doi.org/10.24028/gzh.v43i3.236385</v>
      </c>
      <c r="BG345" t="s">
        <v>74</v>
      </c>
      <c r="BH345" t="s">
        <v>74</v>
      </c>
      <c r="BI345">
        <v>26</v>
      </c>
      <c r="BJ345" t="s">
        <v>426</v>
      </c>
      <c r="BK345" t="s">
        <v>3050</v>
      </c>
      <c r="BL345" t="s">
        <v>426</v>
      </c>
      <c r="BM345" t="s">
        <v>6865</v>
      </c>
      <c r="BN345" t="s">
        <v>74</v>
      </c>
      <c r="BO345" t="s">
        <v>326</v>
      </c>
      <c r="BP345" t="s">
        <v>74</v>
      </c>
      <c r="BQ345" t="s">
        <v>74</v>
      </c>
      <c r="BR345" t="s">
        <v>106</v>
      </c>
      <c r="BS345" t="s">
        <v>6866</v>
      </c>
      <c r="BT345" t="str">
        <f>HYPERLINK("https%3A%2F%2Fwww.webofscience.com%2Fwos%2Fwoscc%2Ffull-record%2FWOS:000670656300008","View Full Record in Web of Science")</f>
        <v>View Full Record in Web of Science</v>
      </c>
    </row>
    <row r="346" spans="1:72" x14ac:dyDescent="0.15">
      <c r="A346" t="s">
        <v>72</v>
      </c>
      <c r="B346" t="s">
        <v>6867</v>
      </c>
      <c r="C346" t="s">
        <v>74</v>
      </c>
      <c r="D346" t="s">
        <v>74</v>
      </c>
      <c r="E346" t="s">
        <v>74</v>
      </c>
      <c r="F346" t="s">
        <v>6868</v>
      </c>
      <c r="G346" t="s">
        <v>74</v>
      </c>
      <c r="H346" t="s">
        <v>74</v>
      </c>
      <c r="I346" t="s">
        <v>6869</v>
      </c>
      <c r="J346" t="s">
        <v>4966</v>
      </c>
      <c r="K346" t="s">
        <v>74</v>
      </c>
      <c r="L346" t="s">
        <v>74</v>
      </c>
      <c r="M346" t="s">
        <v>4967</v>
      </c>
      <c r="N346" t="s">
        <v>79</v>
      </c>
      <c r="O346" t="s">
        <v>74</v>
      </c>
      <c r="P346" t="s">
        <v>74</v>
      </c>
      <c r="Q346" t="s">
        <v>74</v>
      </c>
      <c r="R346" t="s">
        <v>74</v>
      </c>
      <c r="S346" t="s">
        <v>74</v>
      </c>
      <c r="T346" t="s">
        <v>6870</v>
      </c>
      <c r="U346" t="s">
        <v>6871</v>
      </c>
      <c r="V346" t="s">
        <v>6872</v>
      </c>
      <c r="W346" t="s">
        <v>6873</v>
      </c>
      <c r="X346" t="s">
        <v>6874</v>
      </c>
      <c r="Y346" t="s">
        <v>6875</v>
      </c>
      <c r="Z346" t="s">
        <v>74</v>
      </c>
      <c r="AA346" t="s">
        <v>6876</v>
      </c>
      <c r="AB346" t="s">
        <v>6877</v>
      </c>
      <c r="AC346" t="s">
        <v>74</v>
      </c>
      <c r="AD346" t="s">
        <v>74</v>
      </c>
      <c r="AE346" t="s">
        <v>74</v>
      </c>
      <c r="AF346" t="s">
        <v>74</v>
      </c>
      <c r="AG346">
        <v>53</v>
      </c>
      <c r="AH346">
        <v>0</v>
      </c>
      <c r="AI346">
        <v>0</v>
      </c>
      <c r="AJ346">
        <v>1</v>
      </c>
      <c r="AK346">
        <v>8</v>
      </c>
      <c r="AL346" t="s">
        <v>4976</v>
      </c>
      <c r="AM346" t="s">
        <v>4977</v>
      </c>
      <c r="AN346" t="s">
        <v>4978</v>
      </c>
      <c r="AO346" t="s">
        <v>4979</v>
      </c>
      <c r="AP346" t="s">
        <v>4980</v>
      </c>
      <c r="AQ346" t="s">
        <v>74</v>
      </c>
      <c r="AR346" t="s">
        <v>4981</v>
      </c>
      <c r="AS346" t="s">
        <v>4982</v>
      </c>
      <c r="AT346" t="s">
        <v>74</v>
      </c>
      <c r="AU346">
        <v>2021</v>
      </c>
      <c r="AV346">
        <v>43</v>
      </c>
      <c r="AW346">
        <v>3</v>
      </c>
      <c r="AX346" t="s">
        <v>74</v>
      </c>
      <c r="AY346" t="s">
        <v>74</v>
      </c>
      <c r="AZ346" t="s">
        <v>74</v>
      </c>
      <c r="BA346" t="s">
        <v>74</v>
      </c>
      <c r="BB346">
        <v>205</v>
      </c>
      <c r="BC346">
        <v>226</v>
      </c>
      <c r="BD346" t="s">
        <v>74</v>
      </c>
      <c r="BE346" t="s">
        <v>6878</v>
      </c>
      <c r="BF346" t="str">
        <f>HYPERLINK("http://dx.doi.org/10.24028/gzh.v43i3.236390","http://dx.doi.org/10.24028/gzh.v43i3.236390")</f>
        <v>http://dx.doi.org/10.24028/gzh.v43i3.236390</v>
      </c>
      <c r="BG346" t="s">
        <v>74</v>
      </c>
      <c r="BH346" t="s">
        <v>74</v>
      </c>
      <c r="BI346">
        <v>22</v>
      </c>
      <c r="BJ346" t="s">
        <v>426</v>
      </c>
      <c r="BK346" t="s">
        <v>3050</v>
      </c>
      <c r="BL346" t="s">
        <v>426</v>
      </c>
      <c r="BM346" t="s">
        <v>6865</v>
      </c>
      <c r="BN346" t="s">
        <v>74</v>
      </c>
      <c r="BO346" t="s">
        <v>326</v>
      </c>
      <c r="BP346" t="s">
        <v>74</v>
      </c>
      <c r="BQ346" t="s">
        <v>74</v>
      </c>
      <c r="BR346" t="s">
        <v>106</v>
      </c>
      <c r="BS346" t="s">
        <v>6879</v>
      </c>
      <c r="BT346" t="str">
        <f>HYPERLINK("https%3A%2F%2Fwww.webofscience.com%2Fwos%2Fwoscc%2Ffull-record%2FWOS:000670656300013","View Full Record in Web of Science")</f>
        <v>View Full Record in Web of Science</v>
      </c>
    </row>
    <row r="347" spans="1:72" x14ac:dyDescent="0.15">
      <c r="A347" t="s">
        <v>4529</v>
      </c>
      <c r="B347" t="s">
        <v>6880</v>
      </c>
      <c r="C347" t="s">
        <v>74</v>
      </c>
      <c r="D347" t="s">
        <v>6881</v>
      </c>
      <c r="E347" t="s">
        <v>74</v>
      </c>
      <c r="F347" t="s">
        <v>6882</v>
      </c>
      <c r="G347" t="s">
        <v>74</v>
      </c>
      <c r="H347" t="s">
        <v>74</v>
      </c>
      <c r="I347" t="s">
        <v>6883</v>
      </c>
      <c r="J347" t="s">
        <v>6884</v>
      </c>
      <c r="K347" t="s">
        <v>6885</v>
      </c>
      <c r="L347" t="s">
        <v>74</v>
      </c>
      <c r="M347" t="s">
        <v>78</v>
      </c>
      <c r="N347" t="s">
        <v>4535</v>
      </c>
      <c r="O347" t="s">
        <v>6886</v>
      </c>
      <c r="P347" t="s">
        <v>6887</v>
      </c>
      <c r="Q347" t="s">
        <v>4538</v>
      </c>
      <c r="R347" t="s">
        <v>74</v>
      </c>
      <c r="S347" t="s">
        <v>74</v>
      </c>
      <c r="T347" t="s">
        <v>74</v>
      </c>
      <c r="U347" t="s">
        <v>74</v>
      </c>
      <c r="V347" t="s">
        <v>6888</v>
      </c>
      <c r="W347" t="s">
        <v>6889</v>
      </c>
      <c r="X347" t="s">
        <v>6890</v>
      </c>
      <c r="Y347" t="s">
        <v>6891</v>
      </c>
      <c r="Z347" t="s">
        <v>6892</v>
      </c>
      <c r="AA347" t="s">
        <v>74</v>
      </c>
      <c r="AB347" t="s">
        <v>74</v>
      </c>
      <c r="AC347" t="s">
        <v>74</v>
      </c>
      <c r="AD347" t="s">
        <v>74</v>
      </c>
      <c r="AE347" t="s">
        <v>74</v>
      </c>
      <c r="AF347" t="s">
        <v>74</v>
      </c>
      <c r="AG347">
        <v>14</v>
      </c>
      <c r="AH347">
        <v>0</v>
      </c>
      <c r="AI347">
        <v>0</v>
      </c>
      <c r="AJ347">
        <v>3</v>
      </c>
      <c r="AK347">
        <v>12</v>
      </c>
      <c r="AL347" t="s">
        <v>6893</v>
      </c>
      <c r="AM347" t="s">
        <v>6894</v>
      </c>
      <c r="AN347" t="s">
        <v>6895</v>
      </c>
      <c r="AO347" t="s">
        <v>6896</v>
      </c>
      <c r="AP347" t="s">
        <v>74</v>
      </c>
      <c r="AQ347" t="s">
        <v>74</v>
      </c>
      <c r="AR347" t="s">
        <v>6897</v>
      </c>
      <c r="AS347" t="s">
        <v>74</v>
      </c>
      <c r="AT347" t="s">
        <v>74</v>
      </c>
      <c r="AU347">
        <v>2021</v>
      </c>
      <c r="AV347">
        <v>245</v>
      </c>
      <c r="AW347" t="s">
        <v>74</v>
      </c>
      <c r="AX347" t="s">
        <v>74</v>
      </c>
      <c r="AY347" t="s">
        <v>74</v>
      </c>
      <c r="AZ347" t="s">
        <v>74</v>
      </c>
      <c r="BA347" t="s">
        <v>74</v>
      </c>
      <c r="BB347" t="s">
        <v>74</v>
      </c>
      <c r="BC347" t="s">
        <v>74</v>
      </c>
      <c r="BD347">
        <v>2017</v>
      </c>
      <c r="BE347" t="s">
        <v>6898</v>
      </c>
      <c r="BF347" t="str">
        <f>HYPERLINK("http://dx.doi.org/10.1051/e3sconf/202124502017","http://dx.doi.org/10.1051/e3sconf/202124502017")</f>
        <v>http://dx.doi.org/10.1051/e3sconf/202124502017</v>
      </c>
      <c r="BG347" t="s">
        <v>74</v>
      </c>
      <c r="BH347" t="s">
        <v>74</v>
      </c>
      <c r="BI347">
        <v>5</v>
      </c>
      <c r="BJ347" t="s">
        <v>6899</v>
      </c>
      <c r="BK347" t="s">
        <v>4553</v>
      </c>
      <c r="BL347" t="s">
        <v>6900</v>
      </c>
      <c r="BM347" t="s">
        <v>6901</v>
      </c>
      <c r="BN347" t="s">
        <v>74</v>
      </c>
      <c r="BO347" t="s">
        <v>1105</v>
      </c>
      <c r="BP347" t="s">
        <v>74</v>
      </c>
      <c r="BQ347" t="s">
        <v>74</v>
      </c>
      <c r="BR347" t="s">
        <v>106</v>
      </c>
      <c r="BS347" t="s">
        <v>6902</v>
      </c>
      <c r="BT347" t="str">
        <f>HYPERLINK("https%3A%2F%2Fwww.webofscience.com%2Fwos%2Fwoscc%2Ffull-record%2FWOS:000664285400080","View Full Record in Web of Science")</f>
        <v>View Full Record in Web of Science</v>
      </c>
    </row>
    <row r="348" spans="1:72" x14ac:dyDescent="0.15">
      <c r="A348" t="s">
        <v>72</v>
      </c>
      <c r="B348" t="s">
        <v>6903</v>
      </c>
      <c r="C348" t="s">
        <v>74</v>
      </c>
      <c r="D348" t="s">
        <v>74</v>
      </c>
      <c r="E348" t="s">
        <v>74</v>
      </c>
      <c r="F348" t="s">
        <v>6904</v>
      </c>
      <c r="G348" t="s">
        <v>74</v>
      </c>
      <c r="H348" t="s">
        <v>74</v>
      </c>
      <c r="I348" t="s">
        <v>6905</v>
      </c>
      <c r="J348" t="s">
        <v>6906</v>
      </c>
      <c r="K348" t="s">
        <v>74</v>
      </c>
      <c r="L348" t="s">
        <v>74</v>
      </c>
      <c r="M348" t="s">
        <v>78</v>
      </c>
      <c r="N348" t="s">
        <v>79</v>
      </c>
      <c r="O348" t="s">
        <v>74</v>
      </c>
      <c r="P348" t="s">
        <v>74</v>
      </c>
      <c r="Q348" t="s">
        <v>74</v>
      </c>
      <c r="R348" t="s">
        <v>74</v>
      </c>
      <c r="S348" t="s">
        <v>74</v>
      </c>
      <c r="T348" t="s">
        <v>6907</v>
      </c>
      <c r="U348" t="s">
        <v>74</v>
      </c>
      <c r="V348" t="s">
        <v>6908</v>
      </c>
      <c r="W348" t="s">
        <v>6909</v>
      </c>
      <c r="X348" t="s">
        <v>6910</v>
      </c>
      <c r="Y348" t="s">
        <v>6911</v>
      </c>
      <c r="Z348" t="s">
        <v>6912</v>
      </c>
      <c r="AA348" t="s">
        <v>6913</v>
      </c>
      <c r="AB348" t="s">
        <v>6914</v>
      </c>
      <c r="AC348" t="s">
        <v>6915</v>
      </c>
      <c r="AD348" t="s">
        <v>6915</v>
      </c>
      <c r="AE348" t="s">
        <v>6916</v>
      </c>
      <c r="AF348" t="s">
        <v>74</v>
      </c>
      <c r="AG348">
        <v>25</v>
      </c>
      <c r="AH348">
        <v>6</v>
      </c>
      <c r="AI348">
        <v>6</v>
      </c>
      <c r="AJ348">
        <v>0</v>
      </c>
      <c r="AK348">
        <v>2</v>
      </c>
      <c r="AL348" t="s">
        <v>6917</v>
      </c>
      <c r="AM348" t="s">
        <v>6918</v>
      </c>
      <c r="AN348" t="s">
        <v>6919</v>
      </c>
      <c r="AO348" t="s">
        <v>6920</v>
      </c>
      <c r="AP348" t="s">
        <v>6921</v>
      </c>
      <c r="AQ348" t="s">
        <v>74</v>
      </c>
      <c r="AR348" t="s">
        <v>6922</v>
      </c>
      <c r="AS348" t="s">
        <v>6923</v>
      </c>
      <c r="AT348" t="s">
        <v>74</v>
      </c>
      <c r="AU348">
        <v>2021</v>
      </c>
      <c r="AV348">
        <v>16</v>
      </c>
      <c r="AW348">
        <v>1</v>
      </c>
      <c r="AX348" t="s">
        <v>74</v>
      </c>
      <c r="AY348" t="s">
        <v>74</v>
      </c>
      <c r="AZ348" t="s">
        <v>74</v>
      </c>
      <c r="BA348" t="s">
        <v>74</v>
      </c>
      <c r="BB348">
        <v>105</v>
      </c>
      <c r="BC348">
        <v>114</v>
      </c>
      <c r="BD348" t="s">
        <v>74</v>
      </c>
      <c r="BE348" t="s">
        <v>6924</v>
      </c>
      <c r="BF348" t="str">
        <f>HYPERLINK("http://dx.doi.org/10.19261/cjm.2021.841","http://dx.doi.org/10.19261/cjm.2021.841")</f>
        <v>http://dx.doi.org/10.19261/cjm.2021.841</v>
      </c>
      <c r="BG348" t="s">
        <v>74</v>
      </c>
      <c r="BH348" t="s">
        <v>74</v>
      </c>
      <c r="BI348">
        <v>10</v>
      </c>
      <c r="BJ348" t="s">
        <v>6925</v>
      </c>
      <c r="BK348" t="s">
        <v>3050</v>
      </c>
      <c r="BL348" t="s">
        <v>639</v>
      </c>
      <c r="BM348" t="s">
        <v>6926</v>
      </c>
      <c r="BN348" t="s">
        <v>74</v>
      </c>
      <c r="BO348" t="s">
        <v>326</v>
      </c>
      <c r="BP348" t="s">
        <v>74</v>
      </c>
      <c r="BQ348" t="s">
        <v>74</v>
      </c>
      <c r="BR348" t="s">
        <v>106</v>
      </c>
      <c r="BS348" t="s">
        <v>6927</v>
      </c>
      <c r="BT348" t="str">
        <f>HYPERLINK("https%3A%2F%2Fwww.webofscience.com%2Fwos%2Fwoscc%2Ffull-record%2FWOS:000667244500009","View Full Record in Web of Science")</f>
        <v>View Full Record in Web of Science</v>
      </c>
    </row>
    <row r="349" spans="1:72" x14ac:dyDescent="0.15">
      <c r="A349" t="s">
        <v>72</v>
      </c>
      <c r="B349" t="s">
        <v>6928</v>
      </c>
      <c r="C349" t="s">
        <v>74</v>
      </c>
      <c r="D349" t="s">
        <v>74</v>
      </c>
      <c r="E349" t="s">
        <v>74</v>
      </c>
      <c r="F349" t="s">
        <v>6929</v>
      </c>
      <c r="G349" t="s">
        <v>74</v>
      </c>
      <c r="H349" t="s">
        <v>74</v>
      </c>
      <c r="I349" t="s">
        <v>6930</v>
      </c>
      <c r="J349" t="s">
        <v>6931</v>
      </c>
      <c r="K349" t="s">
        <v>74</v>
      </c>
      <c r="L349" t="s">
        <v>74</v>
      </c>
      <c r="M349" t="s">
        <v>78</v>
      </c>
      <c r="N349" t="s">
        <v>79</v>
      </c>
      <c r="O349" t="s">
        <v>74</v>
      </c>
      <c r="P349" t="s">
        <v>74</v>
      </c>
      <c r="Q349" t="s">
        <v>74</v>
      </c>
      <c r="R349" t="s">
        <v>74</v>
      </c>
      <c r="S349" t="s">
        <v>74</v>
      </c>
      <c r="T349" t="s">
        <v>6932</v>
      </c>
      <c r="U349" t="s">
        <v>6933</v>
      </c>
      <c r="V349" t="s">
        <v>6934</v>
      </c>
      <c r="W349" t="s">
        <v>6935</v>
      </c>
      <c r="X349" t="s">
        <v>6936</v>
      </c>
      <c r="Y349" t="s">
        <v>6937</v>
      </c>
      <c r="Z349" t="s">
        <v>6938</v>
      </c>
      <c r="AA349" t="s">
        <v>74</v>
      </c>
      <c r="AB349" t="s">
        <v>74</v>
      </c>
      <c r="AC349" t="s">
        <v>6939</v>
      </c>
      <c r="AD349" t="s">
        <v>6940</v>
      </c>
      <c r="AE349" t="s">
        <v>6941</v>
      </c>
      <c r="AF349" t="s">
        <v>74</v>
      </c>
      <c r="AG349">
        <v>81</v>
      </c>
      <c r="AH349">
        <v>2</v>
      </c>
      <c r="AI349">
        <v>3</v>
      </c>
      <c r="AJ349">
        <v>0</v>
      </c>
      <c r="AK349">
        <v>2</v>
      </c>
      <c r="AL349" t="s">
        <v>6942</v>
      </c>
      <c r="AM349" t="s">
        <v>6943</v>
      </c>
      <c r="AN349" t="s">
        <v>6944</v>
      </c>
      <c r="AO349" t="s">
        <v>6945</v>
      </c>
      <c r="AP349" t="s">
        <v>6946</v>
      </c>
      <c r="AQ349" t="s">
        <v>74</v>
      </c>
      <c r="AR349" t="s">
        <v>6947</v>
      </c>
      <c r="AS349" t="s">
        <v>6948</v>
      </c>
      <c r="AT349" t="s">
        <v>74</v>
      </c>
      <c r="AU349">
        <v>2021</v>
      </c>
      <c r="AV349">
        <v>66</v>
      </c>
      <c r="AW349">
        <v>2</v>
      </c>
      <c r="AX349" t="s">
        <v>74</v>
      </c>
      <c r="AY349" t="s">
        <v>74</v>
      </c>
      <c r="AZ349" t="s">
        <v>74</v>
      </c>
      <c r="BA349" t="s">
        <v>74</v>
      </c>
      <c r="BB349">
        <v>301</v>
      </c>
      <c r="BC349">
        <v>318</v>
      </c>
      <c r="BD349" t="s">
        <v>74</v>
      </c>
      <c r="BE349" t="s">
        <v>6949</v>
      </c>
      <c r="BF349" t="str">
        <f>HYPERLINK("http://dx.doi.org/10.4202/app.00714.2019","http://dx.doi.org/10.4202/app.00714.2019")</f>
        <v>http://dx.doi.org/10.4202/app.00714.2019</v>
      </c>
      <c r="BG349" t="s">
        <v>74</v>
      </c>
      <c r="BH349" t="s">
        <v>74</v>
      </c>
      <c r="BI349">
        <v>18</v>
      </c>
      <c r="BJ349" t="s">
        <v>6950</v>
      </c>
      <c r="BK349" t="s">
        <v>103</v>
      </c>
      <c r="BL349" t="s">
        <v>6950</v>
      </c>
      <c r="BM349" t="s">
        <v>6951</v>
      </c>
      <c r="BN349" t="s">
        <v>74</v>
      </c>
      <c r="BO349" t="s">
        <v>246</v>
      </c>
      <c r="BP349" t="s">
        <v>74</v>
      </c>
      <c r="BQ349" t="s">
        <v>74</v>
      </c>
      <c r="BR349" t="s">
        <v>106</v>
      </c>
      <c r="BS349" t="s">
        <v>6952</v>
      </c>
      <c r="BT349" t="str">
        <f>HYPERLINK("https%3A%2F%2Fwww.webofscience.com%2Fwos%2Fwoscc%2Ffull-record%2FWOS:000665420200003","View Full Record in Web of Science")</f>
        <v>View Full Record in Web of Science</v>
      </c>
    </row>
    <row r="350" spans="1:72" x14ac:dyDescent="0.15">
      <c r="A350" t="s">
        <v>72</v>
      </c>
      <c r="B350" t="s">
        <v>6953</v>
      </c>
      <c r="C350" t="s">
        <v>74</v>
      </c>
      <c r="D350" t="s">
        <v>74</v>
      </c>
      <c r="E350" t="s">
        <v>74</v>
      </c>
      <c r="F350" t="s">
        <v>6954</v>
      </c>
      <c r="G350" t="s">
        <v>74</v>
      </c>
      <c r="H350" t="s">
        <v>74</v>
      </c>
      <c r="I350" t="s">
        <v>6955</v>
      </c>
      <c r="J350" t="s">
        <v>6956</v>
      </c>
      <c r="K350" t="s">
        <v>74</v>
      </c>
      <c r="L350" t="s">
        <v>74</v>
      </c>
      <c r="M350" t="s">
        <v>78</v>
      </c>
      <c r="N350" t="s">
        <v>79</v>
      </c>
      <c r="O350" t="s">
        <v>74</v>
      </c>
      <c r="P350" t="s">
        <v>74</v>
      </c>
      <c r="Q350" t="s">
        <v>74</v>
      </c>
      <c r="R350" t="s">
        <v>74</v>
      </c>
      <c r="S350" t="s">
        <v>74</v>
      </c>
      <c r="T350" t="s">
        <v>6957</v>
      </c>
      <c r="U350" t="s">
        <v>6958</v>
      </c>
      <c r="V350" t="s">
        <v>6959</v>
      </c>
      <c r="W350" t="s">
        <v>6960</v>
      </c>
      <c r="X350" t="s">
        <v>6961</v>
      </c>
      <c r="Y350" t="s">
        <v>6962</v>
      </c>
      <c r="Z350" t="s">
        <v>6963</v>
      </c>
      <c r="AA350" t="s">
        <v>6964</v>
      </c>
      <c r="AB350" t="s">
        <v>6965</v>
      </c>
      <c r="AC350" t="s">
        <v>4994</v>
      </c>
      <c r="AD350" t="s">
        <v>4994</v>
      </c>
      <c r="AE350" t="s">
        <v>6966</v>
      </c>
      <c r="AF350" t="s">
        <v>74</v>
      </c>
      <c r="AG350">
        <v>19</v>
      </c>
      <c r="AH350">
        <v>15</v>
      </c>
      <c r="AI350">
        <v>17</v>
      </c>
      <c r="AJ350">
        <v>1</v>
      </c>
      <c r="AK350">
        <v>20</v>
      </c>
      <c r="AL350" t="s">
        <v>6967</v>
      </c>
      <c r="AM350" t="s">
        <v>6968</v>
      </c>
      <c r="AN350" t="s">
        <v>6969</v>
      </c>
      <c r="AO350" t="s">
        <v>6970</v>
      </c>
      <c r="AP350" t="s">
        <v>74</v>
      </c>
      <c r="AQ350" t="s">
        <v>74</v>
      </c>
      <c r="AR350" t="s">
        <v>6971</v>
      </c>
      <c r="AS350" t="s">
        <v>6972</v>
      </c>
      <c r="AT350" t="s">
        <v>74</v>
      </c>
      <c r="AU350">
        <v>2021</v>
      </c>
      <c r="AV350">
        <v>36</v>
      </c>
      <c r="AW350">
        <v>1</v>
      </c>
      <c r="AX350" t="s">
        <v>74</v>
      </c>
      <c r="AY350" t="s">
        <v>74</v>
      </c>
      <c r="AZ350" t="s">
        <v>74</v>
      </c>
      <c r="BA350" t="s">
        <v>74</v>
      </c>
      <c r="BB350" t="s">
        <v>74</v>
      </c>
      <c r="BC350" t="s">
        <v>74</v>
      </c>
      <c r="BD350" t="s">
        <v>6973</v>
      </c>
      <c r="BE350" t="s">
        <v>6974</v>
      </c>
      <c r="BF350" t="str">
        <f>HYPERLINK("http://dx.doi.org/10.1264/jsme2.ME20134","http://dx.doi.org/10.1264/jsme2.ME20134")</f>
        <v>http://dx.doi.org/10.1264/jsme2.ME20134</v>
      </c>
      <c r="BG350" t="s">
        <v>74</v>
      </c>
      <c r="BH350" t="s">
        <v>74</v>
      </c>
      <c r="BI350">
        <v>7</v>
      </c>
      <c r="BJ350" t="s">
        <v>709</v>
      </c>
      <c r="BK350" t="s">
        <v>103</v>
      </c>
      <c r="BL350" t="s">
        <v>709</v>
      </c>
      <c r="BM350" t="s">
        <v>6975</v>
      </c>
      <c r="BN350">
        <v>33563868</v>
      </c>
      <c r="BO350" t="s">
        <v>1105</v>
      </c>
      <c r="BP350" t="s">
        <v>74</v>
      </c>
      <c r="BQ350" t="s">
        <v>74</v>
      </c>
      <c r="BR350" t="s">
        <v>106</v>
      </c>
      <c r="BS350" t="s">
        <v>6976</v>
      </c>
      <c r="BT350" t="str">
        <f>HYPERLINK("https%3A%2F%2Fwww.webofscience.com%2Fwos%2Fwoscc%2Ffull-record%2FWOS:000669382800009","View Full Record in Web of Science")</f>
        <v>View Full Record in Web of Science</v>
      </c>
    </row>
    <row r="351" spans="1:72" x14ac:dyDescent="0.15">
      <c r="A351" t="s">
        <v>72</v>
      </c>
      <c r="B351" t="s">
        <v>6977</v>
      </c>
      <c r="C351" t="s">
        <v>74</v>
      </c>
      <c r="D351" t="s">
        <v>74</v>
      </c>
      <c r="E351" t="s">
        <v>74</v>
      </c>
      <c r="F351" t="s">
        <v>6978</v>
      </c>
      <c r="G351" t="s">
        <v>74</v>
      </c>
      <c r="H351" t="s">
        <v>74</v>
      </c>
      <c r="I351" t="s">
        <v>6979</v>
      </c>
      <c r="J351" t="s">
        <v>6627</v>
      </c>
      <c r="K351" t="s">
        <v>74</v>
      </c>
      <c r="L351" t="s">
        <v>74</v>
      </c>
      <c r="M351" t="s">
        <v>78</v>
      </c>
      <c r="N351" t="s">
        <v>141</v>
      </c>
      <c r="O351" t="s">
        <v>74</v>
      </c>
      <c r="P351" t="s">
        <v>74</v>
      </c>
      <c r="Q351" t="s">
        <v>74</v>
      </c>
      <c r="R351" t="s">
        <v>74</v>
      </c>
      <c r="S351" t="s">
        <v>74</v>
      </c>
      <c r="T351" t="s">
        <v>6980</v>
      </c>
      <c r="U351" t="s">
        <v>6981</v>
      </c>
      <c r="V351" t="s">
        <v>6982</v>
      </c>
      <c r="W351" t="s">
        <v>6983</v>
      </c>
      <c r="X351" t="s">
        <v>74</v>
      </c>
      <c r="Y351" t="s">
        <v>6984</v>
      </c>
      <c r="Z351" t="s">
        <v>6985</v>
      </c>
      <c r="AA351" t="s">
        <v>74</v>
      </c>
      <c r="AB351" t="s">
        <v>74</v>
      </c>
      <c r="AC351" t="s">
        <v>74</v>
      </c>
      <c r="AD351" t="s">
        <v>74</v>
      </c>
      <c r="AE351" t="s">
        <v>74</v>
      </c>
      <c r="AF351" t="s">
        <v>74</v>
      </c>
      <c r="AG351">
        <v>15</v>
      </c>
      <c r="AH351">
        <v>3</v>
      </c>
      <c r="AI351">
        <v>3</v>
      </c>
      <c r="AJ351">
        <v>0</v>
      </c>
      <c r="AK351">
        <v>2</v>
      </c>
      <c r="AL351" t="s">
        <v>6635</v>
      </c>
      <c r="AM351" t="s">
        <v>473</v>
      </c>
      <c r="AN351" t="s">
        <v>6636</v>
      </c>
      <c r="AO351" t="s">
        <v>6637</v>
      </c>
      <c r="AP351" t="s">
        <v>6638</v>
      </c>
      <c r="AQ351" t="s">
        <v>74</v>
      </c>
      <c r="AR351" t="s">
        <v>6639</v>
      </c>
      <c r="AS351" t="s">
        <v>6640</v>
      </c>
      <c r="AT351" t="s">
        <v>374</v>
      </c>
      <c r="AU351">
        <v>2021</v>
      </c>
      <c r="AV351">
        <v>46</v>
      </c>
      <c r="AW351">
        <v>2</v>
      </c>
      <c r="AX351" t="s">
        <v>74</v>
      </c>
      <c r="AY351" t="s">
        <v>74</v>
      </c>
      <c r="AZ351" t="s">
        <v>74</v>
      </c>
      <c r="BA351" t="s">
        <v>74</v>
      </c>
      <c r="BB351">
        <v>129</v>
      </c>
      <c r="BC351">
        <v>137</v>
      </c>
      <c r="BD351" t="s">
        <v>74</v>
      </c>
      <c r="BE351" t="s">
        <v>6986</v>
      </c>
      <c r="BF351" t="str">
        <f>HYPERLINK("http://dx.doi.org/10.3103/S1068373921020084","http://dx.doi.org/10.3103/S1068373921020084")</f>
        <v>http://dx.doi.org/10.3103/S1068373921020084</v>
      </c>
      <c r="BG351" t="s">
        <v>74</v>
      </c>
      <c r="BH351" t="s">
        <v>74</v>
      </c>
      <c r="BI351">
        <v>9</v>
      </c>
      <c r="BJ351" t="s">
        <v>687</v>
      </c>
      <c r="BK351" t="s">
        <v>103</v>
      </c>
      <c r="BL351" t="s">
        <v>687</v>
      </c>
      <c r="BM351" t="s">
        <v>6987</v>
      </c>
      <c r="BN351" t="s">
        <v>74</v>
      </c>
      <c r="BO351" t="s">
        <v>3283</v>
      </c>
      <c r="BP351" t="s">
        <v>74</v>
      </c>
      <c r="BQ351" t="s">
        <v>74</v>
      </c>
      <c r="BR351" t="s">
        <v>106</v>
      </c>
      <c r="BS351" t="s">
        <v>6988</v>
      </c>
      <c r="BT351" t="str">
        <f>HYPERLINK("https%3A%2F%2Fwww.webofscience.com%2Fwos%2Fwoscc%2Ffull-record%2FWOS:000665713700008","View Full Record in Web of Science")</f>
        <v>View Full Record in Web of Science</v>
      </c>
    </row>
    <row r="352" spans="1:72" x14ac:dyDescent="0.15">
      <c r="A352" t="s">
        <v>72</v>
      </c>
      <c r="B352" t="s">
        <v>6989</v>
      </c>
      <c r="C352" t="s">
        <v>74</v>
      </c>
      <c r="D352" t="s">
        <v>74</v>
      </c>
      <c r="E352" t="s">
        <v>74</v>
      </c>
      <c r="F352" t="s">
        <v>6990</v>
      </c>
      <c r="G352" t="s">
        <v>74</v>
      </c>
      <c r="H352" t="s">
        <v>74</v>
      </c>
      <c r="I352" t="s">
        <v>6991</v>
      </c>
      <c r="J352" t="s">
        <v>5590</v>
      </c>
      <c r="K352" t="s">
        <v>74</v>
      </c>
      <c r="L352" t="s">
        <v>74</v>
      </c>
      <c r="M352" t="s">
        <v>78</v>
      </c>
      <c r="N352" t="s">
        <v>79</v>
      </c>
      <c r="O352" t="s">
        <v>74</v>
      </c>
      <c r="P352" t="s">
        <v>74</v>
      </c>
      <c r="Q352" t="s">
        <v>74</v>
      </c>
      <c r="R352" t="s">
        <v>74</v>
      </c>
      <c r="S352" t="s">
        <v>74</v>
      </c>
      <c r="T352" t="s">
        <v>6992</v>
      </c>
      <c r="U352" t="s">
        <v>6993</v>
      </c>
      <c r="V352" t="s">
        <v>6994</v>
      </c>
      <c r="W352" t="s">
        <v>6995</v>
      </c>
      <c r="X352" t="s">
        <v>6996</v>
      </c>
      <c r="Y352" t="s">
        <v>6997</v>
      </c>
      <c r="Z352" t="s">
        <v>6998</v>
      </c>
      <c r="AA352" t="s">
        <v>6999</v>
      </c>
      <c r="AB352" t="s">
        <v>7000</v>
      </c>
      <c r="AC352" t="s">
        <v>7001</v>
      </c>
      <c r="AD352" t="s">
        <v>7002</v>
      </c>
      <c r="AE352" t="s">
        <v>7003</v>
      </c>
      <c r="AF352" t="s">
        <v>74</v>
      </c>
      <c r="AG352">
        <v>63</v>
      </c>
      <c r="AH352">
        <v>5</v>
      </c>
      <c r="AI352">
        <v>6</v>
      </c>
      <c r="AJ352">
        <v>3</v>
      </c>
      <c r="AK352">
        <v>22</v>
      </c>
      <c r="AL352" t="s">
        <v>5603</v>
      </c>
      <c r="AM352" t="s">
        <v>5604</v>
      </c>
      <c r="AN352" t="s">
        <v>5605</v>
      </c>
      <c r="AO352" t="s">
        <v>5606</v>
      </c>
      <c r="AP352" t="s">
        <v>5607</v>
      </c>
      <c r="AQ352" t="s">
        <v>74</v>
      </c>
      <c r="AR352" t="s">
        <v>5608</v>
      </c>
      <c r="AS352" t="s">
        <v>5609</v>
      </c>
      <c r="AT352" t="s">
        <v>74</v>
      </c>
      <c r="AU352">
        <v>2021</v>
      </c>
      <c r="AV352">
        <v>14</v>
      </c>
      <c r="AW352" t="s">
        <v>74</v>
      </c>
      <c r="AX352" t="s">
        <v>74</v>
      </c>
      <c r="AY352" t="s">
        <v>74</v>
      </c>
      <c r="AZ352" t="s">
        <v>74</v>
      </c>
      <c r="BA352" t="s">
        <v>74</v>
      </c>
      <c r="BB352">
        <v>5091</v>
      </c>
      <c r="BC352">
        <v>5099</v>
      </c>
      <c r="BD352" t="s">
        <v>74</v>
      </c>
      <c r="BE352" t="s">
        <v>7004</v>
      </c>
      <c r="BF352" t="str">
        <f>HYPERLINK("http://dx.doi.org/10.1109/JSTARS.2021.3077359","http://dx.doi.org/10.1109/JSTARS.2021.3077359")</f>
        <v>http://dx.doi.org/10.1109/JSTARS.2021.3077359</v>
      </c>
      <c r="BG352" t="s">
        <v>74</v>
      </c>
      <c r="BH352" t="s">
        <v>74</v>
      </c>
      <c r="BI352">
        <v>9</v>
      </c>
      <c r="BJ352" t="s">
        <v>5611</v>
      </c>
      <c r="BK352" t="s">
        <v>103</v>
      </c>
      <c r="BL352" t="s">
        <v>5612</v>
      </c>
      <c r="BM352" t="s">
        <v>7005</v>
      </c>
      <c r="BN352" t="s">
        <v>74</v>
      </c>
      <c r="BO352" t="s">
        <v>326</v>
      </c>
      <c r="BP352" t="s">
        <v>74</v>
      </c>
      <c r="BQ352" t="s">
        <v>74</v>
      </c>
      <c r="BR352" t="s">
        <v>106</v>
      </c>
      <c r="BS352" t="s">
        <v>7006</v>
      </c>
      <c r="BT352" t="str">
        <f>HYPERLINK("https%3A%2F%2Fwww.webofscience.com%2Fwos%2Fwoscc%2Ffull-record%2FWOS:000658340600001","View Full Record in Web of Science")</f>
        <v>View Full Record in Web of Science</v>
      </c>
    </row>
    <row r="353" spans="1:72" x14ac:dyDescent="0.15">
      <c r="A353" t="s">
        <v>72</v>
      </c>
      <c r="B353" t="s">
        <v>7007</v>
      </c>
      <c r="C353" t="s">
        <v>74</v>
      </c>
      <c r="D353" t="s">
        <v>74</v>
      </c>
      <c r="E353" t="s">
        <v>74</v>
      </c>
      <c r="F353" t="s">
        <v>7008</v>
      </c>
      <c r="G353" t="s">
        <v>74</v>
      </c>
      <c r="H353" t="s">
        <v>74</v>
      </c>
      <c r="I353" t="s">
        <v>7009</v>
      </c>
      <c r="J353" t="s">
        <v>7010</v>
      </c>
      <c r="K353" t="s">
        <v>74</v>
      </c>
      <c r="L353" t="s">
        <v>74</v>
      </c>
      <c r="M353" t="s">
        <v>78</v>
      </c>
      <c r="N353" t="s">
        <v>79</v>
      </c>
      <c r="O353" t="s">
        <v>74</v>
      </c>
      <c r="P353" t="s">
        <v>74</v>
      </c>
      <c r="Q353" t="s">
        <v>74</v>
      </c>
      <c r="R353" t="s">
        <v>74</v>
      </c>
      <c r="S353" t="s">
        <v>74</v>
      </c>
      <c r="T353" t="s">
        <v>7011</v>
      </c>
      <c r="U353" t="s">
        <v>7012</v>
      </c>
      <c r="V353" t="s">
        <v>7013</v>
      </c>
      <c r="W353" t="s">
        <v>7014</v>
      </c>
      <c r="X353" t="s">
        <v>7015</v>
      </c>
      <c r="Y353" t="s">
        <v>7016</v>
      </c>
      <c r="Z353" t="s">
        <v>7017</v>
      </c>
      <c r="AA353" t="s">
        <v>74</v>
      </c>
      <c r="AB353" t="s">
        <v>7018</v>
      </c>
      <c r="AC353" t="s">
        <v>7019</v>
      </c>
      <c r="AD353" t="s">
        <v>7020</v>
      </c>
      <c r="AE353" t="s">
        <v>7021</v>
      </c>
      <c r="AF353" t="s">
        <v>74</v>
      </c>
      <c r="AG353">
        <v>53</v>
      </c>
      <c r="AH353">
        <v>10</v>
      </c>
      <c r="AI353">
        <v>11</v>
      </c>
      <c r="AJ353">
        <v>3</v>
      </c>
      <c r="AK353">
        <v>15</v>
      </c>
      <c r="AL353" t="s">
        <v>7022</v>
      </c>
      <c r="AM353" t="s">
        <v>528</v>
      </c>
      <c r="AN353" t="s">
        <v>7023</v>
      </c>
      <c r="AO353" t="s">
        <v>7024</v>
      </c>
      <c r="AP353" t="s">
        <v>7025</v>
      </c>
      <c r="AQ353" t="s">
        <v>74</v>
      </c>
      <c r="AR353" t="s">
        <v>7026</v>
      </c>
      <c r="AS353" t="s">
        <v>7027</v>
      </c>
      <c r="AT353" t="s">
        <v>74</v>
      </c>
      <c r="AU353">
        <v>2021</v>
      </c>
      <c r="AV353">
        <v>64</v>
      </c>
      <c r="AW353">
        <v>3</v>
      </c>
      <c r="AX353" t="s">
        <v>74</v>
      </c>
      <c r="AY353" t="s">
        <v>74</v>
      </c>
      <c r="AZ353" t="s">
        <v>74</v>
      </c>
      <c r="BA353" t="s">
        <v>74</v>
      </c>
      <c r="BB353">
        <v>163</v>
      </c>
      <c r="BC353">
        <v>175</v>
      </c>
      <c r="BD353" t="s">
        <v>74</v>
      </c>
      <c r="BE353" t="s">
        <v>7028</v>
      </c>
      <c r="BF353" t="str">
        <f>HYPERLINK("http://dx.doi.org/10.1515/bot-2021-0014","http://dx.doi.org/10.1515/bot-2021-0014")</f>
        <v>http://dx.doi.org/10.1515/bot-2021-0014</v>
      </c>
      <c r="BG353" t="s">
        <v>74</v>
      </c>
      <c r="BH353" t="s">
        <v>74</v>
      </c>
      <c r="BI353">
        <v>13</v>
      </c>
      <c r="BJ353" t="s">
        <v>7029</v>
      </c>
      <c r="BK353" t="s">
        <v>103</v>
      </c>
      <c r="BL353" t="s">
        <v>7029</v>
      </c>
      <c r="BM353" t="s">
        <v>7030</v>
      </c>
      <c r="BN353" t="s">
        <v>74</v>
      </c>
      <c r="BO353" t="s">
        <v>1755</v>
      </c>
      <c r="BP353" t="s">
        <v>74</v>
      </c>
      <c r="BQ353" t="s">
        <v>74</v>
      </c>
      <c r="BR353" t="s">
        <v>106</v>
      </c>
      <c r="BS353" t="s">
        <v>7031</v>
      </c>
      <c r="BT353" t="str">
        <f>HYPERLINK("https%3A%2F%2Fwww.webofscience.com%2Fwos%2Fwoscc%2Ffull-record%2FWOS:000660531300001","View Full Record in Web of Science")</f>
        <v>View Full Record in Web of Science</v>
      </c>
    </row>
    <row r="354" spans="1:72" x14ac:dyDescent="0.15">
      <c r="A354" t="s">
        <v>72</v>
      </c>
      <c r="B354" t="s">
        <v>7032</v>
      </c>
      <c r="C354" t="s">
        <v>74</v>
      </c>
      <c r="D354" t="s">
        <v>74</v>
      </c>
      <c r="E354" t="s">
        <v>74</v>
      </c>
      <c r="F354" t="s">
        <v>7033</v>
      </c>
      <c r="G354" t="s">
        <v>74</v>
      </c>
      <c r="H354" t="s">
        <v>74</v>
      </c>
      <c r="I354" t="s">
        <v>7034</v>
      </c>
      <c r="J354" t="s">
        <v>7035</v>
      </c>
      <c r="K354" t="s">
        <v>74</v>
      </c>
      <c r="L354" t="s">
        <v>74</v>
      </c>
      <c r="M354" t="s">
        <v>78</v>
      </c>
      <c r="N354" t="s">
        <v>79</v>
      </c>
      <c r="O354" t="s">
        <v>74</v>
      </c>
      <c r="P354" t="s">
        <v>74</v>
      </c>
      <c r="Q354" t="s">
        <v>74</v>
      </c>
      <c r="R354" t="s">
        <v>74</v>
      </c>
      <c r="S354" t="s">
        <v>74</v>
      </c>
      <c r="T354" t="s">
        <v>7036</v>
      </c>
      <c r="U354" t="s">
        <v>7037</v>
      </c>
      <c r="V354" t="s">
        <v>7038</v>
      </c>
      <c r="W354" t="s">
        <v>7039</v>
      </c>
      <c r="X354" t="s">
        <v>7040</v>
      </c>
      <c r="Y354" t="s">
        <v>7041</v>
      </c>
      <c r="Z354" t="s">
        <v>7042</v>
      </c>
      <c r="AA354" t="s">
        <v>7043</v>
      </c>
      <c r="AB354" t="s">
        <v>7044</v>
      </c>
      <c r="AC354" t="s">
        <v>7045</v>
      </c>
      <c r="AD354" t="s">
        <v>7046</v>
      </c>
      <c r="AE354" t="s">
        <v>7047</v>
      </c>
      <c r="AF354" t="s">
        <v>74</v>
      </c>
      <c r="AG354">
        <v>84</v>
      </c>
      <c r="AH354">
        <v>3</v>
      </c>
      <c r="AI354">
        <v>3</v>
      </c>
      <c r="AJ354">
        <v>0</v>
      </c>
      <c r="AK354">
        <v>5</v>
      </c>
      <c r="AL354" t="s">
        <v>7048</v>
      </c>
      <c r="AM354" t="s">
        <v>7049</v>
      </c>
      <c r="AN354" t="s">
        <v>7050</v>
      </c>
      <c r="AO354" t="s">
        <v>7051</v>
      </c>
      <c r="AP354" t="s">
        <v>7052</v>
      </c>
      <c r="AQ354" t="s">
        <v>74</v>
      </c>
      <c r="AR354" t="s">
        <v>7053</v>
      </c>
      <c r="AS354" t="s">
        <v>7054</v>
      </c>
      <c r="AT354" t="s">
        <v>74</v>
      </c>
      <c r="AU354">
        <v>2021</v>
      </c>
      <c r="AV354">
        <v>79</v>
      </c>
      <c r="AW354" t="s">
        <v>74</v>
      </c>
      <c r="AX354" t="s">
        <v>74</v>
      </c>
      <c r="AY354" t="s">
        <v>74</v>
      </c>
      <c r="AZ354" t="s">
        <v>74</v>
      </c>
      <c r="BA354" t="s">
        <v>74</v>
      </c>
      <c r="BB354">
        <v>171</v>
      </c>
      <c r="BC354">
        <v>188</v>
      </c>
      <c r="BD354" t="s">
        <v>74</v>
      </c>
      <c r="BE354" t="s">
        <v>7055</v>
      </c>
      <c r="BF354" t="str">
        <f>HYPERLINK("http://dx.doi.org/10.3897/asp.79.e62282","http://dx.doi.org/10.3897/asp.79.e62282")</f>
        <v>http://dx.doi.org/10.3897/asp.79.e62282</v>
      </c>
      <c r="BG354" t="s">
        <v>74</v>
      </c>
      <c r="BH354" t="s">
        <v>74</v>
      </c>
      <c r="BI354">
        <v>18</v>
      </c>
      <c r="BJ354" t="s">
        <v>7056</v>
      </c>
      <c r="BK354" t="s">
        <v>103</v>
      </c>
      <c r="BL354" t="s">
        <v>7056</v>
      </c>
      <c r="BM354" t="s">
        <v>7057</v>
      </c>
      <c r="BN354" t="s">
        <v>74</v>
      </c>
      <c r="BO354" t="s">
        <v>246</v>
      </c>
      <c r="BP354" t="s">
        <v>74</v>
      </c>
      <c r="BQ354" t="s">
        <v>74</v>
      </c>
      <c r="BR354" t="s">
        <v>106</v>
      </c>
      <c r="BS354" t="s">
        <v>7058</v>
      </c>
      <c r="BT354" t="str">
        <f>HYPERLINK("https%3A%2F%2Fwww.webofscience.com%2Fwos%2Fwoscc%2Ffull-record%2FWOS:000662730900009","View Full Record in Web of Science")</f>
        <v>View Full Record in Web of Science</v>
      </c>
    </row>
    <row r="355" spans="1:72" x14ac:dyDescent="0.15">
      <c r="A355" t="s">
        <v>72</v>
      </c>
      <c r="B355" t="s">
        <v>7059</v>
      </c>
      <c r="C355" t="s">
        <v>74</v>
      </c>
      <c r="D355" t="s">
        <v>74</v>
      </c>
      <c r="E355" t="s">
        <v>74</v>
      </c>
      <c r="F355" t="s">
        <v>7060</v>
      </c>
      <c r="G355" t="s">
        <v>74</v>
      </c>
      <c r="H355" t="s">
        <v>74</v>
      </c>
      <c r="I355" t="s">
        <v>7061</v>
      </c>
      <c r="J355" t="s">
        <v>7062</v>
      </c>
      <c r="K355" t="s">
        <v>74</v>
      </c>
      <c r="L355" t="s">
        <v>74</v>
      </c>
      <c r="M355" t="s">
        <v>7063</v>
      </c>
      <c r="N355" t="s">
        <v>79</v>
      </c>
      <c r="O355" t="s">
        <v>74</v>
      </c>
      <c r="P355" t="s">
        <v>74</v>
      </c>
      <c r="Q355" t="s">
        <v>74</v>
      </c>
      <c r="R355" t="s">
        <v>74</v>
      </c>
      <c r="S355" t="s">
        <v>74</v>
      </c>
      <c r="T355" t="s">
        <v>7064</v>
      </c>
      <c r="U355" t="s">
        <v>7065</v>
      </c>
      <c r="V355" t="s">
        <v>7066</v>
      </c>
      <c r="W355" t="s">
        <v>7067</v>
      </c>
      <c r="X355" t="s">
        <v>7068</v>
      </c>
      <c r="Y355" t="s">
        <v>7069</v>
      </c>
      <c r="Z355" t="s">
        <v>7070</v>
      </c>
      <c r="AA355" t="s">
        <v>7071</v>
      </c>
      <c r="AB355" t="s">
        <v>7072</v>
      </c>
      <c r="AC355" t="s">
        <v>74</v>
      </c>
      <c r="AD355" t="s">
        <v>74</v>
      </c>
      <c r="AE355" t="s">
        <v>74</v>
      </c>
      <c r="AF355" t="s">
        <v>74</v>
      </c>
      <c r="AG355">
        <v>68</v>
      </c>
      <c r="AH355">
        <v>2</v>
      </c>
      <c r="AI355">
        <v>2</v>
      </c>
      <c r="AJ355">
        <v>0</v>
      </c>
      <c r="AK355">
        <v>3</v>
      </c>
      <c r="AL355" t="s">
        <v>7073</v>
      </c>
      <c r="AM355" t="s">
        <v>7074</v>
      </c>
      <c r="AN355" t="s">
        <v>7075</v>
      </c>
      <c r="AO355" t="s">
        <v>7076</v>
      </c>
      <c r="AP355" t="s">
        <v>7077</v>
      </c>
      <c r="AQ355" t="s">
        <v>74</v>
      </c>
      <c r="AR355" t="s">
        <v>7078</v>
      </c>
      <c r="AS355" t="s">
        <v>7079</v>
      </c>
      <c r="AT355" t="s">
        <v>7080</v>
      </c>
      <c r="AU355">
        <v>2021</v>
      </c>
      <c r="AV355">
        <v>22</v>
      </c>
      <c r="AW355">
        <v>1</v>
      </c>
      <c r="AX355" t="s">
        <v>74</v>
      </c>
      <c r="AY355" t="s">
        <v>74</v>
      </c>
      <c r="AZ355" t="s">
        <v>74</v>
      </c>
      <c r="BA355" t="s">
        <v>74</v>
      </c>
      <c r="BB355">
        <v>187</v>
      </c>
      <c r="BC355">
        <v>201</v>
      </c>
      <c r="BD355" t="s">
        <v>74</v>
      </c>
      <c r="BE355" t="s">
        <v>7081</v>
      </c>
      <c r="BF355" t="str">
        <f>HYPERLINK("http://dx.doi.org/10.20502/rbg.v22i1.1996","http://dx.doi.org/10.20502/rbg.v22i1.1996")</f>
        <v>http://dx.doi.org/10.20502/rbg.v22i1.1996</v>
      </c>
      <c r="BG355" t="s">
        <v>74</v>
      </c>
      <c r="BH355" t="s">
        <v>74</v>
      </c>
      <c r="BI355">
        <v>15</v>
      </c>
      <c r="BJ355" t="s">
        <v>4731</v>
      </c>
      <c r="BK355" t="s">
        <v>3050</v>
      </c>
      <c r="BL355" t="s">
        <v>4732</v>
      </c>
      <c r="BM355" t="s">
        <v>7082</v>
      </c>
      <c r="BN355" t="s">
        <v>74</v>
      </c>
      <c r="BO355" t="s">
        <v>326</v>
      </c>
      <c r="BP355" t="s">
        <v>74</v>
      </c>
      <c r="BQ355" t="s">
        <v>74</v>
      </c>
      <c r="BR355" t="s">
        <v>106</v>
      </c>
      <c r="BS355" t="s">
        <v>7083</v>
      </c>
      <c r="BT355" t="str">
        <f>HYPERLINK("https%3A%2F%2Fwww.webofscience.com%2Fwos%2Fwoscc%2Ffull-record%2FWOS:000663354300011","View Full Record in Web of Science")</f>
        <v>View Full Record in Web of Science</v>
      </c>
    </row>
    <row r="356" spans="1:72" x14ac:dyDescent="0.15">
      <c r="A356" t="s">
        <v>72</v>
      </c>
      <c r="B356" t="s">
        <v>7084</v>
      </c>
      <c r="C356" t="s">
        <v>74</v>
      </c>
      <c r="D356" t="s">
        <v>74</v>
      </c>
      <c r="E356" t="s">
        <v>74</v>
      </c>
      <c r="F356" t="s">
        <v>7085</v>
      </c>
      <c r="G356" t="s">
        <v>74</v>
      </c>
      <c r="H356" t="s">
        <v>74</v>
      </c>
      <c r="I356" t="s">
        <v>7086</v>
      </c>
      <c r="J356" t="s">
        <v>7087</v>
      </c>
      <c r="K356" t="s">
        <v>74</v>
      </c>
      <c r="L356" t="s">
        <v>74</v>
      </c>
      <c r="M356" t="s">
        <v>4693</v>
      </c>
      <c r="N356" t="s">
        <v>79</v>
      </c>
      <c r="O356" t="s">
        <v>74</v>
      </c>
      <c r="P356" t="s">
        <v>74</v>
      </c>
      <c r="Q356" t="s">
        <v>74</v>
      </c>
      <c r="R356" t="s">
        <v>74</v>
      </c>
      <c r="S356" t="s">
        <v>74</v>
      </c>
      <c r="T356" t="s">
        <v>7088</v>
      </c>
      <c r="U356" t="s">
        <v>74</v>
      </c>
      <c r="V356" t="s">
        <v>7089</v>
      </c>
      <c r="W356" t="s">
        <v>7090</v>
      </c>
      <c r="X356" t="s">
        <v>7091</v>
      </c>
      <c r="Y356" t="s">
        <v>7092</v>
      </c>
      <c r="Z356" t="s">
        <v>7093</v>
      </c>
      <c r="AA356" t="s">
        <v>74</v>
      </c>
      <c r="AB356" t="s">
        <v>74</v>
      </c>
      <c r="AC356" t="s">
        <v>74</v>
      </c>
      <c r="AD356" t="s">
        <v>74</v>
      </c>
      <c r="AE356" t="s">
        <v>74</v>
      </c>
      <c r="AF356" t="s">
        <v>74</v>
      </c>
      <c r="AG356">
        <v>4</v>
      </c>
      <c r="AH356">
        <v>0</v>
      </c>
      <c r="AI356">
        <v>0</v>
      </c>
      <c r="AJ356">
        <v>0</v>
      </c>
      <c r="AK356">
        <v>1</v>
      </c>
      <c r="AL356" t="s">
        <v>7094</v>
      </c>
      <c r="AM356" t="s">
        <v>5333</v>
      </c>
      <c r="AN356" t="s">
        <v>7095</v>
      </c>
      <c r="AO356" t="s">
        <v>7096</v>
      </c>
      <c r="AP356" t="s">
        <v>74</v>
      </c>
      <c r="AQ356" t="s">
        <v>74</v>
      </c>
      <c r="AR356" t="s">
        <v>7097</v>
      </c>
      <c r="AS356" t="s">
        <v>7098</v>
      </c>
      <c r="AT356" t="s">
        <v>7099</v>
      </c>
      <c r="AU356">
        <v>2021</v>
      </c>
      <c r="AV356">
        <v>12</v>
      </c>
      <c r="AW356">
        <v>1</v>
      </c>
      <c r="AX356" t="s">
        <v>74</v>
      </c>
      <c r="AY356" t="s">
        <v>74</v>
      </c>
      <c r="AZ356" t="s">
        <v>74</v>
      </c>
      <c r="BA356" t="s">
        <v>74</v>
      </c>
      <c r="BB356">
        <v>1</v>
      </c>
      <c r="BC356">
        <v>5</v>
      </c>
      <c r="BD356" t="s">
        <v>74</v>
      </c>
      <c r="BE356" t="s">
        <v>74</v>
      </c>
      <c r="BF356" t="s">
        <v>74</v>
      </c>
      <c r="BG356" t="s">
        <v>74</v>
      </c>
      <c r="BH356" t="s">
        <v>74</v>
      </c>
      <c r="BI356">
        <v>5</v>
      </c>
      <c r="BJ356" t="s">
        <v>7100</v>
      </c>
      <c r="BK356" t="s">
        <v>3050</v>
      </c>
      <c r="BL356" t="s">
        <v>7100</v>
      </c>
      <c r="BM356" t="s">
        <v>7101</v>
      </c>
      <c r="BN356" t="s">
        <v>74</v>
      </c>
      <c r="BO356" t="s">
        <v>74</v>
      </c>
      <c r="BP356" t="s">
        <v>74</v>
      </c>
      <c r="BQ356" t="s">
        <v>74</v>
      </c>
      <c r="BR356" t="s">
        <v>106</v>
      </c>
      <c r="BS356" t="s">
        <v>7102</v>
      </c>
      <c r="BT356" t="str">
        <f>HYPERLINK("https%3A%2F%2Fwww.webofscience.com%2Fwos%2Fwoscc%2Ffull-record%2FWOS:000659282800001","View Full Record in Web of Science")</f>
        <v>View Full Record in Web of Science</v>
      </c>
    </row>
    <row r="357" spans="1:72" x14ac:dyDescent="0.15">
      <c r="A357" t="s">
        <v>72</v>
      </c>
      <c r="B357" t="s">
        <v>7103</v>
      </c>
      <c r="C357" t="s">
        <v>74</v>
      </c>
      <c r="D357" t="s">
        <v>74</v>
      </c>
      <c r="E357" t="s">
        <v>74</v>
      </c>
      <c r="F357" t="s">
        <v>7104</v>
      </c>
      <c r="G357" t="s">
        <v>74</v>
      </c>
      <c r="H357" t="s">
        <v>74</v>
      </c>
      <c r="I357" t="s">
        <v>7105</v>
      </c>
      <c r="J357" t="s">
        <v>7087</v>
      </c>
      <c r="K357" t="s">
        <v>74</v>
      </c>
      <c r="L357" t="s">
        <v>74</v>
      </c>
      <c r="M357" t="s">
        <v>4693</v>
      </c>
      <c r="N357" t="s">
        <v>79</v>
      </c>
      <c r="O357" t="s">
        <v>74</v>
      </c>
      <c r="P357" t="s">
        <v>74</v>
      </c>
      <c r="Q357" t="s">
        <v>74</v>
      </c>
      <c r="R357" t="s">
        <v>74</v>
      </c>
      <c r="S357" t="s">
        <v>74</v>
      </c>
      <c r="T357" t="s">
        <v>7106</v>
      </c>
      <c r="U357" t="s">
        <v>74</v>
      </c>
      <c r="V357" t="s">
        <v>7107</v>
      </c>
      <c r="W357" t="s">
        <v>7108</v>
      </c>
      <c r="X357" t="s">
        <v>74</v>
      </c>
      <c r="Y357" t="s">
        <v>7109</v>
      </c>
      <c r="Z357" t="s">
        <v>7110</v>
      </c>
      <c r="AA357" t="s">
        <v>74</v>
      </c>
      <c r="AB357" t="s">
        <v>74</v>
      </c>
      <c r="AC357" t="s">
        <v>74</v>
      </c>
      <c r="AD357" t="s">
        <v>74</v>
      </c>
      <c r="AE357" t="s">
        <v>74</v>
      </c>
      <c r="AF357" t="s">
        <v>74</v>
      </c>
      <c r="AG357">
        <v>49</v>
      </c>
      <c r="AH357">
        <v>0</v>
      </c>
      <c r="AI357">
        <v>0</v>
      </c>
      <c r="AJ357">
        <v>0</v>
      </c>
      <c r="AK357">
        <v>0</v>
      </c>
      <c r="AL357" t="s">
        <v>7094</v>
      </c>
      <c r="AM357" t="s">
        <v>5333</v>
      </c>
      <c r="AN357" t="s">
        <v>7095</v>
      </c>
      <c r="AO357" t="s">
        <v>7096</v>
      </c>
      <c r="AP357" t="s">
        <v>74</v>
      </c>
      <c r="AQ357" t="s">
        <v>74</v>
      </c>
      <c r="AR357" t="s">
        <v>7097</v>
      </c>
      <c r="AS357" t="s">
        <v>7098</v>
      </c>
      <c r="AT357" t="s">
        <v>7099</v>
      </c>
      <c r="AU357">
        <v>2021</v>
      </c>
      <c r="AV357">
        <v>12</v>
      </c>
      <c r="AW357">
        <v>1</v>
      </c>
      <c r="AX357" t="s">
        <v>74</v>
      </c>
      <c r="AY357" t="s">
        <v>74</v>
      </c>
      <c r="AZ357" t="s">
        <v>74</v>
      </c>
      <c r="BA357" t="s">
        <v>74</v>
      </c>
      <c r="BB357">
        <v>6</v>
      </c>
      <c r="BC357">
        <v>22</v>
      </c>
      <c r="BD357" t="s">
        <v>74</v>
      </c>
      <c r="BE357" t="s">
        <v>74</v>
      </c>
      <c r="BF357" t="s">
        <v>74</v>
      </c>
      <c r="BG357" t="s">
        <v>74</v>
      </c>
      <c r="BH357" t="s">
        <v>74</v>
      </c>
      <c r="BI357">
        <v>17</v>
      </c>
      <c r="BJ357" t="s">
        <v>7100</v>
      </c>
      <c r="BK357" t="s">
        <v>3050</v>
      </c>
      <c r="BL357" t="s">
        <v>7100</v>
      </c>
      <c r="BM357" t="s">
        <v>7101</v>
      </c>
      <c r="BN357" t="s">
        <v>74</v>
      </c>
      <c r="BO357" t="s">
        <v>74</v>
      </c>
      <c r="BP357" t="s">
        <v>74</v>
      </c>
      <c r="BQ357" t="s">
        <v>74</v>
      </c>
      <c r="BR357" t="s">
        <v>106</v>
      </c>
      <c r="BS357" t="s">
        <v>7111</v>
      </c>
      <c r="BT357" t="str">
        <f>HYPERLINK("https%3A%2F%2Fwww.webofscience.com%2Fwos%2Fwoscc%2Ffull-record%2FWOS:000659282800002","View Full Record in Web of Science")</f>
        <v>View Full Record in Web of Science</v>
      </c>
    </row>
    <row r="358" spans="1:72" x14ac:dyDescent="0.15">
      <c r="A358" t="s">
        <v>72</v>
      </c>
      <c r="B358" t="s">
        <v>7112</v>
      </c>
      <c r="C358" t="s">
        <v>74</v>
      </c>
      <c r="D358" t="s">
        <v>74</v>
      </c>
      <c r="E358" t="s">
        <v>74</v>
      </c>
      <c r="F358" t="s">
        <v>7113</v>
      </c>
      <c r="G358" t="s">
        <v>74</v>
      </c>
      <c r="H358" t="s">
        <v>74</v>
      </c>
      <c r="I358" t="s">
        <v>7114</v>
      </c>
      <c r="J358" t="s">
        <v>7087</v>
      </c>
      <c r="K358" t="s">
        <v>74</v>
      </c>
      <c r="L358" t="s">
        <v>74</v>
      </c>
      <c r="M358" t="s">
        <v>4693</v>
      </c>
      <c r="N358" t="s">
        <v>79</v>
      </c>
      <c r="O358" t="s">
        <v>74</v>
      </c>
      <c r="P358" t="s">
        <v>74</v>
      </c>
      <c r="Q358" t="s">
        <v>74</v>
      </c>
      <c r="R358" t="s">
        <v>74</v>
      </c>
      <c r="S358" t="s">
        <v>74</v>
      </c>
      <c r="T358" t="s">
        <v>7115</v>
      </c>
      <c r="U358" t="s">
        <v>74</v>
      </c>
      <c r="V358" t="s">
        <v>7116</v>
      </c>
      <c r="W358" t="s">
        <v>7117</v>
      </c>
      <c r="X358" t="s">
        <v>7118</v>
      </c>
      <c r="Y358" t="s">
        <v>7119</v>
      </c>
      <c r="Z358" t="s">
        <v>7120</v>
      </c>
      <c r="AA358" t="s">
        <v>74</v>
      </c>
      <c r="AB358" t="s">
        <v>74</v>
      </c>
      <c r="AC358" t="s">
        <v>74</v>
      </c>
      <c r="AD358" t="s">
        <v>74</v>
      </c>
      <c r="AE358" t="s">
        <v>74</v>
      </c>
      <c r="AF358" t="s">
        <v>74</v>
      </c>
      <c r="AG358">
        <v>27</v>
      </c>
      <c r="AH358">
        <v>0</v>
      </c>
      <c r="AI358">
        <v>0</v>
      </c>
      <c r="AJ358">
        <v>0</v>
      </c>
      <c r="AK358">
        <v>2</v>
      </c>
      <c r="AL358" t="s">
        <v>7094</v>
      </c>
      <c r="AM358" t="s">
        <v>5333</v>
      </c>
      <c r="AN358" t="s">
        <v>7095</v>
      </c>
      <c r="AO358" t="s">
        <v>7096</v>
      </c>
      <c r="AP358" t="s">
        <v>74</v>
      </c>
      <c r="AQ358" t="s">
        <v>74</v>
      </c>
      <c r="AR358" t="s">
        <v>7097</v>
      </c>
      <c r="AS358" t="s">
        <v>7098</v>
      </c>
      <c r="AT358" t="s">
        <v>7099</v>
      </c>
      <c r="AU358">
        <v>2021</v>
      </c>
      <c r="AV358">
        <v>12</v>
      </c>
      <c r="AW358">
        <v>1</v>
      </c>
      <c r="AX358" t="s">
        <v>74</v>
      </c>
      <c r="AY358" t="s">
        <v>74</v>
      </c>
      <c r="AZ358" t="s">
        <v>74</v>
      </c>
      <c r="BA358" t="s">
        <v>74</v>
      </c>
      <c r="BB358">
        <v>23</v>
      </c>
      <c r="BC358">
        <v>43</v>
      </c>
      <c r="BD358" t="s">
        <v>74</v>
      </c>
      <c r="BE358" t="s">
        <v>74</v>
      </c>
      <c r="BF358" t="s">
        <v>74</v>
      </c>
      <c r="BG358" t="s">
        <v>74</v>
      </c>
      <c r="BH358" t="s">
        <v>74</v>
      </c>
      <c r="BI358">
        <v>21</v>
      </c>
      <c r="BJ358" t="s">
        <v>7100</v>
      </c>
      <c r="BK358" t="s">
        <v>3050</v>
      </c>
      <c r="BL358" t="s">
        <v>7100</v>
      </c>
      <c r="BM358" t="s">
        <v>7101</v>
      </c>
      <c r="BN358" t="s">
        <v>74</v>
      </c>
      <c r="BO358" t="s">
        <v>74</v>
      </c>
      <c r="BP358" t="s">
        <v>74</v>
      </c>
      <c r="BQ358" t="s">
        <v>74</v>
      </c>
      <c r="BR358" t="s">
        <v>106</v>
      </c>
      <c r="BS358" t="s">
        <v>7121</v>
      </c>
      <c r="BT358" t="str">
        <f>HYPERLINK("https%3A%2F%2Fwww.webofscience.com%2Fwos%2Fwoscc%2Ffull-record%2FWOS:000659282800003","View Full Record in Web of Science")</f>
        <v>View Full Record in Web of Science</v>
      </c>
    </row>
    <row r="359" spans="1:72" x14ac:dyDescent="0.15">
      <c r="A359" t="s">
        <v>72</v>
      </c>
      <c r="B359" t="s">
        <v>7122</v>
      </c>
      <c r="C359" t="s">
        <v>74</v>
      </c>
      <c r="D359" t="s">
        <v>74</v>
      </c>
      <c r="E359" t="s">
        <v>74</v>
      </c>
      <c r="F359" t="s">
        <v>7123</v>
      </c>
      <c r="G359" t="s">
        <v>74</v>
      </c>
      <c r="H359" t="s">
        <v>74</v>
      </c>
      <c r="I359" t="s">
        <v>7124</v>
      </c>
      <c r="J359" t="s">
        <v>7087</v>
      </c>
      <c r="K359" t="s">
        <v>74</v>
      </c>
      <c r="L359" t="s">
        <v>74</v>
      </c>
      <c r="M359" t="s">
        <v>4693</v>
      </c>
      <c r="N359" t="s">
        <v>79</v>
      </c>
      <c r="O359" t="s">
        <v>74</v>
      </c>
      <c r="P359" t="s">
        <v>74</v>
      </c>
      <c r="Q359" t="s">
        <v>74</v>
      </c>
      <c r="R359" t="s">
        <v>74</v>
      </c>
      <c r="S359" t="s">
        <v>74</v>
      </c>
      <c r="T359" t="s">
        <v>7125</v>
      </c>
      <c r="U359" t="s">
        <v>74</v>
      </c>
      <c r="V359" t="s">
        <v>7126</v>
      </c>
      <c r="W359" t="s">
        <v>7127</v>
      </c>
      <c r="X359" t="s">
        <v>4483</v>
      </c>
      <c r="Y359" t="s">
        <v>7128</v>
      </c>
      <c r="Z359" t="s">
        <v>7129</v>
      </c>
      <c r="AA359" t="s">
        <v>74</v>
      </c>
      <c r="AB359" t="s">
        <v>74</v>
      </c>
      <c r="AC359" t="s">
        <v>74</v>
      </c>
      <c r="AD359" t="s">
        <v>74</v>
      </c>
      <c r="AE359" t="s">
        <v>74</v>
      </c>
      <c r="AF359" t="s">
        <v>74</v>
      </c>
      <c r="AG359">
        <v>49</v>
      </c>
      <c r="AH359">
        <v>0</v>
      </c>
      <c r="AI359">
        <v>0</v>
      </c>
      <c r="AJ359">
        <v>0</v>
      </c>
      <c r="AK359">
        <v>4</v>
      </c>
      <c r="AL359" t="s">
        <v>7094</v>
      </c>
      <c r="AM359" t="s">
        <v>5333</v>
      </c>
      <c r="AN359" t="s">
        <v>7095</v>
      </c>
      <c r="AO359" t="s">
        <v>7096</v>
      </c>
      <c r="AP359" t="s">
        <v>74</v>
      </c>
      <c r="AQ359" t="s">
        <v>74</v>
      </c>
      <c r="AR359" t="s">
        <v>7097</v>
      </c>
      <c r="AS359" t="s">
        <v>7098</v>
      </c>
      <c r="AT359" t="s">
        <v>7099</v>
      </c>
      <c r="AU359">
        <v>2021</v>
      </c>
      <c r="AV359">
        <v>12</v>
      </c>
      <c r="AW359">
        <v>1</v>
      </c>
      <c r="AX359" t="s">
        <v>74</v>
      </c>
      <c r="AY359" t="s">
        <v>74</v>
      </c>
      <c r="AZ359" t="s">
        <v>74</v>
      </c>
      <c r="BA359" t="s">
        <v>74</v>
      </c>
      <c r="BB359">
        <v>58</v>
      </c>
      <c r="BC359">
        <v>72</v>
      </c>
      <c r="BD359" t="s">
        <v>74</v>
      </c>
      <c r="BE359" t="s">
        <v>74</v>
      </c>
      <c r="BF359" t="s">
        <v>74</v>
      </c>
      <c r="BG359" t="s">
        <v>74</v>
      </c>
      <c r="BH359" t="s">
        <v>74</v>
      </c>
      <c r="BI359">
        <v>15</v>
      </c>
      <c r="BJ359" t="s">
        <v>7100</v>
      </c>
      <c r="BK359" t="s">
        <v>3050</v>
      </c>
      <c r="BL359" t="s">
        <v>7100</v>
      </c>
      <c r="BM359" t="s">
        <v>7101</v>
      </c>
      <c r="BN359" t="s">
        <v>74</v>
      </c>
      <c r="BO359" t="s">
        <v>74</v>
      </c>
      <c r="BP359" t="s">
        <v>74</v>
      </c>
      <c r="BQ359" t="s">
        <v>74</v>
      </c>
      <c r="BR359" t="s">
        <v>106</v>
      </c>
      <c r="BS359" t="s">
        <v>7130</v>
      </c>
      <c r="BT359" t="str">
        <f>HYPERLINK("https%3A%2F%2Fwww.webofscience.com%2Fwos%2Fwoscc%2Ffull-record%2FWOS:000659282800005","View Full Record in Web of Science")</f>
        <v>View Full Record in Web of Science</v>
      </c>
    </row>
    <row r="360" spans="1:72" x14ac:dyDescent="0.15">
      <c r="A360" t="s">
        <v>72</v>
      </c>
      <c r="B360" t="s">
        <v>7131</v>
      </c>
      <c r="C360" t="s">
        <v>74</v>
      </c>
      <c r="D360" t="s">
        <v>74</v>
      </c>
      <c r="E360" t="s">
        <v>74</v>
      </c>
      <c r="F360" t="s">
        <v>7132</v>
      </c>
      <c r="G360" t="s">
        <v>74</v>
      </c>
      <c r="H360" t="s">
        <v>74</v>
      </c>
      <c r="I360" t="s">
        <v>7133</v>
      </c>
      <c r="J360" t="s">
        <v>7134</v>
      </c>
      <c r="K360" t="s">
        <v>74</v>
      </c>
      <c r="L360" t="s">
        <v>74</v>
      </c>
      <c r="M360" t="s">
        <v>5447</v>
      </c>
      <c r="N360" t="s">
        <v>79</v>
      </c>
      <c r="O360" t="s">
        <v>74</v>
      </c>
      <c r="P360" t="s">
        <v>74</v>
      </c>
      <c r="Q360" t="s">
        <v>74</v>
      </c>
      <c r="R360" t="s">
        <v>74</v>
      </c>
      <c r="S360" t="s">
        <v>74</v>
      </c>
      <c r="T360" t="s">
        <v>7135</v>
      </c>
      <c r="U360" t="s">
        <v>7136</v>
      </c>
      <c r="V360" t="s">
        <v>7137</v>
      </c>
      <c r="W360" t="s">
        <v>7138</v>
      </c>
      <c r="X360" t="s">
        <v>7139</v>
      </c>
      <c r="Y360" t="s">
        <v>7140</v>
      </c>
      <c r="Z360" t="s">
        <v>7141</v>
      </c>
      <c r="AA360" t="s">
        <v>7142</v>
      </c>
      <c r="AB360" t="s">
        <v>7143</v>
      </c>
      <c r="AC360" t="s">
        <v>74</v>
      </c>
      <c r="AD360" t="s">
        <v>74</v>
      </c>
      <c r="AE360" t="s">
        <v>74</v>
      </c>
      <c r="AF360" t="s">
        <v>74</v>
      </c>
      <c r="AG360">
        <v>20</v>
      </c>
      <c r="AH360">
        <v>3</v>
      </c>
      <c r="AI360">
        <v>3</v>
      </c>
      <c r="AJ360">
        <v>0</v>
      </c>
      <c r="AK360">
        <v>5</v>
      </c>
      <c r="AL360" t="s">
        <v>7144</v>
      </c>
      <c r="AM360" t="s">
        <v>7145</v>
      </c>
      <c r="AN360" t="s">
        <v>7146</v>
      </c>
      <c r="AO360" t="s">
        <v>7147</v>
      </c>
      <c r="AP360" t="s">
        <v>7148</v>
      </c>
      <c r="AQ360" t="s">
        <v>74</v>
      </c>
      <c r="AR360" t="s">
        <v>7149</v>
      </c>
      <c r="AS360" t="s">
        <v>7150</v>
      </c>
      <c r="AT360" t="s">
        <v>74</v>
      </c>
      <c r="AU360">
        <v>2021</v>
      </c>
      <c r="AV360">
        <v>332</v>
      </c>
      <c r="AW360">
        <v>4</v>
      </c>
      <c r="AX360" t="s">
        <v>74</v>
      </c>
      <c r="AY360" t="s">
        <v>74</v>
      </c>
      <c r="AZ360" t="s">
        <v>74</v>
      </c>
      <c r="BA360" t="s">
        <v>74</v>
      </c>
      <c r="BB360">
        <v>114</v>
      </c>
      <c r="BC360">
        <v>122</v>
      </c>
      <c r="BD360" t="s">
        <v>74</v>
      </c>
      <c r="BE360" t="s">
        <v>7151</v>
      </c>
      <c r="BF360" t="str">
        <f>HYPERLINK("http://dx.doi.org/10.18799/24131830/2021/04/3154","http://dx.doi.org/10.18799/24131830/2021/04/3154")</f>
        <v>http://dx.doi.org/10.18799/24131830/2021/04/3154</v>
      </c>
      <c r="BG360" t="s">
        <v>74</v>
      </c>
      <c r="BH360" t="s">
        <v>74</v>
      </c>
      <c r="BI360">
        <v>9</v>
      </c>
      <c r="BJ360" t="s">
        <v>7152</v>
      </c>
      <c r="BK360" t="s">
        <v>3050</v>
      </c>
      <c r="BL360" t="s">
        <v>187</v>
      </c>
      <c r="BM360" t="s">
        <v>7153</v>
      </c>
      <c r="BN360" t="s">
        <v>74</v>
      </c>
      <c r="BO360" t="s">
        <v>74</v>
      </c>
      <c r="BP360" t="s">
        <v>74</v>
      </c>
      <c r="BQ360" t="s">
        <v>74</v>
      </c>
      <c r="BR360" t="s">
        <v>106</v>
      </c>
      <c r="BS360" t="s">
        <v>7154</v>
      </c>
      <c r="BT360" t="str">
        <f>HYPERLINK("https%3A%2F%2Fwww.webofscience.com%2Fwos%2Fwoscc%2Ffull-record%2FWOS:000653771900012","View Full Record in Web of Science")</f>
        <v>View Full Record in Web of Science</v>
      </c>
    </row>
    <row r="361" spans="1:72" x14ac:dyDescent="0.15">
      <c r="A361" t="s">
        <v>72</v>
      </c>
      <c r="B361" t="s">
        <v>7155</v>
      </c>
      <c r="C361" t="s">
        <v>74</v>
      </c>
      <c r="D361" t="s">
        <v>74</v>
      </c>
      <c r="E361" t="s">
        <v>74</v>
      </c>
      <c r="F361" t="s">
        <v>7156</v>
      </c>
      <c r="G361" t="s">
        <v>74</v>
      </c>
      <c r="H361" t="s">
        <v>74</v>
      </c>
      <c r="I361" t="s">
        <v>7157</v>
      </c>
      <c r="J361" t="s">
        <v>7158</v>
      </c>
      <c r="K361" t="s">
        <v>74</v>
      </c>
      <c r="L361" t="s">
        <v>74</v>
      </c>
      <c r="M361" t="s">
        <v>78</v>
      </c>
      <c r="N361" t="s">
        <v>79</v>
      </c>
      <c r="O361" t="s">
        <v>74</v>
      </c>
      <c r="P361" t="s">
        <v>74</v>
      </c>
      <c r="Q361" t="s">
        <v>74</v>
      </c>
      <c r="R361" t="s">
        <v>74</v>
      </c>
      <c r="S361" t="s">
        <v>74</v>
      </c>
      <c r="T361" t="s">
        <v>7159</v>
      </c>
      <c r="U361" t="s">
        <v>7160</v>
      </c>
      <c r="V361" t="s">
        <v>7161</v>
      </c>
      <c r="W361" t="s">
        <v>7162</v>
      </c>
      <c r="X361" t="s">
        <v>7163</v>
      </c>
      <c r="Y361" t="s">
        <v>7164</v>
      </c>
      <c r="Z361" t="s">
        <v>6364</v>
      </c>
      <c r="AA361" t="s">
        <v>7165</v>
      </c>
      <c r="AB361" t="s">
        <v>74</v>
      </c>
      <c r="AC361" t="s">
        <v>74</v>
      </c>
      <c r="AD361" t="s">
        <v>74</v>
      </c>
      <c r="AE361" t="s">
        <v>74</v>
      </c>
      <c r="AF361" t="s">
        <v>74</v>
      </c>
      <c r="AG361">
        <v>21</v>
      </c>
      <c r="AH361">
        <v>6</v>
      </c>
      <c r="AI361">
        <v>6</v>
      </c>
      <c r="AJ361">
        <v>0</v>
      </c>
      <c r="AK361">
        <v>1</v>
      </c>
      <c r="AL361" t="s">
        <v>7166</v>
      </c>
      <c r="AM361" t="s">
        <v>7167</v>
      </c>
      <c r="AN361" t="s">
        <v>7168</v>
      </c>
      <c r="AO361" t="s">
        <v>7169</v>
      </c>
      <c r="AP361" t="s">
        <v>7170</v>
      </c>
      <c r="AQ361" t="s">
        <v>74</v>
      </c>
      <c r="AR361" t="s">
        <v>7171</v>
      </c>
      <c r="AS361" t="s">
        <v>7172</v>
      </c>
      <c r="AT361" t="s">
        <v>74</v>
      </c>
      <c r="AU361">
        <v>2021</v>
      </c>
      <c r="AV361">
        <v>45</v>
      </c>
      <c r="AW361">
        <v>3</v>
      </c>
      <c r="AX361" t="s">
        <v>74</v>
      </c>
      <c r="AY361" t="s">
        <v>74</v>
      </c>
      <c r="AZ361" t="s">
        <v>74</v>
      </c>
      <c r="BA361" t="s">
        <v>74</v>
      </c>
      <c r="BB361">
        <v>216</v>
      </c>
      <c r="BC361">
        <v>223</v>
      </c>
      <c r="BD361" t="s">
        <v>74</v>
      </c>
      <c r="BE361" t="s">
        <v>7173</v>
      </c>
      <c r="BF361" t="str">
        <f>HYPERLINK("http://dx.doi.org/10.3906/bot-2101-24","http://dx.doi.org/10.3906/bot-2101-24")</f>
        <v>http://dx.doi.org/10.3906/bot-2101-24</v>
      </c>
      <c r="BG361" t="s">
        <v>74</v>
      </c>
      <c r="BH361" t="s">
        <v>74</v>
      </c>
      <c r="BI361">
        <v>8</v>
      </c>
      <c r="BJ361" t="s">
        <v>7174</v>
      </c>
      <c r="BK361" t="s">
        <v>103</v>
      </c>
      <c r="BL361" t="s">
        <v>7174</v>
      </c>
      <c r="BM361" t="s">
        <v>7175</v>
      </c>
      <c r="BN361" t="s">
        <v>74</v>
      </c>
      <c r="BO361" t="s">
        <v>7176</v>
      </c>
      <c r="BP361" t="s">
        <v>74</v>
      </c>
      <c r="BQ361" t="s">
        <v>74</v>
      </c>
      <c r="BR361" t="s">
        <v>106</v>
      </c>
      <c r="BS361" t="s">
        <v>7177</v>
      </c>
      <c r="BT361" t="str">
        <f>HYPERLINK("https%3A%2F%2Fwww.webofscience.com%2Fwos%2Fwoscc%2Ffull-record%2FWOS:000656529600004","View Full Record in Web of Science")</f>
        <v>View Full Record in Web of Science</v>
      </c>
    </row>
    <row r="362" spans="1:72" x14ac:dyDescent="0.15">
      <c r="A362" t="s">
        <v>72</v>
      </c>
      <c r="B362" t="s">
        <v>7178</v>
      </c>
      <c r="C362" t="s">
        <v>74</v>
      </c>
      <c r="D362" t="s">
        <v>74</v>
      </c>
      <c r="E362" t="s">
        <v>74</v>
      </c>
      <c r="F362" t="s">
        <v>7179</v>
      </c>
      <c r="G362" t="s">
        <v>74</v>
      </c>
      <c r="H362" t="s">
        <v>74</v>
      </c>
      <c r="I362" t="s">
        <v>7180</v>
      </c>
      <c r="J362" t="s">
        <v>5446</v>
      </c>
      <c r="K362" t="s">
        <v>74</v>
      </c>
      <c r="L362" t="s">
        <v>74</v>
      </c>
      <c r="M362" t="s">
        <v>5447</v>
      </c>
      <c r="N362" t="s">
        <v>79</v>
      </c>
      <c r="O362" t="s">
        <v>74</v>
      </c>
      <c r="P362" t="s">
        <v>74</v>
      </c>
      <c r="Q362" t="s">
        <v>74</v>
      </c>
      <c r="R362" t="s">
        <v>74</v>
      </c>
      <c r="S362" t="s">
        <v>74</v>
      </c>
      <c r="T362" t="s">
        <v>7181</v>
      </c>
      <c r="U362" t="s">
        <v>7182</v>
      </c>
      <c r="V362" t="s">
        <v>7183</v>
      </c>
      <c r="W362" t="s">
        <v>7184</v>
      </c>
      <c r="X362" t="s">
        <v>7185</v>
      </c>
      <c r="Y362" t="s">
        <v>7186</v>
      </c>
      <c r="Z362" t="s">
        <v>7187</v>
      </c>
      <c r="AA362" t="s">
        <v>7188</v>
      </c>
      <c r="AB362" t="s">
        <v>74</v>
      </c>
      <c r="AC362" t="s">
        <v>7189</v>
      </c>
      <c r="AD362" t="s">
        <v>7190</v>
      </c>
      <c r="AE362" t="s">
        <v>7191</v>
      </c>
      <c r="AF362" t="s">
        <v>74</v>
      </c>
      <c r="AG362">
        <v>22</v>
      </c>
      <c r="AH362">
        <v>0</v>
      </c>
      <c r="AI362">
        <v>0</v>
      </c>
      <c r="AJ362">
        <v>0</v>
      </c>
      <c r="AK362">
        <v>2</v>
      </c>
      <c r="AL362" t="s">
        <v>5460</v>
      </c>
      <c r="AM362" t="s">
        <v>5461</v>
      </c>
      <c r="AN362" t="s">
        <v>5462</v>
      </c>
      <c r="AO362" t="s">
        <v>5463</v>
      </c>
      <c r="AP362" t="s">
        <v>5464</v>
      </c>
      <c r="AQ362" t="s">
        <v>74</v>
      </c>
      <c r="AR362" t="s">
        <v>5465</v>
      </c>
      <c r="AS362" t="s">
        <v>5466</v>
      </c>
      <c r="AT362" t="s">
        <v>74</v>
      </c>
      <c r="AU362">
        <v>2021</v>
      </c>
      <c r="AV362">
        <v>61</v>
      </c>
      <c r="AW362">
        <v>2</v>
      </c>
      <c r="AX362" t="s">
        <v>74</v>
      </c>
      <c r="AY362" t="s">
        <v>74</v>
      </c>
      <c r="AZ362" t="s">
        <v>74</v>
      </c>
      <c r="BA362" t="s">
        <v>74</v>
      </c>
      <c r="BB362">
        <v>232</v>
      </c>
      <c r="BC362">
        <v>240</v>
      </c>
      <c r="BD362" t="s">
        <v>74</v>
      </c>
      <c r="BE362" t="s">
        <v>7192</v>
      </c>
      <c r="BF362" t="str">
        <f>HYPERLINK("http://dx.doi.org/10.31857/S2076673421020084","http://dx.doi.org/10.31857/S2076673421020084")</f>
        <v>http://dx.doi.org/10.31857/S2076673421020084</v>
      </c>
      <c r="BG362" t="s">
        <v>74</v>
      </c>
      <c r="BH362" t="s">
        <v>74</v>
      </c>
      <c r="BI362">
        <v>9</v>
      </c>
      <c r="BJ362" t="s">
        <v>401</v>
      </c>
      <c r="BK362" t="s">
        <v>3050</v>
      </c>
      <c r="BL362" t="s">
        <v>402</v>
      </c>
      <c r="BM362" t="s">
        <v>7193</v>
      </c>
      <c r="BN362" t="s">
        <v>74</v>
      </c>
      <c r="BO362" t="s">
        <v>326</v>
      </c>
      <c r="BP362" t="s">
        <v>74</v>
      </c>
      <c r="BQ362" t="s">
        <v>74</v>
      </c>
      <c r="BR362" t="s">
        <v>106</v>
      </c>
      <c r="BS362" t="s">
        <v>7194</v>
      </c>
      <c r="BT362" t="str">
        <f>HYPERLINK("https%3A%2F%2Fwww.webofscience.com%2Fwos%2Fwoscc%2Ffull-record%2FWOS:000655410200006","View Full Record in Web of Science")</f>
        <v>View Full Record in Web of Science</v>
      </c>
    </row>
    <row r="363" spans="1:72" x14ac:dyDescent="0.15">
      <c r="A363" t="s">
        <v>72</v>
      </c>
      <c r="B363" t="s">
        <v>7195</v>
      </c>
      <c r="C363" t="s">
        <v>74</v>
      </c>
      <c r="D363" t="s">
        <v>74</v>
      </c>
      <c r="E363" t="s">
        <v>74</v>
      </c>
      <c r="F363" t="s">
        <v>7196</v>
      </c>
      <c r="G363" t="s">
        <v>74</v>
      </c>
      <c r="H363" t="s">
        <v>74</v>
      </c>
      <c r="I363" t="s">
        <v>7197</v>
      </c>
      <c r="J363" t="s">
        <v>5446</v>
      </c>
      <c r="K363" t="s">
        <v>74</v>
      </c>
      <c r="L363" t="s">
        <v>74</v>
      </c>
      <c r="M363" t="s">
        <v>5447</v>
      </c>
      <c r="N363" t="s">
        <v>79</v>
      </c>
      <c r="O363" t="s">
        <v>74</v>
      </c>
      <c r="P363" t="s">
        <v>74</v>
      </c>
      <c r="Q363" t="s">
        <v>74</v>
      </c>
      <c r="R363" t="s">
        <v>74</v>
      </c>
      <c r="S363" t="s">
        <v>74</v>
      </c>
      <c r="T363" t="s">
        <v>7198</v>
      </c>
      <c r="U363" t="s">
        <v>74</v>
      </c>
      <c r="V363" t="s">
        <v>7199</v>
      </c>
      <c r="W363" t="s">
        <v>7200</v>
      </c>
      <c r="X363" t="s">
        <v>465</v>
      </c>
      <c r="Y363" t="s">
        <v>7201</v>
      </c>
      <c r="Z363" t="s">
        <v>7202</v>
      </c>
      <c r="AA363" t="s">
        <v>74</v>
      </c>
      <c r="AB363" t="s">
        <v>7203</v>
      </c>
      <c r="AC363" t="s">
        <v>7204</v>
      </c>
      <c r="AD363" t="s">
        <v>7205</v>
      </c>
      <c r="AE363" t="s">
        <v>7206</v>
      </c>
      <c r="AF363" t="s">
        <v>74</v>
      </c>
      <c r="AG363">
        <v>11</v>
      </c>
      <c r="AH363">
        <v>4</v>
      </c>
      <c r="AI363">
        <v>4</v>
      </c>
      <c r="AJ363">
        <v>0</v>
      </c>
      <c r="AK363">
        <v>3</v>
      </c>
      <c r="AL363" t="s">
        <v>5460</v>
      </c>
      <c r="AM363" t="s">
        <v>5461</v>
      </c>
      <c r="AN363" t="s">
        <v>5462</v>
      </c>
      <c r="AO363" t="s">
        <v>5463</v>
      </c>
      <c r="AP363" t="s">
        <v>5464</v>
      </c>
      <c r="AQ363" t="s">
        <v>74</v>
      </c>
      <c r="AR363" t="s">
        <v>5465</v>
      </c>
      <c r="AS363" t="s">
        <v>5466</v>
      </c>
      <c r="AT363" t="s">
        <v>74</v>
      </c>
      <c r="AU363">
        <v>2021</v>
      </c>
      <c r="AV363">
        <v>61</v>
      </c>
      <c r="AW363">
        <v>2</v>
      </c>
      <c r="AX363" t="s">
        <v>74</v>
      </c>
      <c r="AY363" t="s">
        <v>74</v>
      </c>
      <c r="AZ363" t="s">
        <v>74</v>
      </c>
      <c r="BA363" t="s">
        <v>74</v>
      </c>
      <c r="BB363">
        <v>291</v>
      </c>
      <c r="BC363">
        <v>300</v>
      </c>
      <c r="BD363" t="s">
        <v>74</v>
      </c>
      <c r="BE363" t="s">
        <v>7207</v>
      </c>
      <c r="BF363" t="str">
        <f>HYPERLINK("http://dx.doi.org/10.31857/S2076673421020089","http://dx.doi.org/10.31857/S2076673421020089")</f>
        <v>http://dx.doi.org/10.31857/S2076673421020089</v>
      </c>
      <c r="BG363" t="s">
        <v>74</v>
      </c>
      <c r="BH363" t="s">
        <v>74</v>
      </c>
      <c r="BI363">
        <v>10</v>
      </c>
      <c r="BJ363" t="s">
        <v>401</v>
      </c>
      <c r="BK363" t="s">
        <v>3050</v>
      </c>
      <c r="BL363" t="s">
        <v>402</v>
      </c>
      <c r="BM363" t="s">
        <v>7193</v>
      </c>
      <c r="BN363" t="s">
        <v>74</v>
      </c>
      <c r="BO363" t="s">
        <v>326</v>
      </c>
      <c r="BP363" t="s">
        <v>74</v>
      </c>
      <c r="BQ363" t="s">
        <v>74</v>
      </c>
      <c r="BR363" t="s">
        <v>106</v>
      </c>
      <c r="BS363" t="s">
        <v>7208</v>
      </c>
      <c r="BT363" t="str">
        <f>HYPERLINK("https%3A%2F%2Fwww.webofscience.com%2Fwos%2Fwoscc%2Ffull-record%2FWOS:000655410200011","View Full Record in Web of Science")</f>
        <v>View Full Record in Web of Science</v>
      </c>
    </row>
    <row r="364" spans="1:72" x14ac:dyDescent="0.15">
      <c r="A364" t="s">
        <v>72</v>
      </c>
      <c r="B364" t="s">
        <v>7209</v>
      </c>
      <c r="C364" t="s">
        <v>74</v>
      </c>
      <c r="D364" t="s">
        <v>74</v>
      </c>
      <c r="E364" t="s">
        <v>74</v>
      </c>
      <c r="F364" t="s">
        <v>7210</v>
      </c>
      <c r="G364" t="s">
        <v>74</v>
      </c>
      <c r="H364" t="s">
        <v>74</v>
      </c>
      <c r="I364" t="s">
        <v>7211</v>
      </c>
      <c r="J364" t="s">
        <v>5446</v>
      </c>
      <c r="K364" t="s">
        <v>74</v>
      </c>
      <c r="L364" t="s">
        <v>74</v>
      </c>
      <c r="M364" t="s">
        <v>5447</v>
      </c>
      <c r="N364" t="s">
        <v>79</v>
      </c>
      <c r="O364" t="s">
        <v>74</v>
      </c>
      <c r="P364" t="s">
        <v>74</v>
      </c>
      <c r="Q364" t="s">
        <v>74</v>
      </c>
      <c r="R364" t="s">
        <v>74</v>
      </c>
      <c r="S364" t="s">
        <v>74</v>
      </c>
      <c r="T364" t="s">
        <v>7212</v>
      </c>
      <c r="U364" t="s">
        <v>74</v>
      </c>
      <c r="V364" t="s">
        <v>7213</v>
      </c>
      <c r="W364" t="s">
        <v>7214</v>
      </c>
      <c r="X364" t="s">
        <v>465</v>
      </c>
      <c r="Y364" t="s">
        <v>7215</v>
      </c>
      <c r="Z364" t="s">
        <v>7216</v>
      </c>
      <c r="AA364" t="s">
        <v>74</v>
      </c>
      <c r="AB364" t="s">
        <v>74</v>
      </c>
      <c r="AC364" t="s">
        <v>74</v>
      </c>
      <c r="AD364" t="s">
        <v>74</v>
      </c>
      <c r="AE364" t="s">
        <v>74</v>
      </c>
      <c r="AF364" t="s">
        <v>74</v>
      </c>
      <c r="AG364">
        <v>12</v>
      </c>
      <c r="AH364">
        <v>0</v>
      </c>
      <c r="AI364">
        <v>0</v>
      </c>
      <c r="AJ364">
        <v>1</v>
      </c>
      <c r="AK364">
        <v>1</v>
      </c>
      <c r="AL364" t="s">
        <v>5460</v>
      </c>
      <c r="AM364" t="s">
        <v>5461</v>
      </c>
      <c r="AN364" t="s">
        <v>5462</v>
      </c>
      <c r="AO364" t="s">
        <v>5463</v>
      </c>
      <c r="AP364" t="s">
        <v>5464</v>
      </c>
      <c r="AQ364" t="s">
        <v>74</v>
      </c>
      <c r="AR364" t="s">
        <v>5465</v>
      </c>
      <c r="AS364" t="s">
        <v>5466</v>
      </c>
      <c r="AT364" t="s">
        <v>74</v>
      </c>
      <c r="AU364">
        <v>2021</v>
      </c>
      <c r="AV364">
        <v>61</v>
      </c>
      <c r="AW364">
        <v>2</v>
      </c>
      <c r="AX364" t="s">
        <v>74</v>
      </c>
      <c r="AY364" t="s">
        <v>74</v>
      </c>
      <c r="AZ364" t="s">
        <v>74</v>
      </c>
      <c r="BA364" t="s">
        <v>74</v>
      </c>
      <c r="BB364">
        <v>311</v>
      </c>
      <c r="BC364">
        <v>320</v>
      </c>
      <c r="BD364" t="s">
        <v>74</v>
      </c>
      <c r="BE364" t="s">
        <v>7217</v>
      </c>
      <c r="BF364" t="str">
        <f>HYPERLINK("http://dx.doi.org/10.31857/S2076673421020091","http://dx.doi.org/10.31857/S2076673421020091")</f>
        <v>http://dx.doi.org/10.31857/S2076673421020091</v>
      </c>
      <c r="BG364" t="s">
        <v>74</v>
      </c>
      <c r="BH364" t="s">
        <v>74</v>
      </c>
      <c r="BI364">
        <v>10</v>
      </c>
      <c r="BJ364" t="s">
        <v>401</v>
      </c>
      <c r="BK364" t="s">
        <v>3050</v>
      </c>
      <c r="BL364" t="s">
        <v>402</v>
      </c>
      <c r="BM364" t="s">
        <v>7193</v>
      </c>
      <c r="BN364" t="s">
        <v>74</v>
      </c>
      <c r="BO364" t="s">
        <v>326</v>
      </c>
      <c r="BP364" t="s">
        <v>74</v>
      </c>
      <c r="BQ364" t="s">
        <v>74</v>
      </c>
      <c r="BR364" t="s">
        <v>106</v>
      </c>
      <c r="BS364" t="s">
        <v>7218</v>
      </c>
      <c r="BT364" t="str">
        <f>HYPERLINK("https%3A%2F%2Fwww.webofscience.com%2Fwos%2Fwoscc%2Ffull-record%2FWOS:000655410200013","View Full Record in Web of Science")</f>
        <v>View Full Record in Web of Science</v>
      </c>
    </row>
    <row r="365" spans="1:72" x14ac:dyDescent="0.15">
      <c r="A365" t="s">
        <v>72</v>
      </c>
      <c r="B365" t="s">
        <v>7219</v>
      </c>
      <c r="C365" t="s">
        <v>74</v>
      </c>
      <c r="D365" t="s">
        <v>74</v>
      </c>
      <c r="E365" t="s">
        <v>74</v>
      </c>
      <c r="F365" t="s">
        <v>7220</v>
      </c>
      <c r="G365" t="s">
        <v>74</v>
      </c>
      <c r="H365" t="s">
        <v>74</v>
      </c>
      <c r="I365" t="s">
        <v>7221</v>
      </c>
      <c r="J365" t="s">
        <v>7222</v>
      </c>
      <c r="K365" t="s">
        <v>74</v>
      </c>
      <c r="L365" t="s">
        <v>74</v>
      </c>
      <c r="M365" t="s">
        <v>78</v>
      </c>
      <c r="N365" t="s">
        <v>79</v>
      </c>
      <c r="O365" t="s">
        <v>74</v>
      </c>
      <c r="P365" t="s">
        <v>74</v>
      </c>
      <c r="Q365" t="s">
        <v>74</v>
      </c>
      <c r="R365" t="s">
        <v>74</v>
      </c>
      <c r="S365" t="s">
        <v>74</v>
      </c>
      <c r="T365" t="s">
        <v>7223</v>
      </c>
      <c r="U365" t="s">
        <v>7224</v>
      </c>
      <c r="V365" t="s">
        <v>7225</v>
      </c>
      <c r="W365" t="s">
        <v>7226</v>
      </c>
      <c r="X365" t="s">
        <v>7227</v>
      </c>
      <c r="Y365" t="s">
        <v>7228</v>
      </c>
      <c r="Z365" t="s">
        <v>7229</v>
      </c>
      <c r="AA365" t="s">
        <v>7230</v>
      </c>
      <c r="AB365" t="s">
        <v>74</v>
      </c>
      <c r="AC365" t="s">
        <v>74</v>
      </c>
      <c r="AD365" t="s">
        <v>74</v>
      </c>
      <c r="AE365" t="s">
        <v>74</v>
      </c>
      <c r="AF365" t="s">
        <v>74</v>
      </c>
      <c r="AG365">
        <v>27</v>
      </c>
      <c r="AH365">
        <v>2</v>
      </c>
      <c r="AI365">
        <v>2</v>
      </c>
      <c r="AJ365">
        <v>1</v>
      </c>
      <c r="AK365">
        <v>4</v>
      </c>
      <c r="AL365" t="s">
        <v>7231</v>
      </c>
      <c r="AM365" t="s">
        <v>7232</v>
      </c>
      <c r="AN365" t="s">
        <v>7233</v>
      </c>
      <c r="AO365" t="s">
        <v>7234</v>
      </c>
      <c r="AP365" t="s">
        <v>7235</v>
      </c>
      <c r="AQ365" t="s">
        <v>74</v>
      </c>
      <c r="AR365" t="s">
        <v>7236</v>
      </c>
      <c r="AS365" t="s">
        <v>7237</v>
      </c>
      <c r="AT365" t="s">
        <v>74</v>
      </c>
      <c r="AU365">
        <v>2021</v>
      </c>
      <c r="AV365">
        <v>29</v>
      </c>
      <c r="AW365">
        <v>2</v>
      </c>
      <c r="AX365" t="s">
        <v>74</v>
      </c>
      <c r="AY365" t="s">
        <v>74</v>
      </c>
      <c r="AZ365" t="s">
        <v>74</v>
      </c>
      <c r="BA365" t="s">
        <v>74</v>
      </c>
      <c r="BB365">
        <v>185</v>
      </c>
      <c r="BC365">
        <v>196</v>
      </c>
      <c r="BD365" t="s">
        <v>74</v>
      </c>
      <c r="BE365" t="s">
        <v>74</v>
      </c>
      <c r="BF365" t="s">
        <v>74</v>
      </c>
      <c r="BG365" t="s">
        <v>74</v>
      </c>
      <c r="BH365" t="s">
        <v>74</v>
      </c>
      <c r="BI365">
        <v>12</v>
      </c>
      <c r="BJ365" t="s">
        <v>7238</v>
      </c>
      <c r="BK365" t="s">
        <v>103</v>
      </c>
      <c r="BL365" t="s">
        <v>377</v>
      </c>
      <c r="BM365" t="s">
        <v>7239</v>
      </c>
      <c r="BN365" t="s">
        <v>74</v>
      </c>
      <c r="BO365" t="s">
        <v>74</v>
      </c>
      <c r="BP365" t="s">
        <v>74</v>
      </c>
      <c r="BQ365" t="s">
        <v>74</v>
      </c>
      <c r="BR365" t="s">
        <v>106</v>
      </c>
      <c r="BS365" t="s">
        <v>7240</v>
      </c>
      <c r="BT365" t="str">
        <f>HYPERLINK("https%3A%2F%2Fwww.webofscience.com%2Fwos%2Fwoscc%2Ffull-record%2FWOS:000654758200006","View Full Record in Web of Science")</f>
        <v>View Full Record in Web of Science</v>
      </c>
    </row>
    <row r="366" spans="1:72" x14ac:dyDescent="0.15">
      <c r="A366" t="s">
        <v>72</v>
      </c>
      <c r="B366" t="s">
        <v>7241</v>
      </c>
      <c r="C366" t="s">
        <v>74</v>
      </c>
      <c r="D366" t="s">
        <v>74</v>
      </c>
      <c r="E366" t="s">
        <v>74</v>
      </c>
      <c r="F366" t="s">
        <v>7242</v>
      </c>
      <c r="G366" t="s">
        <v>74</v>
      </c>
      <c r="H366" t="s">
        <v>74</v>
      </c>
      <c r="I366" t="s">
        <v>7243</v>
      </c>
      <c r="J366" t="s">
        <v>7244</v>
      </c>
      <c r="K366" t="s">
        <v>74</v>
      </c>
      <c r="L366" t="s">
        <v>74</v>
      </c>
      <c r="M366" t="s">
        <v>78</v>
      </c>
      <c r="N366" t="s">
        <v>79</v>
      </c>
      <c r="O366" t="s">
        <v>74</v>
      </c>
      <c r="P366" t="s">
        <v>74</v>
      </c>
      <c r="Q366" t="s">
        <v>74</v>
      </c>
      <c r="R366" t="s">
        <v>74</v>
      </c>
      <c r="S366" t="s">
        <v>74</v>
      </c>
      <c r="T366" t="s">
        <v>7245</v>
      </c>
      <c r="U366" t="s">
        <v>7246</v>
      </c>
      <c r="V366" t="s">
        <v>7247</v>
      </c>
      <c r="W366" t="s">
        <v>7248</v>
      </c>
      <c r="X366" t="s">
        <v>7249</v>
      </c>
      <c r="Y366" t="s">
        <v>7250</v>
      </c>
      <c r="Z366" t="s">
        <v>7251</v>
      </c>
      <c r="AA366" t="s">
        <v>7252</v>
      </c>
      <c r="AB366" t="s">
        <v>7253</v>
      </c>
      <c r="AC366" t="s">
        <v>74</v>
      </c>
      <c r="AD366" t="s">
        <v>74</v>
      </c>
      <c r="AE366" t="s">
        <v>74</v>
      </c>
      <c r="AF366" t="s">
        <v>74</v>
      </c>
      <c r="AG366">
        <v>21</v>
      </c>
      <c r="AH366">
        <v>1</v>
      </c>
      <c r="AI366">
        <v>1</v>
      </c>
      <c r="AJ366">
        <v>1</v>
      </c>
      <c r="AK366">
        <v>6</v>
      </c>
      <c r="AL366" t="s">
        <v>7254</v>
      </c>
      <c r="AM366" t="s">
        <v>7255</v>
      </c>
      <c r="AN366" t="s">
        <v>7256</v>
      </c>
      <c r="AO366" t="s">
        <v>7257</v>
      </c>
      <c r="AP366" t="s">
        <v>74</v>
      </c>
      <c r="AQ366" t="s">
        <v>74</v>
      </c>
      <c r="AR366" t="s">
        <v>7258</v>
      </c>
      <c r="AS366" t="s">
        <v>7259</v>
      </c>
      <c r="AT366" t="s">
        <v>74</v>
      </c>
      <c r="AU366">
        <v>2021</v>
      </c>
      <c r="AV366">
        <v>11</v>
      </c>
      <c r="AW366">
        <v>2</v>
      </c>
      <c r="AX366" t="s">
        <v>74</v>
      </c>
      <c r="AY366" t="s">
        <v>74</v>
      </c>
      <c r="AZ366" t="s">
        <v>74</v>
      </c>
      <c r="BA366" t="s">
        <v>74</v>
      </c>
      <c r="BB366">
        <v>72</v>
      </c>
      <c r="BC366">
        <v>76</v>
      </c>
      <c r="BD366" t="s">
        <v>74</v>
      </c>
      <c r="BE366" t="s">
        <v>7260</v>
      </c>
      <c r="BF366" t="str">
        <f>HYPERLINK("http://dx.doi.org/10.15421/2021_79","http://dx.doi.org/10.15421/2021_79")</f>
        <v>http://dx.doi.org/10.15421/2021_79</v>
      </c>
      <c r="BG366" t="s">
        <v>74</v>
      </c>
      <c r="BH366" t="s">
        <v>74</v>
      </c>
      <c r="BI366">
        <v>5</v>
      </c>
      <c r="BJ366" t="s">
        <v>6351</v>
      </c>
      <c r="BK366" t="s">
        <v>3050</v>
      </c>
      <c r="BL366" t="s">
        <v>6352</v>
      </c>
      <c r="BM366" t="s">
        <v>7261</v>
      </c>
      <c r="BN366" t="s">
        <v>74</v>
      </c>
      <c r="BO366" t="s">
        <v>74</v>
      </c>
      <c r="BP366" t="s">
        <v>74</v>
      </c>
      <c r="BQ366" t="s">
        <v>74</v>
      </c>
      <c r="BR366" t="s">
        <v>106</v>
      </c>
      <c r="BS366" t="s">
        <v>7262</v>
      </c>
      <c r="BT366" t="str">
        <f>HYPERLINK("https%3A%2F%2Fwww.webofscience.com%2Fwos%2Fwoscc%2Ffull-record%2FWOS:000653458100012","View Full Record in Web of Science")</f>
        <v>View Full Record in Web of Science</v>
      </c>
    </row>
    <row r="367" spans="1:72" x14ac:dyDescent="0.15">
      <c r="A367" t="s">
        <v>72</v>
      </c>
      <c r="B367" t="s">
        <v>7263</v>
      </c>
      <c r="C367" t="s">
        <v>74</v>
      </c>
      <c r="D367" t="s">
        <v>74</v>
      </c>
      <c r="E367" t="s">
        <v>74</v>
      </c>
      <c r="F367" t="s">
        <v>7264</v>
      </c>
      <c r="G367" t="s">
        <v>74</v>
      </c>
      <c r="H367" t="s">
        <v>74</v>
      </c>
      <c r="I367" t="s">
        <v>7265</v>
      </c>
      <c r="J367" t="s">
        <v>6486</v>
      </c>
      <c r="K367" t="s">
        <v>74</v>
      </c>
      <c r="L367" t="s">
        <v>74</v>
      </c>
      <c r="M367" t="s">
        <v>78</v>
      </c>
      <c r="N367" t="s">
        <v>3976</v>
      </c>
      <c r="O367" t="s">
        <v>74</v>
      </c>
      <c r="P367" t="s">
        <v>74</v>
      </c>
      <c r="Q367" t="s">
        <v>74</v>
      </c>
      <c r="R367" t="s">
        <v>74</v>
      </c>
      <c r="S367" t="s">
        <v>74</v>
      </c>
      <c r="T367" t="s">
        <v>74</v>
      </c>
      <c r="U367" t="s">
        <v>7266</v>
      </c>
      <c r="V367" t="s">
        <v>74</v>
      </c>
      <c r="W367" t="s">
        <v>7267</v>
      </c>
      <c r="X367" t="s">
        <v>7268</v>
      </c>
      <c r="Y367" t="s">
        <v>7269</v>
      </c>
      <c r="Z367" t="s">
        <v>7270</v>
      </c>
      <c r="AA367" t="s">
        <v>74</v>
      </c>
      <c r="AB367" t="s">
        <v>74</v>
      </c>
      <c r="AC367" t="s">
        <v>74</v>
      </c>
      <c r="AD367" t="s">
        <v>74</v>
      </c>
      <c r="AE367" t="s">
        <v>74</v>
      </c>
      <c r="AF367" t="s">
        <v>74</v>
      </c>
      <c r="AG367">
        <v>37</v>
      </c>
      <c r="AH367">
        <v>2</v>
      </c>
      <c r="AI367">
        <v>2</v>
      </c>
      <c r="AJ367">
        <v>0</v>
      </c>
      <c r="AK367">
        <v>6</v>
      </c>
      <c r="AL367" t="s">
        <v>6495</v>
      </c>
      <c r="AM367" t="s">
        <v>6496</v>
      </c>
      <c r="AN367" t="s">
        <v>6497</v>
      </c>
      <c r="AO367" t="s">
        <v>6498</v>
      </c>
      <c r="AP367" t="s">
        <v>74</v>
      </c>
      <c r="AQ367" t="s">
        <v>74</v>
      </c>
      <c r="AR367" t="s">
        <v>6499</v>
      </c>
      <c r="AS367" t="s">
        <v>6500</v>
      </c>
      <c r="AT367" t="s">
        <v>74</v>
      </c>
      <c r="AU367">
        <v>2021</v>
      </c>
      <c r="AV367">
        <v>47</v>
      </c>
      <c r="AW367">
        <v>3</v>
      </c>
      <c r="AX367" t="s">
        <v>74</v>
      </c>
      <c r="AY367" t="s">
        <v>74</v>
      </c>
      <c r="AZ367" t="s">
        <v>74</v>
      </c>
      <c r="BA367" t="s">
        <v>74</v>
      </c>
      <c r="BB367">
        <v>292</v>
      </c>
      <c r="BC367">
        <v>302</v>
      </c>
      <c r="BD367" t="s">
        <v>74</v>
      </c>
      <c r="BE367" t="s">
        <v>7271</v>
      </c>
      <c r="BF367" t="str">
        <f>HYPERLINK("http://dx.doi.org/10.1578/AM.47.3.2021.292","http://dx.doi.org/10.1578/AM.47.3.2021.292")</f>
        <v>http://dx.doi.org/10.1578/AM.47.3.2021.292</v>
      </c>
      <c r="BG367" t="s">
        <v>74</v>
      </c>
      <c r="BH367" t="s">
        <v>74</v>
      </c>
      <c r="BI367">
        <v>11</v>
      </c>
      <c r="BJ367" t="s">
        <v>3209</v>
      </c>
      <c r="BK367" t="s">
        <v>103</v>
      </c>
      <c r="BL367" t="s">
        <v>3209</v>
      </c>
      <c r="BM367" t="s">
        <v>7272</v>
      </c>
      <c r="BN367" t="s">
        <v>74</v>
      </c>
      <c r="BO367" t="s">
        <v>74</v>
      </c>
      <c r="BP367" t="s">
        <v>74</v>
      </c>
      <c r="BQ367" t="s">
        <v>74</v>
      </c>
      <c r="BR367" t="s">
        <v>106</v>
      </c>
      <c r="BS367" t="s">
        <v>7273</v>
      </c>
      <c r="BT367" t="str">
        <f>HYPERLINK("https%3A%2F%2Fwww.webofscience.com%2Fwos%2Fwoscc%2Ffull-record%2FWOS:000652332400007","View Full Record in Web of Science")</f>
        <v>View Full Record in Web of Science</v>
      </c>
    </row>
    <row r="368" spans="1:72" x14ac:dyDescent="0.15">
      <c r="A368" t="s">
        <v>72</v>
      </c>
      <c r="B368" t="s">
        <v>7274</v>
      </c>
      <c r="C368" t="s">
        <v>74</v>
      </c>
      <c r="D368" t="s">
        <v>74</v>
      </c>
      <c r="E368" t="s">
        <v>74</v>
      </c>
      <c r="F368" t="s">
        <v>7275</v>
      </c>
      <c r="G368" t="s">
        <v>74</v>
      </c>
      <c r="H368" t="s">
        <v>74</v>
      </c>
      <c r="I368" t="s">
        <v>7276</v>
      </c>
      <c r="J368" t="s">
        <v>7277</v>
      </c>
      <c r="K368" t="s">
        <v>74</v>
      </c>
      <c r="L368" t="s">
        <v>74</v>
      </c>
      <c r="M368" t="s">
        <v>78</v>
      </c>
      <c r="N368" t="s">
        <v>141</v>
      </c>
      <c r="O368" t="s">
        <v>74</v>
      </c>
      <c r="P368" t="s">
        <v>74</v>
      </c>
      <c r="Q368" t="s">
        <v>74</v>
      </c>
      <c r="R368" t="s">
        <v>74</v>
      </c>
      <c r="S368" t="s">
        <v>74</v>
      </c>
      <c r="T368" t="s">
        <v>7278</v>
      </c>
      <c r="U368" t="s">
        <v>7279</v>
      </c>
      <c r="V368" t="s">
        <v>7280</v>
      </c>
      <c r="W368" t="s">
        <v>7281</v>
      </c>
      <c r="X368" t="s">
        <v>7282</v>
      </c>
      <c r="Y368" t="s">
        <v>7283</v>
      </c>
      <c r="Z368" t="s">
        <v>7284</v>
      </c>
      <c r="AA368" t="s">
        <v>7285</v>
      </c>
      <c r="AB368" t="s">
        <v>7286</v>
      </c>
      <c r="AC368" t="s">
        <v>7287</v>
      </c>
      <c r="AD368" t="s">
        <v>7288</v>
      </c>
      <c r="AE368" t="s">
        <v>7289</v>
      </c>
      <c r="AF368" t="s">
        <v>74</v>
      </c>
      <c r="AG368">
        <v>86</v>
      </c>
      <c r="AH368">
        <v>27</v>
      </c>
      <c r="AI368">
        <v>27</v>
      </c>
      <c r="AJ368">
        <v>2</v>
      </c>
      <c r="AK368">
        <v>19</v>
      </c>
      <c r="AL368" t="s">
        <v>7290</v>
      </c>
      <c r="AM368" t="s">
        <v>7291</v>
      </c>
      <c r="AN368" t="s">
        <v>7292</v>
      </c>
      <c r="AO368" t="s">
        <v>7293</v>
      </c>
      <c r="AP368" t="s">
        <v>7294</v>
      </c>
      <c r="AQ368" t="s">
        <v>74</v>
      </c>
      <c r="AR368" t="s">
        <v>7295</v>
      </c>
      <c r="AS368" t="s">
        <v>7296</v>
      </c>
      <c r="AT368" t="s">
        <v>374</v>
      </c>
      <c r="AU368">
        <v>2021</v>
      </c>
      <c r="AV368">
        <v>51</v>
      </c>
      <c r="AW368">
        <v>2</v>
      </c>
      <c r="AX368" t="s">
        <v>74</v>
      </c>
      <c r="AY368" t="s">
        <v>74</v>
      </c>
      <c r="AZ368" t="s">
        <v>74</v>
      </c>
      <c r="BA368" t="s">
        <v>74</v>
      </c>
      <c r="BB368">
        <v>299</v>
      </c>
      <c r="BC368">
        <v>315</v>
      </c>
      <c r="BD368" t="s">
        <v>74</v>
      </c>
      <c r="BE368" t="s">
        <v>7297</v>
      </c>
      <c r="BF368" t="str">
        <f>HYPERLINK("http://dx.doi.org/10.1175/JPO-D-19-0265.1","http://dx.doi.org/10.1175/JPO-D-19-0265.1")</f>
        <v>http://dx.doi.org/10.1175/JPO-D-19-0265.1</v>
      </c>
      <c r="BG368" t="s">
        <v>74</v>
      </c>
      <c r="BH368" t="s">
        <v>74</v>
      </c>
      <c r="BI368">
        <v>17</v>
      </c>
      <c r="BJ368" t="s">
        <v>2250</v>
      </c>
      <c r="BK368" t="s">
        <v>103</v>
      </c>
      <c r="BL368" t="s">
        <v>2250</v>
      </c>
      <c r="BM368" t="s">
        <v>7298</v>
      </c>
      <c r="BN368" t="s">
        <v>74</v>
      </c>
      <c r="BO368" t="s">
        <v>7299</v>
      </c>
      <c r="BP368" t="s">
        <v>74</v>
      </c>
      <c r="BQ368" t="s">
        <v>74</v>
      </c>
      <c r="BR368" t="s">
        <v>106</v>
      </c>
      <c r="BS368" t="s">
        <v>7300</v>
      </c>
      <c r="BT368" t="str">
        <f>HYPERLINK("https%3A%2F%2Fwww.webofscience.com%2Fwos%2Fwoscc%2Ffull-record%2FWOS:000646377800003","View Full Record in Web of Science")</f>
        <v>View Full Record in Web of Science</v>
      </c>
    </row>
    <row r="369" spans="1:72" x14ac:dyDescent="0.15">
      <c r="A369" t="s">
        <v>72</v>
      </c>
      <c r="B369" t="s">
        <v>7274</v>
      </c>
      <c r="C369" t="s">
        <v>74</v>
      </c>
      <c r="D369" t="s">
        <v>74</v>
      </c>
      <c r="E369" t="s">
        <v>74</v>
      </c>
      <c r="F369" t="s">
        <v>7275</v>
      </c>
      <c r="G369" t="s">
        <v>74</v>
      </c>
      <c r="H369" t="s">
        <v>74</v>
      </c>
      <c r="I369" t="s">
        <v>7301</v>
      </c>
      <c r="J369" t="s">
        <v>7277</v>
      </c>
      <c r="K369" t="s">
        <v>74</v>
      </c>
      <c r="L369" t="s">
        <v>74</v>
      </c>
      <c r="M369" t="s">
        <v>78</v>
      </c>
      <c r="N369" t="s">
        <v>79</v>
      </c>
      <c r="O369" t="s">
        <v>74</v>
      </c>
      <c r="P369" t="s">
        <v>74</v>
      </c>
      <c r="Q369" t="s">
        <v>74</v>
      </c>
      <c r="R369" t="s">
        <v>74</v>
      </c>
      <c r="S369" t="s">
        <v>74</v>
      </c>
      <c r="T369" t="s">
        <v>7302</v>
      </c>
      <c r="U369" t="s">
        <v>7303</v>
      </c>
      <c r="V369" t="s">
        <v>7304</v>
      </c>
      <c r="W369" t="s">
        <v>7305</v>
      </c>
      <c r="X369" t="s">
        <v>7306</v>
      </c>
      <c r="Y369" t="s">
        <v>7307</v>
      </c>
      <c r="Z369" t="s">
        <v>7284</v>
      </c>
      <c r="AA369" t="s">
        <v>7308</v>
      </c>
      <c r="AB369" t="s">
        <v>7309</v>
      </c>
      <c r="AC369" t="s">
        <v>7310</v>
      </c>
      <c r="AD369" t="s">
        <v>7311</v>
      </c>
      <c r="AE369" t="s">
        <v>7312</v>
      </c>
      <c r="AF369" t="s">
        <v>74</v>
      </c>
      <c r="AG369">
        <v>99</v>
      </c>
      <c r="AH369">
        <v>14</v>
      </c>
      <c r="AI369">
        <v>14</v>
      </c>
      <c r="AJ369">
        <v>0</v>
      </c>
      <c r="AK369">
        <v>10</v>
      </c>
      <c r="AL369" t="s">
        <v>7290</v>
      </c>
      <c r="AM369" t="s">
        <v>7291</v>
      </c>
      <c r="AN369" t="s">
        <v>7292</v>
      </c>
      <c r="AO369" t="s">
        <v>7293</v>
      </c>
      <c r="AP369" t="s">
        <v>7294</v>
      </c>
      <c r="AQ369" t="s">
        <v>74</v>
      </c>
      <c r="AR369" t="s">
        <v>7295</v>
      </c>
      <c r="AS369" t="s">
        <v>7296</v>
      </c>
      <c r="AT369" t="s">
        <v>374</v>
      </c>
      <c r="AU369">
        <v>2021</v>
      </c>
      <c r="AV369">
        <v>51</v>
      </c>
      <c r="AW369">
        <v>2</v>
      </c>
      <c r="AX369" t="s">
        <v>74</v>
      </c>
      <c r="AY369" t="s">
        <v>74</v>
      </c>
      <c r="AZ369" t="s">
        <v>74</v>
      </c>
      <c r="BA369" t="s">
        <v>74</v>
      </c>
      <c r="BB369">
        <v>317</v>
      </c>
      <c r="BC369">
        <v>341</v>
      </c>
      <c r="BD369" t="s">
        <v>74</v>
      </c>
      <c r="BE369" t="s">
        <v>7313</v>
      </c>
      <c r="BF369" t="str">
        <f>HYPERLINK("http://dx.doi.org/10.1175/JPO-D-20-0258.1","http://dx.doi.org/10.1175/JPO-D-20-0258.1")</f>
        <v>http://dx.doi.org/10.1175/JPO-D-20-0258.1</v>
      </c>
      <c r="BG369" t="s">
        <v>74</v>
      </c>
      <c r="BH369" t="s">
        <v>74</v>
      </c>
      <c r="BI369">
        <v>25</v>
      </c>
      <c r="BJ369" t="s">
        <v>2250</v>
      </c>
      <c r="BK369" t="s">
        <v>103</v>
      </c>
      <c r="BL369" t="s">
        <v>2250</v>
      </c>
      <c r="BM369" t="s">
        <v>7298</v>
      </c>
      <c r="BN369" t="s">
        <v>74</v>
      </c>
      <c r="BO369" t="s">
        <v>7299</v>
      </c>
      <c r="BP369" t="s">
        <v>74</v>
      </c>
      <c r="BQ369" t="s">
        <v>74</v>
      </c>
      <c r="BR369" t="s">
        <v>106</v>
      </c>
      <c r="BS369" t="s">
        <v>7314</v>
      </c>
      <c r="BT369" t="str">
        <f>HYPERLINK("https%3A%2F%2Fwww.webofscience.com%2Fwos%2Fwoscc%2Ffull-record%2FWOS:000646377800004","View Full Record in Web of Science")</f>
        <v>View Full Record in Web of Science</v>
      </c>
    </row>
    <row r="370" spans="1:72" x14ac:dyDescent="0.15">
      <c r="A370" t="s">
        <v>72</v>
      </c>
      <c r="B370" t="s">
        <v>7315</v>
      </c>
      <c r="C370" t="s">
        <v>74</v>
      </c>
      <c r="D370" t="s">
        <v>74</v>
      </c>
      <c r="E370" t="s">
        <v>74</v>
      </c>
      <c r="F370" t="s">
        <v>7316</v>
      </c>
      <c r="G370" t="s">
        <v>74</v>
      </c>
      <c r="H370" t="s">
        <v>74</v>
      </c>
      <c r="I370" t="s">
        <v>7317</v>
      </c>
      <c r="J370" t="s">
        <v>7277</v>
      </c>
      <c r="K370" t="s">
        <v>74</v>
      </c>
      <c r="L370" t="s">
        <v>74</v>
      </c>
      <c r="M370" t="s">
        <v>78</v>
      </c>
      <c r="N370" t="s">
        <v>79</v>
      </c>
      <c r="O370" t="s">
        <v>74</v>
      </c>
      <c r="P370" t="s">
        <v>74</v>
      </c>
      <c r="Q370" t="s">
        <v>74</v>
      </c>
      <c r="R370" t="s">
        <v>74</v>
      </c>
      <c r="S370" t="s">
        <v>74</v>
      </c>
      <c r="T370" t="s">
        <v>7318</v>
      </c>
      <c r="U370" t="s">
        <v>7319</v>
      </c>
      <c r="V370" t="s">
        <v>7320</v>
      </c>
      <c r="W370" t="s">
        <v>7321</v>
      </c>
      <c r="X370" t="s">
        <v>7322</v>
      </c>
      <c r="Y370" t="s">
        <v>7323</v>
      </c>
      <c r="Z370" t="s">
        <v>7324</v>
      </c>
      <c r="AA370" t="s">
        <v>7325</v>
      </c>
      <c r="AB370" t="s">
        <v>7326</v>
      </c>
      <c r="AC370" t="s">
        <v>7327</v>
      </c>
      <c r="AD370" t="s">
        <v>150</v>
      </c>
      <c r="AE370" t="s">
        <v>7328</v>
      </c>
      <c r="AF370" t="s">
        <v>74</v>
      </c>
      <c r="AG370">
        <v>38</v>
      </c>
      <c r="AH370">
        <v>10</v>
      </c>
      <c r="AI370">
        <v>10</v>
      </c>
      <c r="AJ370">
        <v>1</v>
      </c>
      <c r="AK370">
        <v>6</v>
      </c>
      <c r="AL370" t="s">
        <v>7290</v>
      </c>
      <c r="AM370" t="s">
        <v>7291</v>
      </c>
      <c r="AN370" t="s">
        <v>7292</v>
      </c>
      <c r="AO370" t="s">
        <v>7293</v>
      </c>
      <c r="AP370" t="s">
        <v>7294</v>
      </c>
      <c r="AQ370" t="s">
        <v>74</v>
      </c>
      <c r="AR370" t="s">
        <v>7295</v>
      </c>
      <c r="AS370" t="s">
        <v>7296</v>
      </c>
      <c r="AT370" t="s">
        <v>374</v>
      </c>
      <c r="AU370">
        <v>2021</v>
      </c>
      <c r="AV370">
        <v>51</v>
      </c>
      <c r="AW370">
        <v>2</v>
      </c>
      <c r="AX370" t="s">
        <v>74</v>
      </c>
      <c r="AY370" t="s">
        <v>74</v>
      </c>
      <c r="AZ370" t="s">
        <v>74</v>
      </c>
      <c r="BA370" t="s">
        <v>74</v>
      </c>
      <c r="BB370">
        <v>403</v>
      </c>
      <c r="BC370">
        <v>418</v>
      </c>
      <c r="BD370" t="s">
        <v>74</v>
      </c>
      <c r="BE370" t="s">
        <v>7329</v>
      </c>
      <c r="BF370" t="str">
        <f>HYPERLINK("http://dx.doi.org/10.1175/JPO-D-20-0114.1","http://dx.doi.org/10.1175/JPO-D-20-0114.1")</f>
        <v>http://dx.doi.org/10.1175/JPO-D-20-0114.1</v>
      </c>
      <c r="BG370" t="s">
        <v>74</v>
      </c>
      <c r="BH370" t="s">
        <v>74</v>
      </c>
      <c r="BI370">
        <v>16</v>
      </c>
      <c r="BJ370" t="s">
        <v>2250</v>
      </c>
      <c r="BK370" t="s">
        <v>103</v>
      </c>
      <c r="BL370" t="s">
        <v>2250</v>
      </c>
      <c r="BM370" t="s">
        <v>7298</v>
      </c>
      <c r="BN370" t="s">
        <v>74</v>
      </c>
      <c r="BO370" t="s">
        <v>7330</v>
      </c>
      <c r="BP370" t="s">
        <v>74</v>
      </c>
      <c r="BQ370" t="s">
        <v>74</v>
      </c>
      <c r="BR370" t="s">
        <v>106</v>
      </c>
      <c r="BS370" t="s">
        <v>7331</v>
      </c>
      <c r="BT370" t="str">
        <f>HYPERLINK("https%3A%2F%2Fwww.webofscience.com%2Fwos%2Fwoscc%2Ffull-record%2FWOS:000646377800008","View Full Record in Web of Science")</f>
        <v>View Full Record in Web of Science</v>
      </c>
    </row>
    <row r="371" spans="1:72" x14ac:dyDescent="0.15">
      <c r="A371" t="s">
        <v>72</v>
      </c>
      <c r="B371" t="s">
        <v>7332</v>
      </c>
      <c r="C371" t="s">
        <v>74</v>
      </c>
      <c r="D371" t="s">
        <v>74</v>
      </c>
      <c r="E371" t="s">
        <v>74</v>
      </c>
      <c r="F371" t="s">
        <v>7333</v>
      </c>
      <c r="G371" t="s">
        <v>74</v>
      </c>
      <c r="H371" t="s">
        <v>74</v>
      </c>
      <c r="I371" t="s">
        <v>7334</v>
      </c>
      <c r="J371" t="s">
        <v>7277</v>
      </c>
      <c r="K371" t="s">
        <v>74</v>
      </c>
      <c r="L371" t="s">
        <v>74</v>
      </c>
      <c r="M371" t="s">
        <v>78</v>
      </c>
      <c r="N371" t="s">
        <v>79</v>
      </c>
      <c r="O371" t="s">
        <v>74</v>
      </c>
      <c r="P371" t="s">
        <v>74</v>
      </c>
      <c r="Q371" t="s">
        <v>74</v>
      </c>
      <c r="R371" t="s">
        <v>74</v>
      </c>
      <c r="S371" t="s">
        <v>74</v>
      </c>
      <c r="T371" t="s">
        <v>7335</v>
      </c>
      <c r="U371" t="s">
        <v>7336</v>
      </c>
      <c r="V371" t="s">
        <v>7337</v>
      </c>
      <c r="W371" t="s">
        <v>7338</v>
      </c>
      <c r="X371" t="s">
        <v>7339</v>
      </c>
      <c r="Y371" t="s">
        <v>7340</v>
      </c>
      <c r="Z371" t="s">
        <v>7341</v>
      </c>
      <c r="AA371" t="s">
        <v>7342</v>
      </c>
      <c r="AB371" t="s">
        <v>7343</v>
      </c>
      <c r="AC371" t="s">
        <v>7344</v>
      </c>
      <c r="AD371" t="s">
        <v>7345</v>
      </c>
      <c r="AE371" t="s">
        <v>7346</v>
      </c>
      <c r="AF371" t="s">
        <v>74</v>
      </c>
      <c r="AG371">
        <v>50</v>
      </c>
      <c r="AH371">
        <v>6</v>
      </c>
      <c r="AI371">
        <v>6</v>
      </c>
      <c r="AJ371">
        <v>1</v>
      </c>
      <c r="AK371">
        <v>6</v>
      </c>
      <c r="AL371" t="s">
        <v>7290</v>
      </c>
      <c r="AM371" t="s">
        <v>7291</v>
      </c>
      <c r="AN371" t="s">
        <v>7292</v>
      </c>
      <c r="AO371" t="s">
        <v>7293</v>
      </c>
      <c r="AP371" t="s">
        <v>7294</v>
      </c>
      <c r="AQ371" t="s">
        <v>74</v>
      </c>
      <c r="AR371" t="s">
        <v>7295</v>
      </c>
      <c r="AS371" t="s">
        <v>7296</v>
      </c>
      <c r="AT371" t="s">
        <v>374</v>
      </c>
      <c r="AU371">
        <v>2021</v>
      </c>
      <c r="AV371">
        <v>51</v>
      </c>
      <c r="AW371">
        <v>2</v>
      </c>
      <c r="AX371" t="s">
        <v>74</v>
      </c>
      <c r="AY371" t="s">
        <v>74</v>
      </c>
      <c r="AZ371" t="s">
        <v>74</v>
      </c>
      <c r="BA371" t="s">
        <v>74</v>
      </c>
      <c r="BB371">
        <v>491</v>
      </c>
      <c r="BC371">
        <v>503</v>
      </c>
      <c r="BD371" t="s">
        <v>74</v>
      </c>
      <c r="BE371" t="s">
        <v>7347</v>
      </c>
      <c r="BF371" t="str">
        <f>HYPERLINK("http://dx.doi.org/10.1175/JPO-D-20-0141.1","http://dx.doi.org/10.1175/JPO-D-20-0141.1")</f>
        <v>http://dx.doi.org/10.1175/JPO-D-20-0141.1</v>
      </c>
      <c r="BG371" t="s">
        <v>74</v>
      </c>
      <c r="BH371" t="s">
        <v>74</v>
      </c>
      <c r="BI371">
        <v>13</v>
      </c>
      <c r="BJ371" t="s">
        <v>2250</v>
      </c>
      <c r="BK371" t="s">
        <v>103</v>
      </c>
      <c r="BL371" t="s">
        <v>2250</v>
      </c>
      <c r="BM371" t="s">
        <v>7298</v>
      </c>
      <c r="BN371" t="s">
        <v>74</v>
      </c>
      <c r="BO371" t="s">
        <v>7348</v>
      </c>
      <c r="BP371" t="s">
        <v>74</v>
      </c>
      <c r="BQ371" t="s">
        <v>74</v>
      </c>
      <c r="BR371" t="s">
        <v>106</v>
      </c>
      <c r="BS371" t="s">
        <v>7349</v>
      </c>
      <c r="BT371" t="str">
        <f>HYPERLINK("https%3A%2F%2Fwww.webofscience.com%2Fwos%2Fwoscc%2Ffull-record%2FWOS:000646377800013","View Full Record in Web of Science")</f>
        <v>View Full Record in Web of Science</v>
      </c>
    </row>
    <row r="372" spans="1:72" x14ac:dyDescent="0.15">
      <c r="A372" t="s">
        <v>72</v>
      </c>
      <c r="B372" t="s">
        <v>7350</v>
      </c>
      <c r="C372" t="s">
        <v>74</v>
      </c>
      <c r="D372" t="s">
        <v>74</v>
      </c>
      <c r="E372" t="s">
        <v>74</v>
      </c>
      <c r="F372" t="s">
        <v>7351</v>
      </c>
      <c r="G372" t="s">
        <v>74</v>
      </c>
      <c r="H372" t="s">
        <v>74</v>
      </c>
      <c r="I372" t="s">
        <v>7352</v>
      </c>
      <c r="J372" t="s">
        <v>7277</v>
      </c>
      <c r="K372" t="s">
        <v>74</v>
      </c>
      <c r="L372" t="s">
        <v>74</v>
      </c>
      <c r="M372" t="s">
        <v>78</v>
      </c>
      <c r="N372" t="s">
        <v>79</v>
      </c>
      <c r="O372" t="s">
        <v>74</v>
      </c>
      <c r="P372" t="s">
        <v>74</v>
      </c>
      <c r="Q372" t="s">
        <v>74</v>
      </c>
      <c r="R372" t="s">
        <v>74</v>
      </c>
      <c r="S372" t="s">
        <v>74</v>
      </c>
      <c r="T372" t="s">
        <v>7353</v>
      </c>
      <c r="U372" t="s">
        <v>7354</v>
      </c>
      <c r="V372" t="s">
        <v>7355</v>
      </c>
      <c r="W372" t="s">
        <v>7356</v>
      </c>
      <c r="X372" t="s">
        <v>7357</v>
      </c>
      <c r="Y372" t="s">
        <v>7358</v>
      </c>
      <c r="Z372" t="s">
        <v>7359</v>
      </c>
      <c r="AA372" t="s">
        <v>74</v>
      </c>
      <c r="AB372" t="s">
        <v>7360</v>
      </c>
      <c r="AC372" t="s">
        <v>7361</v>
      </c>
      <c r="AD372" t="s">
        <v>7362</v>
      </c>
      <c r="AE372" t="s">
        <v>7363</v>
      </c>
      <c r="AF372" t="s">
        <v>74</v>
      </c>
      <c r="AG372">
        <v>83</v>
      </c>
      <c r="AH372">
        <v>19</v>
      </c>
      <c r="AI372">
        <v>19</v>
      </c>
      <c r="AJ372">
        <v>0</v>
      </c>
      <c r="AK372">
        <v>5</v>
      </c>
      <c r="AL372" t="s">
        <v>7290</v>
      </c>
      <c r="AM372" t="s">
        <v>7291</v>
      </c>
      <c r="AN372" t="s">
        <v>7292</v>
      </c>
      <c r="AO372" t="s">
        <v>7293</v>
      </c>
      <c r="AP372" t="s">
        <v>7294</v>
      </c>
      <c r="AQ372" t="s">
        <v>74</v>
      </c>
      <c r="AR372" t="s">
        <v>7295</v>
      </c>
      <c r="AS372" t="s">
        <v>7296</v>
      </c>
      <c r="AT372" t="s">
        <v>374</v>
      </c>
      <c r="AU372">
        <v>2021</v>
      </c>
      <c r="AV372">
        <v>51</v>
      </c>
      <c r="AW372">
        <v>2</v>
      </c>
      <c r="AX372" t="s">
        <v>74</v>
      </c>
      <c r="AY372" t="s">
        <v>74</v>
      </c>
      <c r="AZ372" t="s">
        <v>74</v>
      </c>
      <c r="BA372" t="s">
        <v>74</v>
      </c>
      <c r="BB372">
        <v>553</v>
      </c>
      <c r="BC372">
        <v>574</v>
      </c>
      <c r="BD372" t="s">
        <v>74</v>
      </c>
      <c r="BE372" t="s">
        <v>7364</v>
      </c>
      <c r="BF372" t="str">
        <f>HYPERLINK("http://dx.doi.org/10.1175/JPO-D-19-0243.1","http://dx.doi.org/10.1175/JPO-D-19-0243.1")</f>
        <v>http://dx.doi.org/10.1175/JPO-D-19-0243.1</v>
      </c>
      <c r="BG372" t="s">
        <v>74</v>
      </c>
      <c r="BH372" t="s">
        <v>74</v>
      </c>
      <c r="BI372">
        <v>22</v>
      </c>
      <c r="BJ372" t="s">
        <v>2250</v>
      </c>
      <c r="BK372" t="s">
        <v>103</v>
      </c>
      <c r="BL372" t="s">
        <v>2250</v>
      </c>
      <c r="BM372" t="s">
        <v>7298</v>
      </c>
      <c r="BN372" t="s">
        <v>74</v>
      </c>
      <c r="BO372" t="s">
        <v>7330</v>
      </c>
      <c r="BP372" t="s">
        <v>74</v>
      </c>
      <c r="BQ372" t="s">
        <v>74</v>
      </c>
      <c r="BR372" t="s">
        <v>106</v>
      </c>
      <c r="BS372" t="s">
        <v>7365</v>
      </c>
      <c r="BT372" t="str">
        <f>HYPERLINK("https%3A%2F%2Fwww.webofscience.com%2Fwos%2Fwoscc%2Ffull-record%2FWOS:000646377800017","View Full Record in Web of Science")</f>
        <v>View Full Record in Web of Science</v>
      </c>
    </row>
    <row r="373" spans="1:72" x14ac:dyDescent="0.15">
      <c r="A373" t="s">
        <v>72</v>
      </c>
      <c r="B373" t="s">
        <v>7366</v>
      </c>
      <c r="C373" t="s">
        <v>74</v>
      </c>
      <c r="D373" t="s">
        <v>74</v>
      </c>
      <c r="E373" t="s">
        <v>74</v>
      </c>
      <c r="F373" t="s">
        <v>7367</v>
      </c>
      <c r="G373" t="s">
        <v>74</v>
      </c>
      <c r="H373" t="s">
        <v>74</v>
      </c>
      <c r="I373" t="s">
        <v>7368</v>
      </c>
      <c r="J373" t="s">
        <v>7277</v>
      </c>
      <c r="K373" t="s">
        <v>74</v>
      </c>
      <c r="L373" t="s">
        <v>74</v>
      </c>
      <c r="M373" t="s">
        <v>78</v>
      </c>
      <c r="N373" t="s">
        <v>79</v>
      </c>
      <c r="O373" t="s">
        <v>74</v>
      </c>
      <c r="P373" t="s">
        <v>74</v>
      </c>
      <c r="Q373" t="s">
        <v>74</v>
      </c>
      <c r="R373" t="s">
        <v>74</v>
      </c>
      <c r="S373" t="s">
        <v>74</v>
      </c>
      <c r="T373" t="s">
        <v>7369</v>
      </c>
      <c r="U373" t="s">
        <v>7370</v>
      </c>
      <c r="V373" t="s">
        <v>7371</v>
      </c>
      <c r="W373" t="s">
        <v>7372</v>
      </c>
      <c r="X373" t="s">
        <v>7373</v>
      </c>
      <c r="Y373" t="s">
        <v>7374</v>
      </c>
      <c r="Z373" t="s">
        <v>7375</v>
      </c>
      <c r="AA373" t="s">
        <v>7376</v>
      </c>
      <c r="AB373" t="s">
        <v>7377</v>
      </c>
      <c r="AC373" t="s">
        <v>7378</v>
      </c>
      <c r="AD373" t="s">
        <v>5797</v>
      </c>
      <c r="AE373" t="s">
        <v>7379</v>
      </c>
      <c r="AF373" t="s">
        <v>74</v>
      </c>
      <c r="AG373">
        <v>50</v>
      </c>
      <c r="AH373">
        <v>0</v>
      </c>
      <c r="AI373">
        <v>0</v>
      </c>
      <c r="AJ373">
        <v>0</v>
      </c>
      <c r="AK373">
        <v>8</v>
      </c>
      <c r="AL373" t="s">
        <v>7290</v>
      </c>
      <c r="AM373" t="s">
        <v>7291</v>
      </c>
      <c r="AN373" t="s">
        <v>7292</v>
      </c>
      <c r="AO373" t="s">
        <v>7293</v>
      </c>
      <c r="AP373" t="s">
        <v>7294</v>
      </c>
      <c r="AQ373" t="s">
        <v>74</v>
      </c>
      <c r="AR373" t="s">
        <v>7295</v>
      </c>
      <c r="AS373" t="s">
        <v>7296</v>
      </c>
      <c r="AT373" t="s">
        <v>374</v>
      </c>
      <c r="AU373">
        <v>2021</v>
      </c>
      <c r="AV373">
        <v>51</v>
      </c>
      <c r="AW373">
        <v>2</v>
      </c>
      <c r="AX373" t="s">
        <v>74</v>
      </c>
      <c r="AY373" t="s">
        <v>74</v>
      </c>
      <c r="AZ373" t="s">
        <v>74</v>
      </c>
      <c r="BA373" t="s">
        <v>74</v>
      </c>
      <c r="BB373">
        <v>575</v>
      </c>
      <c r="BC373">
        <v>590</v>
      </c>
      <c r="BD373" t="s">
        <v>74</v>
      </c>
      <c r="BE373" t="s">
        <v>7380</v>
      </c>
      <c r="BF373" t="str">
        <f>HYPERLINK("http://dx.doi.org/10.1175/JPO-D-20-0025.1","http://dx.doi.org/10.1175/JPO-D-20-0025.1")</f>
        <v>http://dx.doi.org/10.1175/JPO-D-20-0025.1</v>
      </c>
      <c r="BG373" t="s">
        <v>74</v>
      </c>
      <c r="BH373" t="s">
        <v>74</v>
      </c>
      <c r="BI373">
        <v>16</v>
      </c>
      <c r="BJ373" t="s">
        <v>2250</v>
      </c>
      <c r="BK373" t="s">
        <v>103</v>
      </c>
      <c r="BL373" t="s">
        <v>2250</v>
      </c>
      <c r="BM373" t="s">
        <v>7298</v>
      </c>
      <c r="BN373" t="s">
        <v>74</v>
      </c>
      <c r="BO373" t="s">
        <v>3283</v>
      </c>
      <c r="BP373" t="s">
        <v>74</v>
      </c>
      <c r="BQ373" t="s">
        <v>74</v>
      </c>
      <c r="BR373" t="s">
        <v>106</v>
      </c>
      <c r="BS373" t="s">
        <v>7381</v>
      </c>
      <c r="BT373" t="str">
        <f>HYPERLINK("https%3A%2F%2Fwww.webofscience.com%2Fwos%2Fwoscc%2Ffull-record%2FWOS:000646377800018","View Full Record in Web of Science")</f>
        <v>View Full Record in Web of Science</v>
      </c>
    </row>
    <row r="374" spans="1:72" x14ac:dyDescent="0.15">
      <c r="A374" t="s">
        <v>4529</v>
      </c>
      <c r="B374" t="s">
        <v>7382</v>
      </c>
      <c r="C374" t="s">
        <v>74</v>
      </c>
      <c r="D374" t="s">
        <v>7383</v>
      </c>
      <c r="E374" t="s">
        <v>74</v>
      </c>
      <c r="F374" t="s">
        <v>7384</v>
      </c>
      <c r="G374" t="s">
        <v>74</v>
      </c>
      <c r="H374" t="s">
        <v>74</v>
      </c>
      <c r="I374" t="s">
        <v>7385</v>
      </c>
      <c r="J374" t="s">
        <v>7386</v>
      </c>
      <c r="K374" t="s">
        <v>4762</v>
      </c>
      <c r="L374" t="s">
        <v>74</v>
      </c>
      <c r="M374" t="s">
        <v>78</v>
      </c>
      <c r="N374" t="s">
        <v>4535</v>
      </c>
      <c r="O374" t="s">
        <v>7387</v>
      </c>
      <c r="P374" t="s">
        <v>7388</v>
      </c>
      <c r="Q374" t="s">
        <v>4538</v>
      </c>
      <c r="R374" t="s">
        <v>74</v>
      </c>
      <c r="S374" t="s">
        <v>74</v>
      </c>
      <c r="T374" t="s">
        <v>7389</v>
      </c>
      <c r="U374" t="s">
        <v>7390</v>
      </c>
      <c r="V374" t="s">
        <v>7391</v>
      </c>
      <c r="W374" t="s">
        <v>7392</v>
      </c>
      <c r="X374" t="s">
        <v>7393</v>
      </c>
      <c r="Y374" t="s">
        <v>7394</v>
      </c>
      <c r="Z374" t="s">
        <v>7395</v>
      </c>
      <c r="AA374" t="s">
        <v>74</v>
      </c>
      <c r="AB374" t="s">
        <v>74</v>
      </c>
      <c r="AC374" t="s">
        <v>7396</v>
      </c>
      <c r="AD374" t="s">
        <v>7397</v>
      </c>
      <c r="AE374" t="s">
        <v>74</v>
      </c>
      <c r="AF374" t="s">
        <v>74</v>
      </c>
      <c r="AG374">
        <v>29</v>
      </c>
      <c r="AH374">
        <v>0</v>
      </c>
      <c r="AI374">
        <v>0</v>
      </c>
      <c r="AJ374">
        <v>0</v>
      </c>
      <c r="AK374">
        <v>5</v>
      </c>
      <c r="AL374" t="s">
        <v>4777</v>
      </c>
      <c r="AM374" t="s">
        <v>4778</v>
      </c>
      <c r="AN374" t="s">
        <v>4779</v>
      </c>
      <c r="AO374" t="s">
        <v>4780</v>
      </c>
      <c r="AP374" t="s">
        <v>4781</v>
      </c>
      <c r="AQ374" t="s">
        <v>7398</v>
      </c>
      <c r="AR374" t="s">
        <v>4783</v>
      </c>
      <c r="AS374" t="s">
        <v>74</v>
      </c>
      <c r="AT374" t="s">
        <v>74</v>
      </c>
      <c r="AU374">
        <v>2021</v>
      </c>
      <c r="AV374">
        <v>11443</v>
      </c>
      <c r="AW374" t="s">
        <v>74</v>
      </c>
      <c r="AX374" t="s">
        <v>74</v>
      </c>
      <c r="AY374" t="s">
        <v>74</v>
      </c>
      <c r="AZ374" t="s">
        <v>74</v>
      </c>
      <c r="BA374" t="s">
        <v>74</v>
      </c>
      <c r="BB374" t="s">
        <v>74</v>
      </c>
      <c r="BC374" t="s">
        <v>74</v>
      </c>
      <c r="BD374" t="s">
        <v>7399</v>
      </c>
      <c r="BE374" t="s">
        <v>7400</v>
      </c>
      <c r="BF374" t="str">
        <f>HYPERLINK("http://dx.doi.org/10.1117/12.2562373","http://dx.doi.org/10.1117/12.2562373")</f>
        <v>http://dx.doi.org/10.1117/12.2562373</v>
      </c>
      <c r="BG374" t="s">
        <v>74</v>
      </c>
      <c r="BH374" t="s">
        <v>74</v>
      </c>
      <c r="BI374">
        <v>10</v>
      </c>
      <c r="BJ374" t="s">
        <v>6480</v>
      </c>
      <c r="BK374" t="s">
        <v>4553</v>
      </c>
      <c r="BL374" t="s">
        <v>6480</v>
      </c>
      <c r="BM374" t="s">
        <v>7401</v>
      </c>
      <c r="BN374" t="s">
        <v>74</v>
      </c>
      <c r="BO374" t="s">
        <v>74</v>
      </c>
      <c r="BP374" t="s">
        <v>74</v>
      </c>
      <c r="BQ374" t="s">
        <v>74</v>
      </c>
      <c r="BR374" t="s">
        <v>106</v>
      </c>
      <c r="BS374" t="s">
        <v>7402</v>
      </c>
      <c r="BT374" t="str">
        <f>HYPERLINK("https%3A%2F%2Fwww.webofscience.com%2Fwos%2Fwoscc%2Ffull-record%2FWOS:000646193100023","View Full Record in Web of Science")</f>
        <v>View Full Record in Web of Science</v>
      </c>
    </row>
    <row r="375" spans="1:72" x14ac:dyDescent="0.15">
      <c r="A375" t="s">
        <v>72</v>
      </c>
      <c r="B375" t="s">
        <v>7403</v>
      </c>
      <c r="C375" t="s">
        <v>74</v>
      </c>
      <c r="D375" t="s">
        <v>74</v>
      </c>
      <c r="E375" t="s">
        <v>74</v>
      </c>
      <c r="F375" t="s">
        <v>7404</v>
      </c>
      <c r="G375" t="s">
        <v>74</v>
      </c>
      <c r="H375" t="s">
        <v>74</v>
      </c>
      <c r="I375" t="s">
        <v>7405</v>
      </c>
      <c r="J375" t="s">
        <v>5193</v>
      </c>
      <c r="K375" t="s">
        <v>74</v>
      </c>
      <c r="L375" t="s">
        <v>74</v>
      </c>
      <c r="M375" t="s">
        <v>78</v>
      </c>
      <c r="N375" t="s">
        <v>79</v>
      </c>
      <c r="O375" t="s">
        <v>74</v>
      </c>
      <c r="P375" t="s">
        <v>74</v>
      </c>
      <c r="Q375" t="s">
        <v>74</v>
      </c>
      <c r="R375" t="s">
        <v>74</v>
      </c>
      <c r="S375" t="s">
        <v>74</v>
      </c>
      <c r="T375" t="s">
        <v>7406</v>
      </c>
      <c r="U375" t="s">
        <v>7407</v>
      </c>
      <c r="V375" t="s">
        <v>7408</v>
      </c>
      <c r="W375" t="s">
        <v>7409</v>
      </c>
      <c r="X375" t="s">
        <v>7410</v>
      </c>
      <c r="Y375" t="s">
        <v>7411</v>
      </c>
      <c r="Z375" t="s">
        <v>7412</v>
      </c>
      <c r="AA375" t="s">
        <v>7413</v>
      </c>
      <c r="AB375" t="s">
        <v>7414</v>
      </c>
      <c r="AC375" t="s">
        <v>7415</v>
      </c>
      <c r="AD375" t="s">
        <v>7416</v>
      </c>
      <c r="AE375" t="s">
        <v>7417</v>
      </c>
      <c r="AF375" t="s">
        <v>74</v>
      </c>
      <c r="AG375">
        <v>50</v>
      </c>
      <c r="AH375">
        <v>5</v>
      </c>
      <c r="AI375">
        <v>5</v>
      </c>
      <c r="AJ375">
        <v>2</v>
      </c>
      <c r="AK375">
        <v>8</v>
      </c>
      <c r="AL375" t="s">
        <v>446</v>
      </c>
      <c r="AM375" t="s">
        <v>447</v>
      </c>
      <c r="AN375" t="s">
        <v>448</v>
      </c>
      <c r="AO375" t="s">
        <v>5206</v>
      </c>
      <c r="AP375" t="s">
        <v>5207</v>
      </c>
      <c r="AQ375" t="s">
        <v>74</v>
      </c>
      <c r="AR375" t="s">
        <v>5208</v>
      </c>
      <c r="AS375" t="s">
        <v>5209</v>
      </c>
      <c r="AT375" t="s">
        <v>74</v>
      </c>
      <c r="AU375">
        <v>2021</v>
      </c>
      <c r="AV375">
        <v>44</v>
      </c>
      <c r="AW375" t="s">
        <v>74</v>
      </c>
      <c r="AX375" t="s">
        <v>74</v>
      </c>
      <c r="AY375" t="s">
        <v>74</v>
      </c>
      <c r="AZ375" t="s">
        <v>74</v>
      </c>
      <c r="BA375" t="s">
        <v>74</v>
      </c>
      <c r="BB375">
        <v>327</v>
      </c>
      <c r="BC375">
        <v>338</v>
      </c>
      <c r="BD375" t="s">
        <v>74</v>
      </c>
      <c r="BE375" t="s">
        <v>7418</v>
      </c>
      <c r="BF375" t="str">
        <f>HYPERLINK("http://dx.doi.org/10.3354/esr01100","http://dx.doi.org/10.3354/esr01100")</f>
        <v>http://dx.doi.org/10.3354/esr01100</v>
      </c>
      <c r="BG375" t="s">
        <v>74</v>
      </c>
      <c r="BH375" t="s">
        <v>74</v>
      </c>
      <c r="BI375">
        <v>12</v>
      </c>
      <c r="BJ375" t="s">
        <v>5211</v>
      </c>
      <c r="BK375" t="s">
        <v>103</v>
      </c>
      <c r="BL375" t="s">
        <v>5212</v>
      </c>
      <c r="BM375" t="s">
        <v>7419</v>
      </c>
      <c r="BN375" t="s">
        <v>74</v>
      </c>
      <c r="BO375" t="s">
        <v>1105</v>
      </c>
      <c r="BP375" t="s">
        <v>74</v>
      </c>
      <c r="BQ375" t="s">
        <v>74</v>
      </c>
      <c r="BR375" t="s">
        <v>106</v>
      </c>
      <c r="BS375" t="s">
        <v>7420</v>
      </c>
      <c r="BT375" t="str">
        <f>HYPERLINK("https%3A%2F%2Fwww.webofscience.com%2Fwos%2Fwoscc%2Ffull-record%2FWOS:000649277100022","View Full Record in Web of Science")</f>
        <v>View Full Record in Web of Science</v>
      </c>
    </row>
    <row r="376" spans="1:72" x14ac:dyDescent="0.15">
      <c r="A376" t="s">
        <v>72</v>
      </c>
      <c r="B376" t="s">
        <v>7421</v>
      </c>
      <c r="C376" t="s">
        <v>74</v>
      </c>
      <c r="D376" t="s">
        <v>74</v>
      </c>
      <c r="E376" t="s">
        <v>74</v>
      </c>
      <c r="F376" t="s">
        <v>7422</v>
      </c>
      <c r="G376" t="s">
        <v>74</v>
      </c>
      <c r="H376" t="s">
        <v>74</v>
      </c>
      <c r="I376" t="s">
        <v>7423</v>
      </c>
      <c r="J376" t="s">
        <v>7424</v>
      </c>
      <c r="K376" t="s">
        <v>74</v>
      </c>
      <c r="L376" t="s">
        <v>74</v>
      </c>
      <c r="M376" t="s">
        <v>78</v>
      </c>
      <c r="N376" t="s">
        <v>79</v>
      </c>
      <c r="O376" t="s">
        <v>74</v>
      </c>
      <c r="P376" t="s">
        <v>74</v>
      </c>
      <c r="Q376" t="s">
        <v>74</v>
      </c>
      <c r="R376" t="s">
        <v>74</v>
      </c>
      <c r="S376" t="s">
        <v>74</v>
      </c>
      <c r="T376" t="s">
        <v>74</v>
      </c>
      <c r="U376" t="s">
        <v>7425</v>
      </c>
      <c r="V376" t="s">
        <v>7426</v>
      </c>
      <c r="W376" t="s">
        <v>7427</v>
      </c>
      <c r="X376" t="s">
        <v>7428</v>
      </c>
      <c r="Y376" t="s">
        <v>7429</v>
      </c>
      <c r="Z376" t="s">
        <v>7430</v>
      </c>
      <c r="AA376" t="s">
        <v>7431</v>
      </c>
      <c r="AB376" t="s">
        <v>7432</v>
      </c>
      <c r="AC376" t="s">
        <v>7433</v>
      </c>
      <c r="AD376" t="s">
        <v>7434</v>
      </c>
      <c r="AE376" t="s">
        <v>7435</v>
      </c>
      <c r="AF376" t="s">
        <v>74</v>
      </c>
      <c r="AG376">
        <v>92</v>
      </c>
      <c r="AH376">
        <v>23</v>
      </c>
      <c r="AI376">
        <v>25</v>
      </c>
      <c r="AJ376">
        <v>4</v>
      </c>
      <c r="AK376">
        <v>16</v>
      </c>
      <c r="AL376" t="s">
        <v>7290</v>
      </c>
      <c r="AM376" t="s">
        <v>7291</v>
      </c>
      <c r="AN376" t="s">
        <v>7436</v>
      </c>
      <c r="AO376" t="s">
        <v>7437</v>
      </c>
      <c r="AP376" t="s">
        <v>7438</v>
      </c>
      <c r="AQ376" t="s">
        <v>74</v>
      </c>
      <c r="AR376" t="s">
        <v>7439</v>
      </c>
      <c r="AS376" t="s">
        <v>7440</v>
      </c>
      <c r="AT376" t="s">
        <v>374</v>
      </c>
      <c r="AU376">
        <v>2021</v>
      </c>
      <c r="AV376">
        <v>102</v>
      </c>
      <c r="AW376">
        <v>1</v>
      </c>
      <c r="AX376" t="s">
        <v>74</v>
      </c>
      <c r="AY376" t="s">
        <v>74</v>
      </c>
      <c r="AZ376" t="s">
        <v>74</v>
      </c>
      <c r="BA376" t="s">
        <v>74</v>
      </c>
      <c r="BB376" t="s">
        <v>7441</v>
      </c>
      <c r="BC376" t="s">
        <v>7442</v>
      </c>
      <c r="BD376" t="s">
        <v>74</v>
      </c>
      <c r="BE376" t="s">
        <v>7443</v>
      </c>
      <c r="BF376" t="str">
        <f>HYPERLINK("http://dx.doi.org/10.1175/BAMS-D-19-0196.1","http://dx.doi.org/10.1175/BAMS-D-19-0196.1")</f>
        <v>http://dx.doi.org/10.1175/BAMS-D-19-0196.1</v>
      </c>
      <c r="BG376" t="s">
        <v>74</v>
      </c>
      <c r="BH376" t="s">
        <v>74</v>
      </c>
      <c r="BI376">
        <v>18</v>
      </c>
      <c r="BJ376" t="s">
        <v>687</v>
      </c>
      <c r="BK376" t="s">
        <v>103</v>
      </c>
      <c r="BL376" t="s">
        <v>687</v>
      </c>
      <c r="BM376" t="s">
        <v>7444</v>
      </c>
      <c r="BN376" t="s">
        <v>74</v>
      </c>
      <c r="BO376" t="s">
        <v>7176</v>
      </c>
      <c r="BP376" t="s">
        <v>74</v>
      </c>
      <c r="BQ376" t="s">
        <v>74</v>
      </c>
      <c r="BR376" t="s">
        <v>106</v>
      </c>
      <c r="BS376" t="s">
        <v>7445</v>
      </c>
      <c r="BT376" t="str">
        <f>HYPERLINK("https%3A%2F%2Fwww.webofscience.com%2Fwos%2Fwoscc%2Ffull-record%2FWOS:000646825900002","View Full Record in Web of Science")</f>
        <v>View Full Record in Web of Science</v>
      </c>
    </row>
    <row r="377" spans="1:72" x14ac:dyDescent="0.15">
      <c r="A377" t="s">
        <v>72</v>
      </c>
      <c r="B377" t="s">
        <v>7446</v>
      </c>
      <c r="C377" t="s">
        <v>74</v>
      </c>
      <c r="D377" t="s">
        <v>74</v>
      </c>
      <c r="E377" t="s">
        <v>74</v>
      </c>
      <c r="F377" t="s">
        <v>7447</v>
      </c>
      <c r="G377" t="s">
        <v>74</v>
      </c>
      <c r="H377" t="s">
        <v>74</v>
      </c>
      <c r="I377" t="s">
        <v>7448</v>
      </c>
      <c r="J377" t="s">
        <v>7449</v>
      </c>
      <c r="K377" t="s">
        <v>74</v>
      </c>
      <c r="L377" t="s">
        <v>74</v>
      </c>
      <c r="M377" t="s">
        <v>78</v>
      </c>
      <c r="N377" t="s">
        <v>79</v>
      </c>
      <c r="O377" t="s">
        <v>74</v>
      </c>
      <c r="P377" t="s">
        <v>74</v>
      </c>
      <c r="Q377" t="s">
        <v>74</v>
      </c>
      <c r="R377" t="s">
        <v>74</v>
      </c>
      <c r="S377" t="s">
        <v>74</v>
      </c>
      <c r="T377" t="s">
        <v>7450</v>
      </c>
      <c r="U377" t="s">
        <v>7451</v>
      </c>
      <c r="V377" t="s">
        <v>7452</v>
      </c>
      <c r="W377" t="s">
        <v>7453</v>
      </c>
      <c r="X377" t="s">
        <v>7454</v>
      </c>
      <c r="Y377" t="s">
        <v>7455</v>
      </c>
      <c r="Z377" t="s">
        <v>7456</v>
      </c>
      <c r="AA377" t="s">
        <v>7457</v>
      </c>
      <c r="AB377" t="s">
        <v>7458</v>
      </c>
      <c r="AC377" t="s">
        <v>7459</v>
      </c>
      <c r="AD377" t="s">
        <v>4605</v>
      </c>
      <c r="AE377" t="s">
        <v>7460</v>
      </c>
      <c r="AF377" t="s">
        <v>74</v>
      </c>
      <c r="AG377">
        <v>79</v>
      </c>
      <c r="AH377">
        <v>4</v>
      </c>
      <c r="AI377">
        <v>4</v>
      </c>
      <c r="AJ377">
        <v>0</v>
      </c>
      <c r="AK377">
        <v>5</v>
      </c>
      <c r="AL377" t="s">
        <v>7461</v>
      </c>
      <c r="AM377" t="s">
        <v>7462</v>
      </c>
      <c r="AN377" t="s">
        <v>7463</v>
      </c>
      <c r="AO377" t="s">
        <v>7464</v>
      </c>
      <c r="AP377" t="s">
        <v>74</v>
      </c>
      <c r="AQ377" t="s">
        <v>74</v>
      </c>
      <c r="AR377" t="s">
        <v>7465</v>
      </c>
      <c r="AS377" t="s">
        <v>7466</v>
      </c>
      <c r="AT377" t="s">
        <v>374</v>
      </c>
      <c r="AU377">
        <v>2021</v>
      </c>
      <c r="AV377">
        <v>11</v>
      </c>
      <c r="AW377">
        <v>1</v>
      </c>
      <c r="AX377" t="s">
        <v>74</v>
      </c>
      <c r="AY377" t="s">
        <v>74</v>
      </c>
      <c r="AZ377" t="s">
        <v>74</v>
      </c>
      <c r="BA377" t="s">
        <v>74</v>
      </c>
      <c r="BB377" t="s">
        <v>74</v>
      </c>
      <c r="BC377" t="s">
        <v>74</v>
      </c>
      <c r="BD377" t="s">
        <v>7467</v>
      </c>
      <c r="BE377" t="s">
        <v>7468</v>
      </c>
      <c r="BF377" t="str">
        <f>HYPERLINK("http://dx.doi.org/10.1093/g3journal/jkaa045","http://dx.doi.org/10.1093/g3journal/jkaa045")</f>
        <v>http://dx.doi.org/10.1093/g3journal/jkaa045</v>
      </c>
      <c r="BG377" t="s">
        <v>74</v>
      </c>
      <c r="BH377" t="s">
        <v>74</v>
      </c>
      <c r="BI377">
        <v>9</v>
      </c>
      <c r="BJ377" t="s">
        <v>2637</v>
      </c>
      <c r="BK377" t="s">
        <v>103</v>
      </c>
      <c r="BL377" t="s">
        <v>2637</v>
      </c>
      <c r="BM377" t="s">
        <v>7469</v>
      </c>
      <c r="BN377">
        <v>33561244</v>
      </c>
      <c r="BO377" t="s">
        <v>1105</v>
      </c>
      <c r="BP377" t="s">
        <v>74</v>
      </c>
      <c r="BQ377" t="s">
        <v>74</v>
      </c>
      <c r="BR377" t="s">
        <v>106</v>
      </c>
      <c r="BS377" t="s">
        <v>7470</v>
      </c>
      <c r="BT377" t="str">
        <f>HYPERLINK("https%3A%2F%2Fwww.webofscience.com%2Fwos%2Fwoscc%2Ffull-record%2FWOS:000651851700028","View Full Record in Web of Science")</f>
        <v>View Full Record in Web of Science</v>
      </c>
    </row>
    <row r="378" spans="1:72" x14ac:dyDescent="0.15">
      <c r="A378" t="s">
        <v>72</v>
      </c>
      <c r="B378" t="s">
        <v>7471</v>
      </c>
      <c r="C378" t="s">
        <v>74</v>
      </c>
      <c r="D378" t="s">
        <v>74</v>
      </c>
      <c r="E378" t="s">
        <v>74</v>
      </c>
      <c r="F378" t="s">
        <v>7472</v>
      </c>
      <c r="G378" t="s">
        <v>74</v>
      </c>
      <c r="H378" t="s">
        <v>74</v>
      </c>
      <c r="I378" t="s">
        <v>7473</v>
      </c>
      <c r="J378" t="s">
        <v>7474</v>
      </c>
      <c r="K378" t="s">
        <v>74</v>
      </c>
      <c r="L378" t="s">
        <v>74</v>
      </c>
      <c r="M378" t="s">
        <v>78</v>
      </c>
      <c r="N378" t="s">
        <v>79</v>
      </c>
      <c r="O378" t="s">
        <v>74</v>
      </c>
      <c r="P378" t="s">
        <v>74</v>
      </c>
      <c r="Q378" t="s">
        <v>74</v>
      </c>
      <c r="R378" t="s">
        <v>74</v>
      </c>
      <c r="S378" t="s">
        <v>74</v>
      </c>
      <c r="T378" t="s">
        <v>7475</v>
      </c>
      <c r="U378" t="s">
        <v>7476</v>
      </c>
      <c r="V378" t="s">
        <v>7477</v>
      </c>
      <c r="W378" t="s">
        <v>7478</v>
      </c>
      <c r="X378" t="s">
        <v>7479</v>
      </c>
      <c r="Y378" t="s">
        <v>7480</v>
      </c>
      <c r="Z378" t="s">
        <v>7481</v>
      </c>
      <c r="AA378" t="s">
        <v>7482</v>
      </c>
      <c r="AB378" t="s">
        <v>7483</v>
      </c>
      <c r="AC378" t="s">
        <v>7484</v>
      </c>
      <c r="AD378" t="s">
        <v>7485</v>
      </c>
      <c r="AE378" t="s">
        <v>7486</v>
      </c>
      <c r="AF378" t="s">
        <v>74</v>
      </c>
      <c r="AG378">
        <v>10</v>
      </c>
      <c r="AH378">
        <v>4</v>
      </c>
      <c r="AI378">
        <v>4</v>
      </c>
      <c r="AJ378">
        <v>0</v>
      </c>
      <c r="AK378">
        <v>3</v>
      </c>
      <c r="AL378" t="s">
        <v>7487</v>
      </c>
      <c r="AM378" t="s">
        <v>7488</v>
      </c>
      <c r="AN378" t="s">
        <v>7489</v>
      </c>
      <c r="AO378" t="s">
        <v>7490</v>
      </c>
      <c r="AP378" t="s">
        <v>74</v>
      </c>
      <c r="AQ378" t="s">
        <v>74</v>
      </c>
      <c r="AR378" t="s">
        <v>7491</v>
      </c>
      <c r="AS378" t="s">
        <v>7492</v>
      </c>
      <c r="AT378" t="s">
        <v>74</v>
      </c>
      <c r="AU378">
        <v>2021</v>
      </c>
      <c r="AV378">
        <v>7</v>
      </c>
      <c r="AW378">
        <v>1</v>
      </c>
      <c r="AX378" t="s">
        <v>74</v>
      </c>
      <c r="AY378" t="s">
        <v>74</v>
      </c>
      <c r="AZ378" t="s">
        <v>74</v>
      </c>
      <c r="BA378" t="s">
        <v>74</v>
      </c>
      <c r="BB378">
        <v>41</v>
      </c>
      <c r="BC378">
        <v>46</v>
      </c>
      <c r="BD378" t="s">
        <v>74</v>
      </c>
      <c r="BE378" t="s">
        <v>7493</v>
      </c>
      <c r="BF378" t="str">
        <f>HYPERLINK("http://dx.doi.org/10.12737/szf-71202106","http://dx.doi.org/10.12737/szf-71202106")</f>
        <v>http://dx.doi.org/10.12737/szf-71202106</v>
      </c>
      <c r="BG378" t="s">
        <v>74</v>
      </c>
      <c r="BH378" t="s">
        <v>74</v>
      </c>
      <c r="BI378">
        <v>6</v>
      </c>
      <c r="BJ378" t="s">
        <v>426</v>
      </c>
      <c r="BK378" t="s">
        <v>3050</v>
      </c>
      <c r="BL378" t="s">
        <v>426</v>
      </c>
      <c r="BM378" t="s">
        <v>7494</v>
      </c>
      <c r="BN378" t="s">
        <v>74</v>
      </c>
      <c r="BO378" t="s">
        <v>3283</v>
      </c>
      <c r="BP378" t="s">
        <v>74</v>
      </c>
      <c r="BQ378" t="s">
        <v>74</v>
      </c>
      <c r="BR378" t="s">
        <v>106</v>
      </c>
      <c r="BS378" t="s">
        <v>7495</v>
      </c>
      <c r="BT378" t="str">
        <f>HYPERLINK("https%3A%2F%2Fwww.webofscience.com%2Fwos%2Fwoscc%2Ffull-record%2FWOS:000644797400006","View Full Record in Web of Science")</f>
        <v>View Full Record in Web of Science</v>
      </c>
    </row>
    <row r="379" spans="1:72" x14ac:dyDescent="0.15">
      <c r="A379" t="s">
        <v>72</v>
      </c>
      <c r="B379" t="s">
        <v>7496</v>
      </c>
      <c r="C379" t="s">
        <v>74</v>
      </c>
      <c r="D379" t="s">
        <v>74</v>
      </c>
      <c r="E379" t="s">
        <v>74</v>
      </c>
      <c r="F379" t="s">
        <v>7497</v>
      </c>
      <c r="G379" t="s">
        <v>74</v>
      </c>
      <c r="H379" t="s">
        <v>74</v>
      </c>
      <c r="I379" t="s">
        <v>7498</v>
      </c>
      <c r="J379" t="s">
        <v>7499</v>
      </c>
      <c r="K379" t="s">
        <v>74</v>
      </c>
      <c r="L379" t="s">
        <v>74</v>
      </c>
      <c r="M379" t="s">
        <v>78</v>
      </c>
      <c r="N379" t="s">
        <v>79</v>
      </c>
      <c r="O379" t="s">
        <v>74</v>
      </c>
      <c r="P379" t="s">
        <v>74</v>
      </c>
      <c r="Q379" t="s">
        <v>74</v>
      </c>
      <c r="R379" t="s">
        <v>74</v>
      </c>
      <c r="S379" t="s">
        <v>74</v>
      </c>
      <c r="T379" t="s">
        <v>7500</v>
      </c>
      <c r="U379" t="s">
        <v>74</v>
      </c>
      <c r="V379" t="s">
        <v>7501</v>
      </c>
      <c r="W379" t="s">
        <v>7502</v>
      </c>
      <c r="X379" t="s">
        <v>7503</v>
      </c>
      <c r="Y379" t="s">
        <v>7504</v>
      </c>
      <c r="Z379" t="s">
        <v>7505</v>
      </c>
      <c r="AA379" t="s">
        <v>7506</v>
      </c>
      <c r="AB379" t="s">
        <v>7507</v>
      </c>
      <c r="AC379" t="s">
        <v>7508</v>
      </c>
      <c r="AD379" t="s">
        <v>74</v>
      </c>
      <c r="AE379" t="s">
        <v>7509</v>
      </c>
      <c r="AF379" t="s">
        <v>74</v>
      </c>
      <c r="AG379">
        <v>33</v>
      </c>
      <c r="AH379">
        <v>2</v>
      </c>
      <c r="AI379">
        <v>2</v>
      </c>
      <c r="AJ379">
        <v>0</v>
      </c>
      <c r="AK379">
        <v>3</v>
      </c>
      <c r="AL379" t="s">
        <v>7510</v>
      </c>
      <c r="AM379" t="s">
        <v>473</v>
      </c>
      <c r="AN379" t="s">
        <v>7511</v>
      </c>
      <c r="AO379" t="s">
        <v>7512</v>
      </c>
      <c r="AP379" t="s">
        <v>7513</v>
      </c>
      <c r="AQ379" t="s">
        <v>74</v>
      </c>
      <c r="AR379" t="s">
        <v>7514</v>
      </c>
      <c r="AS379" t="s">
        <v>7515</v>
      </c>
      <c r="AT379" t="s">
        <v>374</v>
      </c>
      <c r="AU379">
        <v>2021</v>
      </c>
      <c r="AV379">
        <v>91</v>
      </c>
      <c r="AW379">
        <v>1</v>
      </c>
      <c r="AX379" t="s">
        <v>74</v>
      </c>
      <c r="AY379" t="s">
        <v>74</v>
      </c>
      <c r="AZ379" t="s">
        <v>74</v>
      </c>
      <c r="BA379" t="s">
        <v>74</v>
      </c>
      <c r="BB379">
        <v>26</v>
      </c>
      <c r="BC379">
        <v>36</v>
      </c>
      <c r="BD379" t="s">
        <v>74</v>
      </c>
      <c r="BE379" t="s">
        <v>7516</v>
      </c>
      <c r="BF379" t="str">
        <f>HYPERLINK("http://dx.doi.org/10.1134/S101933162101007X","http://dx.doi.org/10.1134/S101933162101007X")</f>
        <v>http://dx.doi.org/10.1134/S101933162101007X</v>
      </c>
      <c r="BG379" t="s">
        <v>74</v>
      </c>
      <c r="BH379" t="s">
        <v>74</v>
      </c>
      <c r="BI379">
        <v>11</v>
      </c>
      <c r="BJ379" t="s">
        <v>7517</v>
      </c>
      <c r="BK379" t="s">
        <v>103</v>
      </c>
      <c r="BL379" t="s">
        <v>7518</v>
      </c>
      <c r="BM379" t="s">
        <v>7519</v>
      </c>
      <c r="BN379" t="s">
        <v>74</v>
      </c>
      <c r="BO379" t="s">
        <v>74</v>
      </c>
      <c r="BP379" t="s">
        <v>74</v>
      </c>
      <c r="BQ379" t="s">
        <v>74</v>
      </c>
      <c r="BR379" t="s">
        <v>106</v>
      </c>
      <c r="BS379" t="s">
        <v>7520</v>
      </c>
      <c r="BT379" t="str">
        <f>HYPERLINK("https%3A%2F%2Fwww.webofscience.com%2Fwos%2Fwoscc%2Ffull-record%2FWOS:000643572700004","View Full Record in Web of Science")</f>
        <v>View Full Record in Web of Science</v>
      </c>
    </row>
    <row r="380" spans="1:72" x14ac:dyDescent="0.15">
      <c r="A380" t="s">
        <v>72</v>
      </c>
      <c r="B380" t="s">
        <v>7521</v>
      </c>
      <c r="C380" t="s">
        <v>74</v>
      </c>
      <c r="D380" t="s">
        <v>74</v>
      </c>
      <c r="E380" t="s">
        <v>74</v>
      </c>
      <c r="F380" t="s">
        <v>7522</v>
      </c>
      <c r="G380" t="s">
        <v>74</v>
      </c>
      <c r="H380" t="s">
        <v>74</v>
      </c>
      <c r="I380" t="s">
        <v>7523</v>
      </c>
      <c r="J380" t="s">
        <v>7277</v>
      </c>
      <c r="K380" t="s">
        <v>74</v>
      </c>
      <c r="L380" t="s">
        <v>74</v>
      </c>
      <c r="M380" t="s">
        <v>78</v>
      </c>
      <c r="N380" t="s">
        <v>79</v>
      </c>
      <c r="O380" t="s">
        <v>74</v>
      </c>
      <c r="P380" t="s">
        <v>74</v>
      </c>
      <c r="Q380" t="s">
        <v>74</v>
      </c>
      <c r="R380" t="s">
        <v>74</v>
      </c>
      <c r="S380" t="s">
        <v>74</v>
      </c>
      <c r="T380" t="s">
        <v>7524</v>
      </c>
      <c r="U380" t="s">
        <v>7525</v>
      </c>
      <c r="V380" t="s">
        <v>7526</v>
      </c>
      <c r="W380" t="s">
        <v>7527</v>
      </c>
      <c r="X380" t="s">
        <v>7528</v>
      </c>
      <c r="Y380" t="s">
        <v>7529</v>
      </c>
      <c r="Z380" t="s">
        <v>7530</v>
      </c>
      <c r="AA380" t="s">
        <v>7531</v>
      </c>
      <c r="AB380" t="s">
        <v>7532</v>
      </c>
      <c r="AC380" t="s">
        <v>7533</v>
      </c>
      <c r="AD380" t="s">
        <v>7534</v>
      </c>
      <c r="AE380" t="s">
        <v>7535</v>
      </c>
      <c r="AF380" t="s">
        <v>74</v>
      </c>
      <c r="AG380">
        <v>69</v>
      </c>
      <c r="AH380">
        <v>33</v>
      </c>
      <c r="AI380">
        <v>37</v>
      </c>
      <c r="AJ380">
        <v>4</v>
      </c>
      <c r="AK380">
        <v>14</v>
      </c>
      <c r="AL380" t="s">
        <v>7290</v>
      </c>
      <c r="AM380" t="s">
        <v>7291</v>
      </c>
      <c r="AN380" t="s">
        <v>7292</v>
      </c>
      <c r="AO380" t="s">
        <v>7293</v>
      </c>
      <c r="AP380" t="s">
        <v>7294</v>
      </c>
      <c r="AQ380" t="s">
        <v>74</v>
      </c>
      <c r="AR380" t="s">
        <v>7295</v>
      </c>
      <c r="AS380" t="s">
        <v>7296</v>
      </c>
      <c r="AT380" t="s">
        <v>374</v>
      </c>
      <c r="AU380">
        <v>2021</v>
      </c>
      <c r="AV380">
        <v>51</v>
      </c>
      <c r="AW380">
        <v>1</v>
      </c>
      <c r="AX380" t="s">
        <v>74</v>
      </c>
      <c r="AY380" t="s">
        <v>74</v>
      </c>
      <c r="AZ380" t="s">
        <v>74</v>
      </c>
      <c r="BA380" t="s">
        <v>74</v>
      </c>
      <c r="BB380">
        <v>115</v>
      </c>
      <c r="BC380">
        <v>129</v>
      </c>
      <c r="BD380" t="s">
        <v>74</v>
      </c>
      <c r="BE380" t="s">
        <v>7536</v>
      </c>
      <c r="BF380" t="str">
        <f>HYPERLINK("http://dx.doi.org/10.1175/JPO-D-20-0054.1","http://dx.doi.org/10.1175/JPO-D-20-0054.1")</f>
        <v>http://dx.doi.org/10.1175/JPO-D-20-0054.1</v>
      </c>
      <c r="BG380" t="s">
        <v>74</v>
      </c>
      <c r="BH380" t="s">
        <v>74</v>
      </c>
      <c r="BI380">
        <v>15</v>
      </c>
      <c r="BJ380" t="s">
        <v>2250</v>
      </c>
      <c r="BK380" t="s">
        <v>103</v>
      </c>
      <c r="BL380" t="s">
        <v>2250</v>
      </c>
      <c r="BM380" t="s">
        <v>7537</v>
      </c>
      <c r="BN380" t="s">
        <v>74</v>
      </c>
      <c r="BO380" t="s">
        <v>7538</v>
      </c>
      <c r="BP380" t="s">
        <v>74</v>
      </c>
      <c r="BQ380" t="s">
        <v>74</v>
      </c>
      <c r="BR380" t="s">
        <v>106</v>
      </c>
      <c r="BS380" t="s">
        <v>7539</v>
      </c>
      <c r="BT380" t="str">
        <f>HYPERLINK("https%3A%2F%2Fwww.webofscience.com%2Fwos%2Fwoscc%2Ffull-record%2FWOS:000646374900008","View Full Record in Web of Science")</f>
        <v>View Full Record in Web of Science</v>
      </c>
    </row>
    <row r="381" spans="1:72" x14ac:dyDescent="0.15">
      <c r="A381" t="s">
        <v>72</v>
      </c>
      <c r="B381" t="s">
        <v>7540</v>
      </c>
      <c r="C381" t="s">
        <v>74</v>
      </c>
      <c r="D381" t="s">
        <v>74</v>
      </c>
      <c r="E381" t="s">
        <v>74</v>
      </c>
      <c r="F381" t="s">
        <v>7541</v>
      </c>
      <c r="G381" t="s">
        <v>74</v>
      </c>
      <c r="H381" t="s">
        <v>74</v>
      </c>
      <c r="I381" t="s">
        <v>7542</v>
      </c>
      <c r="J381" t="s">
        <v>7543</v>
      </c>
      <c r="K381" t="s">
        <v>74</v>
      </c>
      <c r="L381" t="s">
        <v>74</v>
      </c>
      <c r="M381" t="s">
        <v>78</v>
      </c>
      <c r="N381" t="s">
        <v>141</v>
      </c>
      <c r="O381" t="s">
        <v>74</v>
      </c>
      <c r="P381" t="s">
        <v>74</v>
      </c>
      <c r="Q381" t="s">
        <v>74</v>
      </c>
      <c r="R381" t="s">
        <v>74</v>
      </c>
      <c r="S381" t="s">
        <v>74</v>
      </c>
      <c r="T381" t="s">
        <v>7544</v>
      </c>
      <c r="U381" t="s">
        <v>7545</v>
      </c>
      <c r="V381" t="s">
        <v>7546</v>
      </c>
      <c r="W381" t="s">
        <v>7547</v>
      </c>
      <c r="X381" t="s">
        <v>7548</v>
      </c>
      <c r="Y381" t="s">
        <v>7549</v>
      </c>
      <c r="Z381" t="s">
        <v>7550</v>
      </c>
      <c r="AA381" t="s">
        <v>7551</v>
      </c>
      <c r="AB381" t="s">
        <v>7552</v>
      </c>
      <c r="AC381" t="s">
        <v>7553</v>
      </c>
      <c r="AD381" t="s">
        <v>7554</v>
      </c>
      <c r="AE381" t="s">
        <v>7555</v>
      </c>
      <c r="AF381" t="s">
        <v>74</v>
      </c>
      <c r="AG381">
        <v>46</v>
      </c>
      <c r="AH381">
        <v>3</v>
      </c>
      <c r="AI381">
        <v>3</v>
      </c>
      <c r="AJ381">
        <v>0</v>
      </c>
      <c r="AK381">
        <v>3</v>
      </c>
      <c r="AL381" t="s">
        <v>2630</v>
      </c>
      <c r="AM381" t="s">
        <v>2631</v>
      </c>
      <c r="AN381" t="s">
        <v>2632</v>
      </c>
      <c r="AO381" t="s">
        <v>7556</v>
      </c>
      <c r="AP381" t="s">
        <v>7557</v>
      </c>
      <c r="AQ381" t="s">
        <v>74</v>
      </c>
      <c r="AR381" t="s">
        <v>7558</v>
      </c>
      <c r="AS381" t="s">
        <v>7559</v>
      </c>
      <c r="AT381" t="s">
        <v>6088</v>
      </c>
      <c r="AU381">
        <v>2021</v>
      </c>
      <c r="AV381">
        <v>80</v>
      </c>
      <c r="AW381">
        <v>1</v>
      </c>
      <c r="AX381" t="s">
        <v>74</v>
      </c>
      <c r="AY381" t="s">
        <v>74</v>
      </c>
      <c r="AZ381" t="s">
        <v>74</v>
      </c>
      <c r="BA381" t="s">
        <v>74</v>
      </c>
      <c r="BB381" t="s">
        <v>74</v>
      </c>
      <c r="BC381" t="s">
        <v>74</v>
      </c>
      <c r="BD381">
        <v>1926133</v>
      </c>
      <c r="BE381" t="s">
        <v>7560</v>
      </c>
      <c r="BF381" t="str">
        <f>HYPERLINK("http://dx.doi.org/10.1080/22423982.2021.1926133","http://dx.doi.org/10.1080/22423982.2021.1926133")</f>
        <v>http://dx.doi.org/10.1080/22423982.2021.1926133</v>
      </c>
      <c r="BG381" t="s">
        <v>74</v>
      </c>
      <c r="BH381" t="s">
        <v>74</v>
      </c>
      <c r="BI381">
        <v>14</v>
      </c>
      <c r="BJ381" t="s">
        <v>7561</v>
      </c>
      <c r="BK381" t="s">
        <v>271</v>
      </c>
      <c r="BL381" t="s">
        <v>7561</v>
      </c>
      <c r="BM381" t="s">
        <v>7562</v>
      </c>
      <c r="BN381">
        <v>33983101</v>
      </c>
      <c r="BO381" t="s">
        <v>1105</v>
      </c>
      <c r="BP381" t="s">
        <v>74</v>
      </c>
      <c r="BQ381" t="s">
        <v>74</v>
      </c>
      <c r="BR381" t="s">
        <v>106</v>
      </c>
      <c r="BS381" t="s">
        <v>7563</v>
      </c>
      <c r="BT381" t="str">
        <f>HYPERLINK("https%3A%2F%2Fwww.webofscience.com%2Fwos%2Fwoscc%2Ffull-record%2FWOS:000649939700001","View Full Record in Web of Science")</f>
        <v>View Full Record in Web of Science</v>
      </c>
    </row>
    <row r="382" spans="1:72" x14ac:dyDescent="0.15">
      <c r="A382" t="s">
        <v>72</v>
      </c>
      <c r="B382" t="s">
        <v>7564</v>
      </c>
      <c r="C382" t="s">
        <v>74</v>
      </c>
      <c r="D382" t="s">
        <v>74</v>
      </c>
      <c r="E382" t="s">
        <v>74</v>
      </c>
      <c r="F382" t="s">
        <v>7565</v>
      </c>
      <c r="G382" t="s">
        <v>74</v>
      </c>
      <c r="H382" t="s">
        <v>74</v>
      </c>
      <c r="I382" t="s">
        <v>7566</v>
      </c>
      <c r="J382" t="s">
        <v>7567</v>
      </c>
      <c r="K382" t="s">
        <v>74</v>
      </c>
      <c r="L382" t="s">
        <v>74</v>
      </c>
      <c r="M382" t="s">
        <v>78</v>
      </c>
      <c r="N382" t="s">
        <v>79</v>
      </c>
      <c r="O382" t="s">
        <v>74</v>
      </c>
      <c r="P382" t="s">
        <v>74</v>
      </c>
      <c r="Q382" t="s">
        <v>74</v>
      </c>
      <c r="R382" t="s">
        <v>74</v>
      </c>
      <c r="S382" t="s">
        <v>74</v>
      </c>
      <c r="T382" t="s">
        <v>7568</v>
      </c>
      <c r="U382" t="s">
        <v>7569</v>
      </c>
      <c r="V382" t="s">
        <v>7570</v>
      </c>
      <c r="W382" t="s">
        <v>7571</v>
      </c>
      <c r="X382" t="s">
        <v>1932</v>
      </c>
      <c r="Y382" t="s">
        <v>7572</v>
      </c>
      <c r="Z382" t="s">
        <v>7573</v>
      </c>
      <c r="AA382" t="s">
        <v>7574</v>
      </c>
      <c r="AB382" t="s">
        <v>7575</v>
      </c>
      <c r="AC382" t="s">
        <v>7576</v>
      </c>
      <c r="AD382" t="s">
        <v>7577</v>
      </c>
      <c r="AE382" t="s">
        <v>7578</v>
      </c>
      <c r="AF382" t="s">
        <v>74</v>
      </c>
      <c r="AG382">
        <v>55</v>
      </c>
      <c r="AH382">
        <v>4</v>
      </c>
      <c r="AI382">
        <v>4</v>
      </c>
      <c r="AJ382">
        <v>3</v>
      </c>
      <c r="AK382">
        <v>24</v>
      </c>
      <c r="AL382" t="s">
        <v>7579</v>
      </c>
      <c r="AM382" t="s">
        <v>7580</v>
      </c>
      <c r="AN382" t="s">
        <v>7581</v>
      </c>
      <c r="AO382" t="s">
        <v>7582</v>
      </c>
      <c r="AP382" t="s">
        <v>7583</v>
      </c>
      <c r="AQ382" t="s">
        <v>74</v>
      </c>
      <c r="AR382" t="s">
        <v>7567</v>
      </c>
      <c r="AS382" t="s">
        <v>7584</v>
      </c>
      <c r="AT382" t="s">
        <v>74</v>
      </c>
      <c r="AU382">
        <v>2021</v>
      </c>
      <c r="AV382">
        <v>59</v>
      </c>
      <c r="AW382">
        <v>1</v>
      </c>
      <c r="AX382" t="s">
        <v>74</v>
      </c>
      <c r="AY382" t="s">
        <v>74</v>
      </c>
      <c r="AZ382" t="s">
        <v>74</v>
      </c>
      <c r="BA382" t="s">
        <v>74</v>
      </c>
      <c r="BB382">
        <v>95</v>
      </c>
      <c r="BC382">
        <v>105</v>
      </c>
      <c r="BD382" t="s">
        <v>74</v>
      </c>
      <c r="BE382" t="s">
        <v>7585</v>
      </c>
      <c r="BF382" t="str">
        <f>HYPERLINK("http://dx.doi.org/10.32615/ps.2021.002","http://dx.doi.org/10.32615/ps.2021.002")</f>
        <v>http://dx.doi.org/10.32615/ps.2021.002</v>
      </c>
      <c r="BG382" t="s">
        <v>74</v>
      </c>
      <c r="BH382" t="s">
        <v>74</v>
      </c>
      <c r="BI382">
        <v>11</v>
      </c>
      <c r="BJ382" t="s">
        <v>7174</v>
      </c>
      <c r="BK382" t="s">
        <v>103</v>
      </c>
      <c r="BL382" t="s">
        <v>7174</v>
      </c>
      <c r="BM382" t="s">
        <v>7586</v>
      </c>
      <c r="BN382" t="s">
        <v>74</v>
      </c>
      <c r="BO382" t="s">
        <v>326</v>
      </c>
      <c r="BP382" t="s">
        <v>74</v>
      </c>
      <c r="BQ382" t="s">
        <v>74</v>
      </c>
      <c r="BR382" t="s">
        <v>106</v>
      </c>
      <c r="BS382" t="s">
        <v>7587</v>
      </c>
      <c r="BT382" t="str">
        <f>HYPERLINK("https%3A%2F%2Fwww.webofscience.com%2Fwos%2Fwoscc%2Ffull-record%2FWOS:000645434700010","View Full Record in Web of Science")</f>
        <v>View Full Record in Web of Science</v>
      </c>
    </row>
    <row r="383" spans="1:72" x14ac:dyDescent="0.15">
      <c r="A383" t="s">
        <v>72</v>
      </c>
      <c r="B383" t="s">
        <v>7588</v>
      </c>
      <c r="C383" t="s">
        <v>74</v>
      </c>
      <c r="D383" t="s">
        <v>74</v>
      </c>
      <c r="E383" t="s">
        <v>74</v>
      </c>
      <c r="F383" t="s">
        <v>7589</v>
      </c>
      <c r="G383" t="s">
        <v>74</v>
      </c>
      <c r="H383" t="s">
        <v>74</v>
      </c>
      <c r="I383" t="s">
        <v>7590</v>
      </c>
      <c r="J383" t="s">
        <v>7591</v>
      </c>
      <c r="K383" t="s">
        <v>74</v>
      </c>
      <c r="L383" t="s">
        <v>74</v>
      </c>
      <c r="M383" t="s">
        <v>4693</v>
      </c>
      <c r="N383" t="s">
        <v>79</v>
      </c>
      <c r="O383" t="s">
        <v>74</v>
      </c>
      <c r="P383" t="s">
        <v>74</v>
      </c>
      <c r="Q383" t="s">
        <v>74</v>
      </c>
      <c r="R383" t="s">
        <v>74</v>
      </c>
      <c r="S383" t="s">
        <v>74</v>
      </c>
      <c r="T383" t="s">
        <v>7592</v>
      </c>
      <c r="U383" t="s">
        <v>74</v>
      </c>
      <c r="V383" t="s">
        <v>7593</v>
      </c>
      <c r="W383" t="s">
        <v>7594</v>
      </c>
      <c r="X383" t="s">
        <v>7595</v>
      </c>
      <c r="Y383" t="s">
        <v>7596</v>
      </c>
      <c r="Z383" t="s">
        <v>7597</v>
      </c>
      <c r="AA383" t="s">
        <v>74</v>
      </c>
      <c r="AB383" t="s">
        <v>74</v>
      </c>
      <c r="AC383" t="s">
        <v>74</v>
      </c>
      <c r="AD383" t="s">
        <v>74</v>
      </c>
      <c r="AE383" t="s">
        <v>74</v>
      </c>
      <c r="AF383" t="s">
        <v>74</v>
      </c>
      <c r="AG383">
        <v>9</v>
      </c>
      <c r="AH383">
        <v>0</v>
      </c>
      <c r="AI383">
        <v>0</v>
      </c>
      <c r="AJ383">
        <v>1</v>
      </c>
      <c r="AK383">
        <v>1</v>
      </c>
      <c r="AL383" t="s">
        <v>7598</v>
      </c>
      <c r="AM383" t="s">
        <v>7599</v>
      </c>
      <c r="AN383" t="s">
        <v>7600</v>
      </c>
      <c r="AO383" t="s">
        <v>7601</v>
      </c>
      <c r="AP383" t="s">
        <v>7602</v>
      </c>
      <c r="AQ383" t="s">
        <v>74</v>
      </c>
      <c r="AR383" t="s">
        <v>7603</v>
      </c>
      <c r="AS383" t="s">
        <v>7604</v>
      </c>
      <c r="AT383" t="s">
        <v>7099</v>
      </c>
      <c r="AU383">
        <v>2021</v>
      </c>
      <c r="AV383" t="s">
        <v>74</v>
      </c>
      <c r="AW383">
        <v>26</v>
      </c>
      <c r="AX383" t="s">
        <v>74</v>
      </c>
      <c r="AY383" t="s">
        <v>74</v>
      </c>
      <c r="AZ383" t="s">
        <v>74</v>
      </c>
      <c r="BA383" t="s">
        <v>74</v>
      </c>
      <c r="BB383">
        <v>29</v>
      </c>
      <c r="BC383">
        <v>67</v>
      </c>
      <c r="BD383" t="s">
        <v>74</v>
      </c>
      <c r="BE383" t="s">
        <v>74</v>
      </c>
      <c r="BF383" t="s">
        <v>74</v>
      </c>
      <c r="BG383" t="s">
        <v>74</v>
      </c>
      <c r="BH383" t="s">
        <v>74</v>
      </c>
      <c r="BI383">
        <v>39</v>
      </c>
      <c r="BJ383" t="s">
        <v>7605</v>
      </c>
      <c r="BK383" t="s">
        <v>3050</v>
      </c>
      <c r="BL383" t="s">
        <v>7606</v>
      </c>
      <c r="BM383" t="s">
        <v>7607</v>
      </c>
      <c r="BN383" t="s">
        <v>74</v>
      </c>
      <c r="BO383" t="s">
        <v>74</v>
      </c>
      <c r="BP383" t="s">
        <v>74</v>
      </c>
      <c r="BQ383" t="s">
        <v>74</v>
      </c>
      <c r="BR383" t="s">
        <v>106</v>
      </c>
      <c r="BS383" t="s">
        <v>7608</v>
      </c>
      <c r="BT383" t="str">
        <f>HYPERLINK("https%3A%2F%2Fwww.webofscience.com%2Fwos%2Fwoscc%2Ffull-record%2FWOS:000642294000002","View Full Record in Web of Science")</f>
        <v>View Full Record in Web of Science</v>
      </c>
    </row>
    <row r="384" spans="1:72" x14ac:dyDescent="0.15">
      <c r="A384" t="s">
        <v>72</v>
      </c>
      <c r="B384" t="s">
        <v>7609</v>
      </c>
      <c r="C384" t="s">
        <v>74</v>
      </c>
      <c r="D384" t="s">
        <v>74</v>
      </c>
      <c r="E384" t="s">
        <v>74</v>
      </c>
      <c r="F384" t="s">
        <v>7610</v>
      </c>
      <c r="G384" t="s">
        <v>74</v>
      </c>
      <c r="H384" t="s">
        <v>74</v>
      </c>
      <c r="I384" t="s">
        <v>7611</v>
      </c>
      <c r="J384" t="s">
        <v>5902</v>
      </c>
      <c r="K384" t="s">
        <v>74</v>
      </c>
      <c r="L384" t="s">
        <v>74</v>
      </c>
      <c r="M384" t="s">
        <v>78</v>
      </c>
      <c r="N384" t="s">
        <v>79</v>
      </c>
      <c r="O384" t="s">
        <v>74</v>
      </c>
      <c r="P384" t="s">
        <v>74</v>
      </c>
      <c r="Q384" t="s">
        <v>74</v>
      </c>
      <c r="R384" t="s">
        <v>74</v>
      </c>
      <c r="S384" t="s">
        <v>74</v>
      </c>
      <c r="T384" t="s">
        <v>7612</v>
      </c>
      <c r="U384" t="s">
        <v>7613</v>
      </c>
      <c r="V384" t="s">
        <v>7614</v>
      </c>
      <c r="W384" t="s">
        <v>7615</v>
      </c>
      <c r="X384" t="s">
        <v>7616</v>
      </c>
      <c r="Y384" t="s">
        <v>7617</v>
      </c>
      <c r="Z384" t="s">
        <v>7618</v>
      </c>
      <c r="AA384" t="s">
        <v>74</v>
      </c>
      <c r="AB384" t="s">
        <v>7619</v>
      </c>
      <c r="AC384" t="s">
        <v>7620</v>
      </c>
      <c r="AD384" t="s">
        <v>7620</v>
      </c>
      <c r="AE384" t="s">
        <v>7621</v>
      </c>
      <c r="AF384" t="s">
        <v>74</v>
      </c>
      <c r="AG384">
        <v>35</v>
      </c>
      <c r="AH384">
        <v>1</v>
      </c>
      <c r="AI384">
        <v>1</v>
      </c>
      <c r="AJ384">
        <v>0</v>
      </c>
      <c r="AK384">
        <v>2</v>
      </c>
      <c r="AL384" t="s">
        <v>5915</v>
      </c>
      <c r="AM384" t="s">
        <v>5916</v>
      </c>
      <c r="AN384" t="s">
        <v>5917</v>
      </c>
      <c r="AO384" t="s">
        <v>7622</v>
      </c>
      <c r="AP384" t="s">
        <v>7623</v>
      </c>
      <c r="AQ384" t="s">
        <v>74</v>
      </c>
      <c r="AR384" t="s">
        <v>5920</v>
      </c>
      <c r="AS384" t="s">
        <v>5921</v>
      </c>
      <c r="AT384" t="s">
        <v>74</v>
      </c>
      <c r="AU384">
        <v>2021</v>
      </c>
      <c r="AV384">
        <v>29</v>
      </c>
      <c r="AW384">
        <v>1</v>
      </c>
      <c r="AX384" t="s">
        <v>74</v>
      </c>
      <c r="AY384" t="s">
        <v>74</v>
      </c>
      <c r="AZ384" t="s">
        <v>74</v>
      </c>
      <c r="BA384" t="s">
        <v>74</v>
      </c>
      <c r="BB384">
        <v>67</v>
      </c>
      <c r="BC384">
        <v>72</v>
      </c>
      <c r="BD384" t="s">
        <v>74</v>
      </c>
      <c r="BE384" t="s">
        <v>7624</v>
      </c>
      <c r="BF384" t="str">
        <f>HYPERLINK("http://dx.doi.org/10.15421/012109","http://dx.doi.org/10.15421/012109")</f>
        <v>http://dx.doi.org/10.15421/012109</v>
      </c>
      <c r="BG384" t="s">
        <v>74</v>
      </c>
      <c r="BH384" t="s">
        <v>74</v>
      </c>
      <c r="BI384">
        <v>6</v>
      </c>
      <c r="BJ384" t="s">
        <v>1509</v>
      </c>
      <c r="BK384" t="s">
        <v>3050</v>
      </c>
      <c r="BL384" t="s">
        <v>104</v>
      </c>
      <c r="BM384" t="s">
        <v>7625</v>
      </c>
      <c r="BN384" t="s">
        <v>74</v>
      </c>
      <c r="BO384" t="s">
        <v>917</v>
      </c>
      <c r="BP384" t="s">
        <v>74</v>
      </c>
      <c r="BQ384" t="s">
        <v>74</v>
      </c>
      <c r="BR384" t="s">
        <v>106</v>
      </c>
      <c r="BS384" t="s">
        <v>7626</v>
      </c>
      <c r="BT384" t="str">
        <f>HYPERLINK("https%3A%2F%2Fwww.webofscience.com%2Fwos%2Fwoscc%2Ffull-record%2FWOS:000644759300009","View Full Record in Web of Science")</f>
        <v>View Full Record in Web of Science</v>
      </c>
    </row>
    <row r="385" spans="1:72" x14ac:dyDescent="0.15">
      <c r="A385" t="s">
        <v>72</v>
      </c>
      <c r="B385" t="s">
        <v>7627</v>
      </c>
      <c r="C385" t="s">
        <v>74</v>
      </c>
      <c r="D385" t="s">
        <v>74</v>
      </c>
      <c r="E385" t="s">
        <v>74</v>
      </c>
      <c r="F385" t="s">
        <v>7628</v>
      </c>
      <c r="G385" t="s">
        <v>74</v>
      </c>
      <c r="H385" t="s">
        <v>74</v>
      </c>
      <c r="I385" t="s">
        <v>7629</v>
      </c>
      <c r="J385" t="s">
        <v>7630</v>
      </c>
      <c r="K385" t="s">
        <v>74</v>
      </c>
      <c r="L385" t="s">
        <v>74</v>
      </c>
      <c r="M385" t="s">
        <v>78</v>
      </c>
      <c r="N385" t="s">
        <v>3976</v>
      </c>
      <c r="O385" t="s">
        <v>74</v>
      </c>
      <c r="P385" t="s">
        <v>74</v>
      </c>
      <c r="Q385" t="s">
        <v>74</v>
      </c>
      <c r="R385" t="s">
        <v>74</v>
      </c>
      <c r="S385" t="s">
        <v>74</v>
      </c>
      <c r="T385" t="s">
        <v>7631</v>
      </c>
      <c r="U385" t="s">
        <v>74</v>
      </c>
      <c r="V385" t="s">
        <v>7632</v>
      </c>
      <c r="W385" t="s">
        <v>7633</v>
      </c>
      <c r="X385" t="s">
        <v>7634</v>
      </c>
      <c r="Y385" t="s">
        <v>7635</v>
      </c>
      <c r="Z385" t="s">
        <v>7636</v>
      </c>
      <c r="AA385" t="s">
        <v>7637</v>
      </c>
      <c r="AB385" t="s">
        <v>7638</v>
      </c>
      <c r="AC385" t="s">
        <v>7639</v>
      </c>
      <c r="AD385" t="s">
        <v>7640</v>
      </c>
      <c r="AE385" t="s">
        <v>7641</v>
      </c>
      <c r="AF385" t="s">
        <v>74</v>
      </c>
      <c r="AG385">
        <v>0</v>
      </c>
      <c r="AH385">
        <v>3</v>
      </c>
      <c r="AI385">
        <v>3</v>
      </c>
      <c r="AJ385">
        <v>0</v>
      </c>
      <c r="AK385">
        <v>3</v>
      </c>
      <c r="AL385" t="s">
        <v>6635</v>
      </c>
      <c r="AM385" t="s">
        <v>473</v>
      </c>
      <c r="AN385" t="s">
        <v>6636</v>
      </c>
      <c r="AO385" t="s">
        <v>7642</v>
      </c>
      <c r="AP385" t="s">
        <v>7643</v>
      </c>
      <c r="AQ385" t="s">
        <v>74</v>
      </c>
      <c r="AR385" t="s">
        <v>7644</v>
      </c>
      <c r="AS385" t="s">
        <v>7645</v>
      </c>
      <c r="AT385" t="s">
        <v>374</v>
      </c>
      <c r="AU385">
        <v>2021</v>
      </c>
      <c r="AV385">
        <v>61</v>
      </c>
      <c r="AW385">
        <v>1</v>
      </c>
      <c r="AX385" t="s">
        <v>74</v>
      </c>
      <c r="AY385" t="s">
        <v>74</v>
      </c>
      <c r="AZ385" t="s">
        <v>74</v>
      </c>
      <c r="BA385" t="s">
        <v>74</v>
      </c>
      <c r="BB385">
        <v>144</v>
      </c>
      <c r="BC385">
        <v>146</v>
      </c>
      <c r="BD385" t="s">
        <v>74</v>
      </c>
      <c r="BE385" t="s">
        <v>7646</v>
      </c>
      <c r="BF385" t="str">
        <f>HYPERLINK("http://dx.doi.org/10.1134/S000143702006003X","http://dx.doi.org/10.1134/S000143702006003X")</f>
        <v>http://dx.doi.org/10.1134/S000143702006003X</v>
      </c>
      <c r="BG385" t="s">
        <v>74</v>
      </c>
      <c r="BH385" t="s">
        <v>74</v>
      </c>
      <c r="BI385">
        <v>3</v>
      </c>
      <c r="BJ385" t="s">
        <v>2250</v>
      </c>
      <c r="BK385" t="s">
        <v>103</v>
      </c>
      <c r="BL385" t="s">
        <v>2250</v>
      </c>
      <c r="BM385" t="s">
        <v>7647</v>
      </c>
      <c r="BN385" t="s">
        <v>74</v>
      </c>
      <c r="BO385" t="s">
        <v>74</v>
      </c>
      <c r="BP385" t="s">
        <v>74</v>
      </c>
      <c r="BQ385" t="s">
        <v>74</v>
      </c>
      <c r="BR385" t="s">
        <v>106</v>
      </c>
      <c r="BS385" t="s">
        <v>7648</v>
      </c>
      <c r="BT385" t="str">
        <f>HYPERLINK("https%3A%2F%2Fwww.webofscience.com%2Fwos%2Fwoscc%2Ffull-record%2FWOS:000639464100016","View Full Record in Web of Science")</f>
        <v>View Full Record in Web of Science</v>
      </c>
    </row>
    <row r="386" spans="1:72" x14ac:dyDescent="0.15">
      <c r="A386" t="s">
        <v>72</v>
      </c>
      <c r="B386" t="s">
        <v>7649</v>
      </c>
      <c r="C386" t="s">
        <v>74</v>
      </c>
      <c r="D386" t="s">
        <v>74</v>
      </c>
      <c r="E386" t="s">
        <v>74</v>
      </c>
      <c r="F386" t="s">
        <v>7650</v>
      </c>
      <c r="G386" t="s">
        <v>74</v>
      </c>
      <c r="H386" t="s">
        <v>74</v>
      </c>
      <c r="I386" t="s">
        <v>7651</v>
      </c>
      <c r="J386" t="s">
        <v>6413</v>
      </c>
      <c r="K386" t="s">
        <v>74</v>
      </c>
      <c r="L386" t="s">
        <v>74</v>
      </c>
      <c r="M386" t="s">
        <v>78</v>
      </c>
      <c r="N386" t="s">
        <v>79</v>
      </c>
      <c r="O386" t="s">
        <v>74</v>
      </c>
      <c r="P386" t="s">
        <v>74</v>
      </c>
      <c r="Q386" t="s">
        <v>74</v>
      </c>
      <c r="R386" t="s">
        <v>74</v>
      </c>
      <c r="S386" t="s">
        <v>74</v>
      </c>
      <c r="T386" t="s">
        <v>7652</v>
      </c>
      <c r="U386" t="s">
        <v>7653</v>
      </c>
      <c r="V386" t="s">
        <v>7654</v>
      </c>
      <c r="W386" t="s">
        <v>7655</v>
      </c>
      <c r="X386" t="s">
        <v>6138</v>
      </c>
      <c r="Y386" t="s">
        <v>7656</v>
      </c>
      <c r="Z386" t="s">
        <v>7657</v>
      </c>
      <c r="AA386" t="s">
        <v>74</v>
      </c>
      <c r="AB386" t="s">
        <v>7658</v>
      </c>
      <c r="AC386" t="s">
        <v>7659</v>
      </c>
      <c r="AD386" t="s">
        <v>7660</v>
      </c>
      <c r="AE386" t="s">
        <v>7661</v>
      </c>
      <c r="AF386" t="s">
        <v>74</v>
      </c>
      <c r="AG386">
        <v>42</v>
      </c>
      <c r="AH386">
        <v>2</v>
      </c>
      <c r="AI386">
        <v>2</v>
      </c>
      <c r="AJ386">
        <v>1</v>
      </c>
      <c r="AK386">
        <v>15</v>
      </c>
      <c r="AL386" t="s">
        <v>6426</v>
      </c>
      <c r="AM386" t="s">
        <v>236</v>
      </c>
      <c r="AN386" t="s">
        <v>6427</v>
      </c>
      <c r="AO386" t="s">
        <v>6428</v>
      </c>
      <c r="AP386" t="s">
        <v>6429</v>
      </c>
      <c r="AQ386" t="s">
        <v>74</v>
      </c>
      <c r="AR386" t="s">
        <v>6430</v>
      </c>
      <c r="AS386" t="s">
        <v>6431</v>
      </c>
      <c r="AT386" t="s">
        <v>74</v>
      </c>
      <c r="AU386">
        <v>2021</v>
      </c>
      <c r="AV386">
        <v>71</v>
      </c>
      <c r="AW386">
        <v>3</v>
      </c>
      <c r="AX386" t="s">
        <v>74</v>
      </c>
      <c r="AY386" t="s">
        <v>74</v>
      </c>
      <c r="AZ386" t="s">
        <v>74</v>
      </c>
      <c r="BA386" t="s">
        <v>74</v>
      </c>
      <c r="BB386" t="s">
        <v>74</v>
      </c>
      <c r="BC386" t="s">
        <v>74</v>
      </c>
      <c r="BD386">
        <v>4753</v>
      </c>
      <c r="BE386" t="s">
        <v>7662</v>
      </c>
      <c r="BF386" t="str">
        <f>HYPERLINK("http://dx.doi.org/10.1099/ijsem.0.004753","http://dx.doi.org/10.1099/ijsem.0.004753")</f>
        <v>http://dx.doi.org/10.1099/ijsem.0.004753</v>
      </c>
      <c r="BG386" t="s">
        <v>74</v>
      </c>
      <c r="BH386" t="s">
        <v>74</v>
      </c>
      <c r="BI386">
        <v>7</v>
      </c>
      <c r="BJ386" t="s">
        <v>3581</v>
      </c>
      <c r="BK386" t="s">
        <v>103</v>
      </c>
      <c r="BL386" t="s">
        <v>3581</v>
      </c>
      <c r="BM386" t="s">
        <v>7663</v>
      </c>
      <c r="BN386">
        <v>33724914</v>
      </c>
      <c r="BO386" t="s">
        <v>3283</v>
      </c>
      <c r="BP386" t="s">
        <v>74</v>
      </c>
      <c r="BQ386" t="s">
        <v>74</v>
      </c>
      <c r="BR386" t="s">
        <v>106</v>
      </c>
      <c r="BS386" t="s">
        <v>7664</v>
      </c>
      <c r="BT386" t="str">
        <f>HYPERLINK("https%3A%2F%2Fwww.webofscience.com%2Fwos%2Fwoscc%2Ffull-record%2FWOS:000639142700051","View Full Record in Web of Science")</f>
        <v>View Full Record in Web of Science</v>
      </c>
    </row>
    <row r="387" spans="1:72" x14ac:dyDescent="0.15">
      <c r="A387" t="s">
        <v>72</v>
      </c>
      <c r="B387" t="s">
        <v>7665</v>
      </c>
      <c r="C387" t="s">
        <v>74</v>
      </c>
      <c r="D387" t="s">
        <v>74</v>
      </c>
      <c r="E387" t="s">
        <v>74</v>
      </c>
      <c r="F387" t="s">
        <v>7666</v>
      </c>
      <c r="G387" t="s">
        <v>74</v>
      </c>
      <c r="H387" t="s">
        <v>74</v>
      </c>
      <c r="I387" t="s">
        <v>7667</v>
      </c>
      <c r="J387" t="s">
        <v>6413</v>
      </c>
      <c r="K387" t="s">
        <v>74</v>
      </c>
      <c r="L387" t="s">
        <v>74</v>
      </c>
      <c r="M387" t="s">
        <v>78</v>
      </c>
      <c r="N387" t="s">
        <v>79</v>
      </c>
      <c r="O387" t="s">
        <v>74</v>
      </c>
      <c r="P387" t="s">
        <v>74</v>
      </c>
      <c r="Q387" t="s">
        <v>74</v>
      </c>
      <c r="R387" t="s">
        <v>74</v>
      </c>
      <c r="S387" t="s">
        <v>74</v>
      </c>
      <c r="T387" t="s">
        <v>7668</v>
      </c>
      <c r="U387" t="s">
        <v>7669</v>
      </c>
      <c r="V387" t="s">
        <v>7670</v>
      </c>
      <c r="W387" t="s">
        <v>7671</v>
      </c>
      <c r="X387" t="s">
        <v>7672</v>
      </c>
      <c r="Y387" t="s">
        <v>7673</v>
      </c>
      <c r="Z387" t="s">
        <v>7674</v>
      </c>
      <c r="AA387" t="s">
        <v>7675</v>
      </c>
      <c r="AB387" t="s">
        <v>7676</v>
      </c>
      <c r="AC387" t="s">
        <v>7677</v>
      </c>
      <c r="AD387" t="s">
        <v>7678</v>
      </c>
      <c r="AE387" t="s">
        <v>7679</v>
      </c>
      <c r="AF387" t="s">
        <v>74</v>
      </c>
      <c r="AG387">
        <v>89</v>
      </c>
      <c r="AH387">
        <v>1</v>
      </c>
      <c r="AI387">
        <v>1</v>
      </c>
      <c r="AJ387">
        <v>2</v>
      </c>
      <c r="AK387">
        <v>4</v>
      </c>
      <c r="AL387" t="s">
        <v>6426</v>
      </c>
      <c r="AM387" t="s">
        <v>236</v>
      </c>
      <c r="AN387" t="s">
        <v>6427</v>
      </c>
      <c r="AO387" t="s">
        <v>6428</v>
      </c>
      <c r="AP387" t="s">
        <v>6429</v>
      </c>
      <c r="AQ387" t="s">
        <v>74</v>
      </c>
      <c r="AR387" t="s">
        <v>6430</v>
      </c>
      <c r="AS387" t="s">
        <v>6431</v>
      </c>
      <c r="AT387" t="s">
        <v>74</v>
      </c>
      <c r="AU387">
        <v>2021</v>
      </c>
      <c r="AV387">
        <v>71</v>
      </c>
      <c r="AW387">
        <v>3</v>
      </c>
      <c r="AX387" t="s">
        <v>74</v>
      </c>
      <c r="AY387" t="s">
        <v>74</v>
      </c>
      <c r="AZ387" t="s">
        <v>74</v>
      </c>
      <c r="BA387" t="s">
        <v>74</v>
      </c>
      <c r="BB387" t="s">
        <v>74</v>
      </c>
      <c r="BC387" t="s">
        <v>74</v>
      </c>
      <c r="BD387">
        <v>4754</v>
      </c>
      <c r="BE387" t="s">
        <v>7680</v>
      </c>
      <c r="BF387" t="str">
        <f>HYPERLINK("http://dx.doi.org/10.1099/ijsem.0.004754","http://dx.doi.org/10.1099/ijsem.0.004754")</f>
        <v>http://dx.doi.org/10.1099/ijsem.0.004754</v>
      </c>
      <c r="BG387" t="s">
        <v>74</v>
      </c>
      <c r="BH387" t="s">
        <v>74</v>
      </c>
      <c r="BI387">
        <v>12</v>
      </c>
      <c r="BJ387" t="s">
        <v>3581</v>
      </c>
      <c r="BK387" t="s">
        <v>103</v>
      </c>
      <c r="BL387" t="s">
        <v>3581</v>
      </c>
      <c r="BM387" t="s">
        <v>7663</v>
      </c>
      <c r="BN387">
        <v>33729126</v>
      </c>
      <c r="BO387" t="s">
        <v>561</v>
      </c>
      <c r="BP387" t="s">
        <v>74</v>
      </c>
      <c r="BQ387" t="s">
        <v>74</v>
      </c>
      <c r="BR387" t="s">
        <v>106</v>
      </c>
      <c r="BS387" t="s">
        <v>7681</v>
      </c>
      <c r="BT387" t="str">
        <f>HYPERLINK("https%3A%2F%2Fwww.webofscience.com%2Fwos%2Fwoscc%2Ffull-record%2FWOS:000639142700049","View Full Record in Web of Science")</f>
        <v>View Full Record in Web of Science</v>
      </c>
    </row>
    <row r="388" spans="1:72" x14ac:dyDescent="0.15">
      <c r="A388" t="s">
        <v>72</v>
      </c>
      <c r="B388" t="s">
        <v>7682</v>
      </c>
      <c r="C388" t="s">
        <v>74</v>
      </c>
      <c r="D388" t="s">
        <v>74</v>
      </c>
      <c r="E388" t="s">
        <v>74</v>
      </c>
      <c r="F388" t="s">
        <v>7683</v>
      </c>
      <c r="G388" t="s">
        <v>74</v>
      </c>
      <c r="H388" t="s">
        <v>74</v>
      </c>
      <c r="I388" t="s">
        <v>7684</v>
      </c>
      <c r="J388" t="s">
        <v>7685</v>
      </c>
      <c r="K388" t="s">
        <v>74</v>
      </c>
      <c r="L388" t="s">
        <v>74</v>
      </c>
      <c r="M388" t="s">
        <v>78</v>
      </c>
      <c r="N388" t="s">
        <v>79</v>
      </c>
      <c r="O388" t="s">
        <v>74</v>
      </c>
      <c r="P388" t="s">
        <v>74</v>
      </c>
      <c r="Q388" t="s">
        <v>74</v>
      </c>
      <c r="R388" t="s">
        <v>74</v>
      </c>
      <c r="S388" t="s">
        <v>74</v>
      </c>
      <c r="T388" t="s">
        <v>7686</v>
      </c>
      <c r="U388" t="s">
        <v>7687</v>
      </c>
      <c r="V388" t="s">
        <v>7688</v>
      </c>
      <c r="W388" t="s">
        <v>7689</v>
      </c>
      <c r="X388" t="s">
        <v>7690</v>
      </c>
      <c r="Y388" t="s">
        <v>7691</v>
      </c>
      <c r="Z388" t="s">
        <v>7692</v>
      </c>
      <c r="AA388" t="s">
        <v>74</v>
      </c>
      <c r="AB388" t="s">
        <v>7693</v>
      </c>
      <c r="AC388" t="s">
        <v>74</v>
      </c>
      <c r="AD388" t="s">
        <v>74</v>
      </c>
      <c r="AE388" t="s">
        <v>74</v>
      </c>
      <c r="AF388" t="s">
        <v>74</v>
      </c>
      <c r="AG388">
        <v>47</v>
      </c>
      <c r="AH388">
        <v>0</v>
      </c>
      <c r="AI388">
        <v>0</v>
      </c>
      <c r="AJ388">
        <v>0</v>
      </c>
      <c r="AK388">
        <v>3</v>
      </c>
      <c r="AL388" t="s">
        <v>7694</v>
      </c>
      <c r="AM388" t="s">
        <v>679</v>
      </c>
      <c r="AN388" t="s">
        <v>7695</v>
      </c>
      <c r="AO388" t="s">
        <v>7696</v>
      </c>
      <c r="AP388" t="s">
        <v>7697</v>
      </c>
      <c r="AQ388" t="s">
        <v>74</v>
      </c>
      <c r="AR388" t="s">
        <v>7698</v>
      </c>
      <c r="AS388" t="s">
        <v>7699</v>
      </c>
      <c r="AT388" t="s">
        <v>74</v>
      </c>
      <c r="AU388">
        <v>2021</v>
      </c>
      <c r="AV388">
        <v>54</v>
      </c>
      <c r="AW388">
        <v>1</v>
      </c>
      <c r="AX388" t="s">
        <v>74</v>
      </c>
      <c r="AY388" t="s">
        <v>74</v>
      </c>
      <c r="AZ388" t="s">
        <v>74</v>
      </c>
      <c r="BA388" t="s">
        <v>74</v>
      </c>
      <c r="BB388">
        <v>117</v>
      </c>
      <c r="BC388">
        <v>126</v>
      </c>
      <c r="BD388" t="s">
        <v>74</v>
      </c>
      <c r="BE388" t="s">
        <v>7700</v>
      </c>
      <c r="BF388" t="str">
        <f>HYPERLINK("http://dx.doi.org/10.9719/EEG.2021.54.1.117","http://dx.doi.org/10.9719/EEG.2021.54.1.117")</f>
        <v>http://dx.doi.org/10.9719/EEG.2021.54.1.117</v>
      </c>
      <c r="BG388" t="s">
        <v>74</v>
      </c>
      <c r="BH388" t="s">
        <v>74</v>
      </c>
      <c r="BI388">
        <v>10</v>
      </c>
      <c r="BJ388" t="s">
        <v>402</v>
      </c>
      <c r="BK388" t="s">
        <v>3050</v>
      </c>
      <c r="BL388" t="s">
        <v>402</v>
      </c>
      <c r="BM388" t="s">
        <v>7701</v>
      </c>
      <c r="BN388" t="s">
        <v>74</v>
      </c>
      <c r="BO388" t="s">
        <v>326</v>
      </c>
      <c r="BP388" t="s">
        <v>74</v>
      </c>
      <c r="BQ388" t="s">
        <v>74</v>
      </c>
      <c r="BR388" t="s">
        <v>106</v>
      </c>
      <c r="BS388" t="s">
        <v>7702</v>
      </c>
      <c r="BT388" t="str">
        <f>HYPERLINK("https%3A%2F%2Fwww.webofscience.com%2Fwos%2Fwoscc%2Ffull-record%2FWOS:000643289500010","View Full Record in Web of Science")</f>
        <v>View Full Record in Web of Science</v>
      </c>
    </row>
    <row r="389" spans="1:72" x14ac:dyDescent="0.15">
      <c r="A389" t="s">
        <v>72</v>
      </c>
      <c r="B389" t="s">
        <v>7703</v>
      </c>
      <c r="C389" t="s">
        <v>74</v>
      </c>
      <c r="D389" t="s">
        <v>74</v>
      </c>
      <c r="E389" t="s">
        <v>74</v>
      </c>
      <c r="F389" t="s">
        <v>7704</v>
      </c>
      <c r="G389" t="s">
        <v>74</v>
      </c>
      <c r="H389" t="s">
        <v>74</v>
      </c>
      <c r="I389" t="s">
        <v>7705</v>
      </c>
      <c r="J389" t="s">
        <v>5590</v>
      </c>
      <c r="K389" t="s">
        <v>74</v>
      </c>
      <c r="L389" t="s">
        <v>74</v>
      </c>
      <c r="M389" t="s">
        <v>78</v>
      </c>
      <c r="N389" t="s">
        <v>79</v>
      </c>
      <c r="O389" t="s">
        <v>74</v>
      </c>
      <c r="P389" t="s">
        <v>74</v>
      </c>
      <c r="Q389" t="s">
        <v>74</v>
      </c>
      <c r="R389" t="s">
        <v>74</v>
      </c>
      <c r="S389" t="s">
        <v>74</v>
      </c>
      <c r="T389" t="s">
        <v>7706</v>
      </c>
      <c r="U389" t="s">
        <v>74</v>
      </c>
      <c r="V389" t="s">
        <v>7707</v>
      </c>
      <c r="W389" t="s">
        <v>7708</v>
      </c>
      <c r="X389" t="s">
        <v>7709</v>
      </c>
      <c r="Y389" t="s">
        <v>7710</v>
      </c>
      <c r="Z389" t="s">
        <v>7711</v>
      </c>
      <c r="AA389" t="s">
        <v>7712</v>
      </c>
      <c r="AB389" t="s">
        <v>74</v>
      </c>
      <c r="AC389" t="s">
        <v>7713</v>
      </c>
      <c r="AD389" t="s">
        <v>7714</v>
      </c>
      <c r="AE389" t="s">
        <v>7715</v>
      </c>
      <c r="AF389" t="s">
        <v>74</v>
      </c>
      <c r="AG389">
        <v>30</v>
      </c>
      <c r="AH389">
        <v>4</v>
      </c>
      <c r="AI389">
        <v>4</v>
      </c>
      <c r="AJ389">
        <v>3</v>
      </c>
      <c r="AK389">
        <v>30</v>
      </c>
      <c r="AL389" t="s">
        <v>5603</v>
      </c>
      <c r="AM389" t="s">
        <v>5604</v>
      </c>
      <c r="AN389" t="s">
        <v>5605</v>
      </c>
      <c r="AO389" t="s">
        <v>5606</v>
      </c>
      <c r="AP389" t="s">
        <v>5607</v>
      </c>
      <c r="AQ389" t="s">
        <v>74</v>
      </c>
      <c r="AR389" t="s">
        <v>5608</v>
      </c>
      <c r="AS389" t="s">
        <v>5609</v>
      </c>
      <c r="AT389" t="s">
        <v>74</v>
      </c>
      <c r="AU389">
        <v>2021</v>
      </c>
      <c r="AV389">
        <v>14</v>
      </c>
      <c r="AW389" t="s">
        <v>74</v>
      </c>
      <c r="AX389" t="s">
        <v>74</v>
      </c>
      <c r="AY389" t="s">
        <v>74</v>
      </c>
      <c r="AZ389" t="s">
        <v>74</v>
      </c>
      <c r="BA389" t="s">
        <v>74</v>
      </c>
      <c r="BB389">
        <v>3475</v>
      </c>
      <c r="BC389">
        <v>3484</v>
      </c>
      <c r="BD389" t="s">
        <v>74</v>
      </c>
      <c r="BE389" t="s">
        <v>7716</v>
      </c>
      <c r="BF389" t="str">
        <f>HYPERLINK("http://dx.doi.org/10.1109/JSTARS.2021.3066626","http://dx.doi.org/10.1109/JSTARS.2021.3066626")</f>
        <v>http://dx.doi.org/10.1109/JSTARS.2021.3066626</v>
      </c>
      <c r="BG389" t="s">
        <v>74</v>
      </c>
      <c r="BH389" t="s">
        <v>74</v>
      </c>
      <c r="BI389">
        <v>10</v>
      </c>
      <c r="BJ389" t="s">
        <v>5611</v>
      </c>
      <c r="BK389" t="s">
        <v>103</v>
      </c>
      <c r="BL389" t="s">
        <v>5612</v>
      </c>
      <c r="BM389" t="s">
        <v>7717</v>
      </c>
      <c r="BN389" t="s">
        <v>74</v>
      </c>
      <c r="BO389" t="s">
        <v>326</v>
      </c>
      <c r="BP389" t="s">
        <v>74</v>
      </c>
      <c r="BQ389" t="s">
        <v>74</v>
      </c>
      <c r="BR389" t="s">
        <v>106</v>
      </c>
      <c r="BS389" t="s">
        <v>7718</v>
      </c>
      <c r="BT389" t="str">
        <f>HYPERLINK("https%3A%2F%2Fwww.webofscience.com%2Fwos%2Fwoscc%2Ffull-record%2FWOS:000638400600003","View Full Record in Web of Science")</f>
        <v>View Full Record in Web of Science</v>
      </c>
    </row>
    <row r="390" spans="1:72" x14ac:dyDescent="0.15">
      <c r="A390" t="s">
        <v>72</v>
      </c>
      <c r="B390" t="s">
        <v>7719</v>
      </c>
      <c r="C390" t="s">
        <v>74</v>
      </c>
      <c r="D390" t="s">
        <v>74</v>
      </c>
      <c r="E390" t="s">
        <v>74</v>
      </c>
      <c r="F390" t="s">
        <v>7720</v>
      </c>
      <c r="G390" t="s">
        <v>74</v>
      </c>
      <c r="H390" t="s">
        <v>74</v>
      </c>
      <c r="I390" t="s">
        <v>7721</v>
      </c>
      <c r="J390" t="s">
        <v>7722</v>
      </c>
      <c r="K390" t="s">
        <v>74</v>
      </c>
      <c r="L390" t="s">
        <v>74</v>
      </c>
      <c r="M390" t="s">
        <v>78</v>
      </c>
      <c r="N390" t="s">
        <v>79</v>
      </c>
      <c r="O390" t="s">
        <v>74</v>
      </c>
      <c r="P390" t="s">
        <v>74</v>
      </c>
      <c r="Q390" t="s">
        <v>74</v>
      </c>
      <c r="R390" t="s">
        <v>74</v>
      </c>
      <c r="S390" t="s">
        <v>74</v>
      </c>
      <c r="T390" t="s">
        <v>7723</v>
      </c>
      <c r="U390" t="s">
        <v>7724</v>
      </c>
      <c r="V390" t="s">
        <v>7725</v>
      </c>
      <c r="W390" t="s">
        <v>7726</v>
      </c>
      <c r="X390" t="s">
        <v>7727</v>
      </c>
      <c r="Y390" t="s">
        <v>7728</v>
      </c>
      <c r="Z390" t="s">
        <v>7729</v>
      </c>
      <c r="AA390" t="s">
        <v>7730</v>
      </c>
      <c r="AB390" t="s">
        <v>7731</v>
      </c>
      <c r="AC390" t="s">
        <v>7732</v>
      </c>
      <c r="AD390" t="s">
        <v>7733</v>
      </c>
      <c r="AE390" t="s">
        <v>7734</v>
      </c>
      <c r="AF390" t="s">
        <v>74</v>
      </c>
      <c r="AG390">
        <v>166</v>
      </c>
      <c r="AH390">
        <v>2</v>
      </c>
      <c r="AI390">
        <v>2</v>
      </c>
      <c r="AJ390">
        <v>1</v>
      </c>
      <c r="AK390">
        <v>12</v>
      </c>
      <c r="AL390" t="s">
        <v>7735</v>
      </c>
      <c r="AM390" t="s">
        <v>7736</v>
      </c>
      <c r="AN390" t="s">
        <v>7737</v>
      </c>
      <c r="AO390" t="s">
        <v>7738</v>
      </c>
      <c r="AP390" t="s">
        <v>7739</v>
      </c>
      <c r="AQ390" t="s">
        <v>74</v>
      </c>
      <c r="AR390" t="s">
        <v>7740</v>
      </c>
      <c r="AS390" t="s">
        <v>7741</v>
      </c>
      <c r="AT390" t="s">
        <v>74</v>
      </c>
      <c r="AU390">
        <v>2021</v>
      </c>
      <c r="AV390">
        <v>62</v>
      </c>
      <c r="AW390">
        <v>4</v>
      </c>
      <c r="AX390" t="s">
        <v>74</v>
      </c>
      <c r="AY390" t="s">
        <v>74</v>
      </c>
      <c r="AZ390" t="s">
        <v>74</v>
      </c>
      <c r="BA390" t="s">
        <v>74</v>
      </c>
      <c r="BB390">
        <v>313</v>
      </c>
      <c r="BC390">
        <v>350</v>
      </c>
      <c r="BD390" t="s">
        <v>74</v>
      </c>
      <c r="BE390" t="s">
        <v>7742</v>
      </c>
      <c r="BF390" t="str">
        <f>HYPERLINK("http://dx.doi.org/10.1127/zfg/2021/0705","http://dx.doi.org/10.1127/zfg/2021/0705")</f>
        <v>http://dx.doi.org/10.1127/zfg/2021/0705</v>
      </c>
      <c r="BG390" t="s">
        <v>74</v>
      </c>
      <c r="BH390" t="s">
        <v>74</v>
      </c>
      <c r="BI390">
        <v>38</v>
      </c>
      <c r="BJ390" t="s">
        <v>156</v>
      </c>
      <c r="BK390" t="s">
        <v>103</v>
      </c>
      <c r="BL390" t="s">
        <v>157</v>
      </c>
      <c r="BM390" t="s">
        <v>7743</v>
      </c>
      <c r="BN390" t="s">
        <v>74</v>
      </c>
      <c r="BO390" t="s">
        <v>74</v>
      </c>
      <c r="BP390" t="s">
        <v>74</v>
      </c>
      <c r="BQ390" t="s">
        <v>74</v>
      </c>
      <c r="BR390" t="s">
        <v>106</v>
      </c>
      <c r="BS390" t="s">
        <v>7744</v>
      </c>
      <c r="BT390" t="str">
        <f>HYPERLINK("https%3A%2F%2Fwww.webofscience.com%2Fwos%2Fwoscc%2Ffull-record%2FWOS:000635544300004","View Full Record in Web of Science")</f>
        <v>View Full Record in Web of Science</v>
      </c>
    </row>
    <row r="391" spans="1:72" x14ac:dyDescent="0.15">
      <c r="A391" t="s">
        <v>72</v>
      </c>
      <c r="B391" t="s">
        <v>7745</v>
      </c>
      <c r="C391" t="s">
        <v>74</v>
      </c>
      <c r="D391" t="s">
        <v>74</v>
      </c>
      <c r="E391" t="s">
        <v>74</v>
      </c>
      <c r="F391" t="s">
        <v>7746</v>
      </c>
      <c r="G391" t="s">
        <v>74</v>
      </c>
      <c r="H391" t="s">
        <v>74</v>
      </c>
      <c r="I391" t="s">
        <v>7747</v>
      </c>
      <c r="J391" t="s">
        <v>6931</v>
      </c>
      <c r="K391" t="s">
        <v>74</v>
      </c>
      <c r="L391" t="s">
        <v>74</v>
      </c>
      <c r="M391" t="s">
        <v>78</v>
      </c>
      <c r="N391" t="s">
        <v>79</v>
      </c>
      <c r="O391" t="s">
        <v>74</v>
      </c>
      <c r="P391" t="s">
        <v>74</v>
      </c>
      <c r="Q391" t="s">
        <v>74</v>
      </c>
      <c r="R391" t="s">
        <v>74</v>
      </c>
      <c r="S391" t="s">
        <v>74</v>
      </c>
      <c r="T391" t="s">
        <v>7748</v>
      </c>
      <c r="U391" t="s">
        <v>7749</v>
      </c>
      <c r="V391" t="s">
        <v>7750</v>
      </c>
      <c r="W391" t="s">
        <v>7751</v>
      </c>
      <c r="X391" t="s">
        <v>7752</v>
      </c>
      <c r="Y391" t="s">
        <v>7753</v>
      </c>
      <c r="Z391" t="s">
        <v>7754</v>
      </c>
      <c r="AA391" t="s">
        <v>74</v>
      </c>
      <c r="AB391" t="s">
        <v>7755</v>
      </c>
      <c r="AC391" t="s">
        <v>7756</v>
      </c>
      <c r="AD391" t="s">
        <v>7757</v>
      </c>
      <c r="AE391" t="s">
        <v>7758</v>
      </c>
      <c r="AF391" t="s">
        <v>74</v>
      </c>
      <c r="AG391">
        <v>69</v>
      </c>
      <c r="AH391">
        <v>4</v>
      </c>
      <c r="AI391">
        <v>4</v>
      </c>
      <c r="AJ391">
        <v>1</v>
      </c>
      <c r="AK391">
        <v>5</v>
      </c>
      <c r="AL391" t="s">
        <v>6942</v>
      </c>
      <c r="AM391" t="s">
        <v>6943</v>
      </c>
      <c r="AN391" t="s">
        <v>6944</v>
      </c>
      <c r="AO391" t="s">
        <v>6945</v>
      </c>
      <c r="AP391" t="s">
        <v>6946</v>
      </c>
      <c r="AQ391" t="s">
        <v>74</v>
      </c>
      <c r="AR391" t="s">
        <v>6947</v>
      </c>
      <c r="AS391" t="s">
        <v>6948</v>
      </c>
      <c r="AT391" t="s">
        <v>74</v>
      </c>
      <c r="AU391">
        <v>2021</v>
      </c>
      <c r="AV391">
        <v>66</v>
      </c>
      <c r="AW391">
        <v>1</v>
      </c>
      <c r="AX391" t="s">
        <v>74</v>
      </c>
      <c r="AY391" t="s">
        <v>74</v>
      </c>
      <c r="AZ391" t="s">
        <v>74</v>
      </c>
      <c r="BA391" t="s">
        <v>74</v>
      </c>
      <c r="BB391">
        <v>207</v>
      </c>
      <c r="BC391">
        <v>229</v>
      </c>
      <c r="BD391" t="s">
        <v>74</v>
      </c>
      <c r="BE391" t="s">
        <v>7759</v>
      </c>
      <c r="BF391" t="str">
        <f>HYPERLINK("http://dx.doi.org/10.4202/app.00758.2020","http://dx.doi.org/10.4202/app.00758.2020")</f>
        <v>http://dx.doi.org/10.4202/app.00758.2020</v>
      </c>
      <c r="BG391" t="s">
        <v>74</v>
      </c>
      <c r="BH391" t="s">
        <v>74</v>
      </c>
      <c r="BI391">
        <v>23</v>
      </c>
      <c r="BJ391" t="s">
        <v>6950</v>
      </c>
      <c r="BK391" t="s">
        <v>103</v>
      </c>
      <c r="BL391" t="s">
        <v>6950</v>
      </c>
      <c r="BM391" t="s">
        <v>7760</v>
      </c>
      <c r="BN391" t="s">
        <v>74</v>
      </c>
      <c r="BO391" t="s">
        <v>1105</v>
      </c>
      <c r="BP391" t="s">
        <v>74</v>
      </c>
      <c r="BQ391" t="s">
        <v>74</v>
      </c>
      <c r="BR391" t="s">
        <v>106</v>
      </c>
      <c r="BS391" t="s">
        <v>7761</v>
      </c>
      <c r="BT391" t="str">
        <f>HYPERLINK("https%3A%2F%2Fwww.webofscience.com%2Fwos%2Fwoscc%2Ffull-record%2FWOS:000631536100012","View Full Record in Web of Science")</f>
        <v>View Full Record in Web of Science</v>
      </c>
    </row>
    <row r="392" spans="1:72" x14ac:dyDescent="0.15">
      <c r="A392" t="s">
        <v>72</v>
      </c>
      <c r="B392" t="s">
        <v>7762</v>
      </c>
      <c r="C392" t="s">
        <v>74</v>
      </c>
      <c r="D392" t="s">
        <v>74</v>
      </c>
      <c r="E392" t="s">
        <v>74</v>
      </c>
      <c r="F392" t="s">
        <v>7763</v>
      </c>
      <c r="G392" t="s">
        <v>74</v>
      </c>
      <c r="H392" t="s">
        <v>74</v>
      </c>
      <c r="I392" t="s">
        <v>7764</v>
      </c>
      <c r="J392" t="s">
        <v>7765</v>
      </c>
      <c r="K392" t="s">
        <v>74</v>
      </c>
      <c r="L392" t="s">
        <v>74</v>
      </c>
      <c r="M392" t="s">
        <v>78</v>
      </c>
      <c r="N392" t="s">
        <v>79</v>
      </c>
      <c r="O392" t="s">
        <v>74</v>
      </c>
      <c r="P392" t="s">
        <v>74</v>
      </c>
      <c r="Q392" t="s">
        <v>74</v>
      </c>
      <c r="R392" t="s">
        <v>74</v>
      </c>
      <c r="S392" t="s">
        <v>74</v>
      </c>
      <c r="T392" t="s">
        <v>7766</v>
      </c>
      <c r="U392" t="s">
        <v>7767</v>
      </c>
      <c r="V392" t="s">
        <v>7768</v>
      </c>
      <c r="W392" t="s">
        <v>7769</v>
      </c>
      <c r="X392" t="s">
        <v>7770</v>
      </c>
      <c r="Y392" t="s">
        <v>7771</v>
      </c>
      <c r="Z392" t="s">
        <v>7772</v>
      </c>
      <c r="AA392" t="s">
        <v>7773</v>
      </c>
      <c r="AB392" t="s">
        <v>7774</v>
      </c>
      <c r="AC392" t="s">
        <v>7775</v>
      </c>
      <c r="AD392" t="s">
        <v>7776</v>
      </c>
      <c r="AE392" t="s">
        <v>7777</v>
      </c>
      <c r="AF392" t="s">
        <v>74</v>
      </c>
      <c r="AG392">
        <v>77</v>
      </c>
      <c r="AH392">
        <v>2</v>
      </c>
      <c r="AI392">
        <v>2</v>
      </c>
      <c r="AJ392">
        <v>1</v>
      </c>
      <c r="AK392">
        <v>21</v>
      </c>
      <c r="AL392" t="s">
        <v>7461</v>
      </c>
      <c r="AM392" t="s">
        <v>7462</v>
      </c>
      <c r="AN392" t="s">
        <v>7463</v>
      </c>
      <c r="AO392" t="s">
        <v>7778</v>
      </c>
      <c r="AP392" t="s">
        <v>7779</v>
      </c>
      <c r="AQ392" t="s">
        <v>74</v>
      </c>
      <c r="AR392" t="s">
        <v>7780</v>
      </c>
      <c r="AS392" t="s">
        <v>7781</v>
      </c>
      <c r="AT392" t="s">
        <v>3279</v>
      </c>
      <c r="AU392">
        <v>2021</v>
      </c>
      <c r="AV392">
        <v>32</v>
      </c>
      <c r="AW392">
        <v>1</v>
      </c>
      <c r="AX392" t="s">
        <v>74</v>
      </c>
      <c r="AY392" t="s">
        <v>74</v>
      </c>
      <c r="AZ392" t="s">
        <v>74</v>
      </c>
      <c r="BA392" t="s">
        <v>74</v>
      </c>
      <c r="BB392">
        <v>94</v>
      </c>
      <c r="BC392">
        <v>104</v>
      </c>
      <c r="BD392" t="s">
        <v>74</v>
      </c>
      <c r="BE392" t="s">
        <v>7782</v>
      </c>
      <c r="BF392" t="str">
        <f>HYPERLINK("http://dx.doi.org/10.1093/beheco/araa105","http://dx.doi.org/10.1093/beheco/araa105")</f>
        <v>http://dx.doi.org/10.1093/beheco/araa105</v>
      </c>
      <c r="BG392" t="s">
        <v>74</v>
      </c>
      <c r="BH392" t="s">
        <v>74</v>
      </c>
      <c r="BI392">
        <v>11</v>
      </c>
      <c r="BJ392" t="s">
        <v>7783</v>
      </c>
      <c r="BK392" t="s">
        <v>103</v>
      </c>
      <c r="BL392" t="s">
        <v>7784</v>
      </c>
      <c r="BM392" t="s">
        <v>7785</v>
      </c>
      <c r="BN392" t="s">
        <v>74</v>
      </c>
      <c r="BO392" t="s">
        <v>189</v>
      </c>
      <c r="BP392" t="s">
        <v>74</v>
      </c>
      <c r="BQ392" t="s">
        <v>74</v>
      </c>
      <c r="BR392" t="s">
        <v>106</v>
      </c>
      <c r="BS392" t="s">
        <v>7786</v>
      </c>
      <c r="BT392" t="str">
        <f>HYPERLINK("https%3A%2F%2Fwww.webofscience.com%2Fwos%2Fwoscc%2Ffull-record%2FWOS:000637013400015","View Full Record in Web of Science")</f>
        <v>View Full Record in Web of Science</v>
      </c>
    </row>
    <row r="393" spans="1:72" x14ac:dyDescent="0.15">
      <c r="A393" t="s">
        <v>72</v>
      </c>
      <c r="B393" t="s">
        <v>7787</v>
      </c>
      <c r="C393" t="s">
        <v>74</v>
      </c>
      <c r="D393" t="s">
        <v>74</v>
      </c>
      <c r="E393" t="s">
        <v>74</v>
      </c>
      <c r="F393" t="s">
        <v>7788</v>
      </c>
      <c r="G393" t="s">
        <v>74</v>
      </c>
      <c r="H393" t="s">
        <v>74</v>
      </c>
      <c r="I393" t="s">
        <v>7789</v>
      </c>
      <c r="J393" t="s">
        <v>7790</v>
      </c>
      <c r="K393" t="s">
        <v>74</v>
      </c>
      <c r="L393" t="s">
        <v>74</v>
      </c>
      <c r="M393" t="s">
        <v>78</v>
      </c>
      <c r="N393" t="s">
        <v>79</v>
      </c>
      <c r="O393" t="s">
        <v>74</v>
      </c>
      <c r="P393" t="s">
        <v>74</v>
      </c>
      <c r="Q393" t="s">
        <v>74</v>
      </c>
      <c r="R393" t="s">
        <v>74</v>
      </c>
      <c r="S393" t="s">
        <v>74</v>
      </c>
      <c r="T393" t="s">
        <v>7791</v>
      </c>
      <c r="U393" t="s">
        <v>7792</v>
      </c>
      <c r="V393" t="s">
        <v>7793</v>
      </c>
      <c r="W393" t="s">
        <v>7794</v>
      </c>
      <c r="X393" t="s">
        <v>7795</v>
      </c>
      <c r="Y393" t="s">
        <v>7796</v>
      </c>
      <c r="Z393" t="s">
        <v>7797</v>
      </c>
      <c r="AA393" t="s">
        <v>7798</v>
      </c>
      <c r="AB393" t="s">
        <v>7799</v>
      </c>
      <c r="AC393" t="s">
        <v>74</v>
      </c>
      <c r="AD393" t="s">
        <v>74</v>
      </c>
      <c r="AE393" t="s">
        <v>74</v>
      </c>
      <c r="AF393" t="s">
        <v>74</v>
      </c>
      <c r="AG393">
        <v>82</v>
      </c>
      <c r="AH393">
        <v>9</v>
      </c>
      <c r="AI393">
        <v>9</v>
      </c>
      <c r="AJ393">
        <v>5</v>
      </c>
      <c r="AK393">
        <v>15</v>
      </c>
      <c r="AL393" t="s">
        <v>5603</v>
      </c>
      <c r="AM393" t="s">
        <v>5604</v>
      </c>
      <c r="AN393" t="s">
        <v>5605</v>
      </c>
      <c r="AO393" t="s">
        <v>7800</v>
      </c>
      <c r="AP393" t="s">
        <v>74</v>
      </c>
      <c r="AQ393" t="s">
        <v>74</v>
      </c>
      <c r="AR393" t="s">
        <v>7790</v>
      </c>
      <c r="AS393" t="s">
        <v>7801</v>
      </c>
      <c r="AT393" t="s">
        <v>74</v>
      </c>
      <c r="AU393">
        <v>2021</v>
      </c>
      <c r="AV393">
        <v>9</v>
      </c>
      <c r="AW393" t="s">
        <v>74</v>
      </c>
      <c r="AX393" t="s">
        <v>74</v>
      </c>
      <c r="AY393" t="s">
        <v>74</v>
      </c>
      <c r="AZ393" t="s">
        <v>74</v>
      </c>
      <c r="BA393" t="s">
        <v>74</v>
      </c>
      <c r="BB393">
        <v>53964</v>
      </c>
      <c r="BC393">
        <v>53978</v>
      </c>
      <c r="BD393" t="s">
        <v>74</v>
      </c>
      <c r="BE393" t="s">
        <v>7802</v>
      </c>
      <c r="BF393" t="str">
        <f>HYPERLINK("http://dx.doi.org/10.1109/ACCESS.2021.3069315","http://dx.doi.org/10.1109/ACCESS.2021.3069315")</f>
        <v>http://dx.doi.org/10.1109/ACCESS.2021.3069315</v>
      </c>
      <c r="BG393" t="s">
        <v>74</v>
      </c>
      <c r="BH393" t="s">
        <v>74</v>
      </c>
      <c r="BI393">
        <v>15</v>
      </c>
      <c r="BJ393" t="s">
        <v>7803</v>
      </c>
      <c r="BK393" t="s">
        <v>103</v>
      </c>
      <c r="BL393" t="s">
        <v>7804</v>
      </c>
      <c r="BM393" t="s">
        <v>7805</v>
      </c>
      <c r="BN393" t="s">
        <v>74</v>
      </c>
      <c r="BO393" t="s">
        <v>326</v>
      </c>
      <c r="BP393" t="s">
        <v>74</v>
      </c>
      <c r="BQ393" t="s">
        <v>74</v>
      </c>
      <c r="BR393" t="s">
        <v>106</v>
      </c>
      <c r="BS393" t="s">
        <v>7806</v>
      </c>
      <c r="BT393" t="str">
        <f>HYPERLINK("https%3A%2F%2Fwww.webofscience.com%2Fwos%2Fwoscc%2Ffull-record%2FWOS:000640997500001","View Full Record in Web of Science")</f>
        <v>View Full Record in Web of Science</v>
      </c>
    </row>
    <row r="394" spans="1:72" x14ac:dyDescent="0.15">
      <c r="A394" t="s">
        <v>72</v>
      </c>
      <c r="B394" t="s">
        <v>7807</v>
      </c>
      <c r="C394" t="s">
        <v>74</v>
      </c>
      <c r="D394" t="s">
        <v>74</v>
      </c>
      <c r="E394" t="s">
        <v>74</v>
      </c>
      <c r="F394" t="s">
        <v>7808</v>
      </c>
      <c r="G394" t="s">
        <v>74</v>
      </c>
      <c r="H394" t="s">
        <v>74</v>
      </c>
      <c r="I394" t="s">
        <v>7809</v>
      </c>
      <c r="J394" t="s">
        <v>7790</v>
      </c>
      <c r="K394" t="s">
        <v>74</v>
      </c>
      <c r="L394" t="s">
        <v>74</v>
      </c>
      <c r="M394" t="s">
        <v>78</v>
      </c>
      <c r="N394" t="s">
        <v>79</v>
      </c>
      <c r="O394" t="s">
        <v>74</v>
      </c>
      <c r="P394" t="s">
        <v>74</v>
      </c>
      <c r="Q394" t="s">
        <v>74</v>
      </c>
      <c r="R394" t="s">
        <v>74</v>
      </c>
      <c r="S394" t="s">
        <v>74</v>
      </c>
      <c r="T394" t="s">
        <v>7810</v>
      </c>
      <c r="U394" t="s">
        <v>74</v>
      </c>
      <c r="V394" t="s">
        <v>7811</v>
      </c>
      <c r="W394" t="s">
        <v>7812</v>
      </c>
      <c r="X394" t="s">
        <v>7813</v>
      </c>
      <c r="Y394" t="s">
        <v>7814</v>
      </c>
      <c r="Z394" t="s">
        <v>7815</v>
      </c>
      <c r="AA394" t="s">
        <v>7816</v>
      </c>
      <c r="AB394" t="s">
        <v>7817</v>
      </c>
      <c r="AC394" t="s">
        <v>7818</v>
      </c>
      <c r="AD394" t="s">
        <v>7819</v>
      </c>
      <c r="AE394" t="s">
        <v>7820</v>
      </c>
      <c r="AF394" t="s">
        <v>74</v>
      </c>
      <c r="AG394">
        <v>32</v>
      </c>
      <c r="AH394">
        <v>4</v>
      </c>
      <c r="AI394">
        <v>4</v>
      </c>
      <c r="AJ394">
        <v>4</v>
      </c>
      <c r="AK394">
        <v>13</v>
      </c>
      <c r="AL394" t="s">
        <v>5603</v>
      </c>
      <c r="AM394" t="s">
        <v>5604</v>
      </c>
      <c r="AN394" t="s">
        <v>5605</v>
      </c>
      <c r="AO394" t="s">
        <v>7800</v>
      </c>
      <c r="AP394" t="s">
        <v>74</v>
      </c>
      <c r="AQ394" t="s">
        <v>74</v>
      </c>
      <c r="AR394" t="s">
        <v>7790</v>
      </c>
      <c r="AS394" t="s">
        <v>7801</v>
      </c>
      <c r="AT394" t="s">
        <v>74</v>
      </c>
      <c r="AU394">
        <v>2021</v>
      </c>
      <c r="AV394">
        <v>9</v>
      </c>
      <c r="AW394" t="s">
        <v>74</v>
      </c>
      <c r="AX394" t="s">
        <v>74</v>
      </c>
      <c r="AY394" t="s">
        <v>74</v>
      </c>
      <c r="AZ394" t="s">
        <v>74</v>
      </c>
      <c r="BA394" t="s">
        <v>74</v>
      </c>
      <c r="BB394">
        <v>54184</v>
      </c>
      <c r="BC394">
        <v>54189</v>
      </c>
      <c r="BD394" t="s">
        <v>74</v>
      </c>
      <c r="BE394" t="s">
        <v>7821</v>
      </c>
      <c r="BF394" t="str">
        <f>HYPERLINK("http://dx.doi.org/10.1109/ACCESS.2021.3070916","http://dx.doi.org/10.1109/ACCESS.2021.3070916")</f>
        <v>http://dx.doi.org/10.1109/ACCESS.2021.3070916</v>
      </c>
      <c r="BG394" t="s">
        <v>74</v>
      </c>
      <c r="BH394" t="s">
        <v>74</v>
      </c>
      <c r="BI394">
        <v>6</v>
      </c>
      <c r="BJ394" t="s">
        <v>7803</v>
      </c>
      <c r="BK394" t="s">
        <v>103</v>
      </c>
      <c r="BL394" t="s">
        <v>7804</v>
      </c>
      <c r="BM394" t="s">
        <v>7822</v>
      </c>
      <c r="BN394" t="s">
        <v>74</v>
      </c>
      <c r="BO394" t="s">
        <v>326</v>
      </c>
      <c r="BP394" t="s">
        <v>74</v>
      </c>
      <c r="BQ394" t="s">
        <v>74</v>
      </c>
      <c r="BR394" t="s">
        <v>106</v>
      </c>
      <c r="BS394" t="s">
        <v>7823</v>
      </c>
      <c r="BT394" t="str">
        <f>HYPERLINK("https%3A%2F%2Fwww.webofscience.com%2Fwos%2Fwoscc%2Ffull-record%2FWOS:000640996400001","View Full Record in Web of Science")</f>
        <v>View Full Record in Web of Science</v>
      </c>
    </row>
    <row r="395" spans="1:72" x14ac:dyDescent="0.15">
      <c r="A395" t="s">
        <v>72</v>
      </c>
      <c r="B395" t="s">
        <v>7824</v>
      </c>
      <c r="C395" t="s">
        <v>74</v>
      </c>
      <c r="D395" t="s">
        <v>74</v>
      </c>
      <c r="E395" t="s">
        <v>74</v>
      </c>
      <c r="F395" t="s">
        <v>7825</v>
      </c>
      <c r="G395" t="s">
        <v>74</v>
      </c>
      <c r="H395" t="s">
        <v>74</v>
      </c>
      <c r="I395" t="s">
        <v>7826</v>
      </c>
      <c r="J395" t="s">
        <v>6413</v>
      </c>
      <c r="K395" t="s">
        <v>74</v>
      </c>
      <c r="L395" t="s">
        <v>74</v>
      </c>
      <c r="M395" t="s">
        <v>78</v>
      </c>
      <c r="N395" t="s">
        <v>79</v>
      </c>
      <c r="O395" t="s">
        <v>74</v>
      </c>
      <c r="P395" t="s">
        <v>74</v>
      </c>
      <c r="Q395" t="s">
        <v>74</v>
      </c>
      <c r="R395" t="s">
        <v>74</v>
      </c>
      <c r="S395" t="s">
        <v>74</v>
      </c>
      <c r="T395" t="s">
        <v>7827</v>
      </c>
      <c r="U395" t="s">
        <v>7828</v>
      </c>
      <c r="V395" t="s">
        <v>7829</v>
      </c>
      <c r="W395" t="s">
        <v>7830</v>
      </c>
      <c r="X395" t="s">
        <v>7831</v>
      </c>
      <c r="Y395" t="s">
        <v>7832</v>
      </c>
      <c r="Z395" t="s">
        <v>7833</v>
      </c>
      <c r="AA395" t="s">
        <v>7834</v>
      </c>
      <c r="AB395" t="s">
        <v>7835</v>
      </c>
      <c r="AC395" t="s">
        <v>7836</v>
      </c>
      <c r="AD395" t="s">
        <v>7837</v>
      </c>
      <c r="AE395" t="s">
        <v>7838</v>
      </c>
      <c r="AF395" t="s">
        <v>74</v>
      </c>
      <c r="AG395">
        <v>32</v>
      </c>
      <c r="AH395">
        <v>2</v>
      </c>
      <c r="AI395">
        <v>2</v>
      </c>
      <c r="AJ395">
        <v>0</v>
      </c>
      <c r="AK395">
        <v>16</v>
      </c>
      <c r="AL395" t="s">
        <v>6426</v>
      </c>
      <c r="AM395" t="s">
        <v>236</v>
      </c>
      <c r="AN395" t="s">
        <v>6427</v>
      </c>
      <c r="AO395" t="s">
        <v>6428</v>
      </c>
      <c r="AP395" t="s">
        <v>6429</v>
      </c>
      <c r="AQ395" t="s">
        <v>74</v>
      </c>
      <c r="AR395" t="s">
        <v>6430</v>
      </c>
      <c r="AS395" t="s">
        <v>6431</v>
      </c>
      <c r="AT395" t="s">
        <v>74</v>
      </c>
      <c r="AU395">
        <v>2021</v>
      </c>
      <c r="AV395">
        <v>71</v>
      </c>
      <c r="AW395">
        <v>1</v>
      </c>
      <c r="AX395" t="s">
        <v>74</v>
      </c>
      <c r="AY395" t="s">
        <v>74</v>
      </c>
      <c r="AZ395" t="s">
        <v>74</v>
      </c>
      <c r="BA395" t="s">
        <v>74</v>
      </c>
      <c r="BB395" t="s">
        <v>74</v>
      </c>
      <c r="BC395" t="s">
        <v>74</v>
      </c>
      <c r="BD395">
        <v>4605</v>
      </c>
      <c r="BE395" t="s">
        <v>7839</v>
      </c>
      <c r="BF395" t="str">
        <f>HYPERLINK("http://dx.doi.org/10.1099/ijsem.0.004605","http://dx.doi.org/10.1099/ijsem.0.004605")</f>
        <v>http://dx.doi.org/10.1099/ijsem.0.004605</v>
      </c>
      <c r="BG395" t="s">
        <v>74</v>
      </c>
      <c r="BH395" t="s">
        <v>74</v>
      </c>
      <c r="BI395">
        <v>6</v>
      </c>
      <c r="BJ395" t="s">
        <v>3581</v>
      </c>
      <c r="BK395" t="s">
        <v>103</v>
      </c>
      <c r="BL395" t="s">
        <v>3581</v>
      </c>
      <c r="BM395" t="s">
        <v>7840</v>
      </c>
      <c r="BN395">
        <v>33332260</v>
      </c>
      <c r="BO395" t="s">
        <v>3283</v>
      </c>
      <c r="BP395" t="s">
        <v>74</v>
      </c>
      <c r="BQ395" t="s">
        <v>74</v>
      </c>
      <c r="BR395" t="s">
        <v>106</v>
      </c>
      <c r="BS395" t="s">
        <v>7841</v>
      </c>
      <c r="BT395" t="str">
        <f>HYPERLINK("https%3A%2F%2Fwww.webofscience.com%2Fwos%2Fwoscc%2Ffull-record%2FWOS:000636433500017","View Full Record in Web of Science")</f>
        <v>View Full Record in Web of Science</v>
      </c>
    </row>
    <row r="396" spans="1:72" x14ac:dyDescent="0.15">
      <c r="A396" t="s">
        <v>72</v>
      </c>
      <c r="B396" t="s">
        <v>7842</v>
      </c>
      <c r="C396" t="s">
        <v>74</v>
      </c>
      <c r="D396" t="s">
        <v>74</v>
      </c>
      <c r="E396" t="s">
        <v>74</v>
      </c>
      <c r="F396" t="s">
        <v>7843</v>
      </c>
      <c r="G396" t="s">
        <v>74</v>
      </c>
      <c r="H396" t="s">
        <v>74</v>
      </c>
      <c r="I396" t="s">
        <v>7844</v>
      </c>
      <c r="J396" t="s">
        <v>6413</v>
      </c>
      <c r="K396" t="s">
        <v>74</v>
      </c>
      <c r="L396" t="s">
        <v>74</v>
      </c>
      <c r="M396" t="s">
        <v>78</v>
      </c>
      <c r="N396" t="s">
        <v>79</v>
      </c>
      <c r="O396" t="s">
        <v>74</v>
      </c>
      <c r="P396" t="s">
        <v>74</v>
      </c>
      <c r="Q396" t="s">
        <v>74</v>
      </c>
      <c r="R396" t="s">
        <v>74</v>
      </c>
      <c r="S396" t="s">
        <v>74</v>
      </c>
      <c r="T396" t="s">
        <v>7845</v>
      </c>
      <c r="U396" t="s">
        <v>74</v>
      </c>
      <c r="V396" t="s">
        <v>7846</v>
      </c>
      <c r="W396" t="s">
        <v>7847</v>
      </c>
      <c r="X396" t="s">
        <v>7848</v>
      </c>
      <c r="Y396" t="s">
        <v>7849</v>
      </c>
      <c r="Z396" t="s">
        <v>7850</v>
      </c>
      <c r="AA396" t="s">
        <v>7851</v>
      </c>
      <c r="AB396" t="s">
        <v>7852</v>
      </c>
      <c r="AC396" t="s">
        <v>7853</v>
      </c>
      <c r="AD396" t="s">
        <v>7854</v>
      </c>
      <c r="AE396" t="s">
        <v>7855</v>
      </c>
      <c r="AF396" t="s">
        <v>74</v>
      </c>
      <c r="AG396">
        <v>55</v>
      </c>
      <c r="AH396">
        <v>6</v>
      </c>
      <c r="AI396">
        <v>6</v>
      </c>
      <c r="AJ396">
        <v>2</v>
      </c>
      <c r="AK396">
        <v>5</v>
      </c>
      <c r="AL396" t="s">
        <v>6426</v>
      </c>
      <c r="AM396" t="s">
        <v>236</v>
      </c>
      <c r="AN396" t="s">
        <v>7856</v>
      </c>
      <c r="AO396" t="s">
        <v>6428</v>
      </c>
      <c r="AP396" t="s">
        <v>6429</v>
      </c>
      <c r="AQ396" t="s">
        <v>74</v>
      </c>
      <c r="AR396" t="s">
        <v>6430</v>
      </c>
      <c r="AS396" t="s">
        <v>6431</v>
      </c>
      <c r="AT396" t="s">
        <v>74</v>
      </c>
      <c r="AU396">
        <v>2021</v>
      </c>
      <c r="AV396">
        <v>71</v>
      </c>
      <c r="AW396">
        <v>1</v>
      </c>
      <c r="AX396" t="s">
        <v>74</v>
      </c>
      <c r="AY396" t="s">
        <v>74</v>
      </c>
      <c r="AZ396" t="s">
        <v>74</v>
      </c>
      <c r="BA396" t="s">
        <v>74</v>
      </c>
      <c r="BB396" t="s">
        <v>74</v>
      </c>
      <c r="BC396" t="s">
        <v>74</v>
      </c>
      <c r="BD396">
        <v>4568</v>
      </c>
      <c r="BE396" t="s">
        <v>7857</v>
      </c>
      <c r="BF396" t="str">
        <f>HYPERLINK("http://dx.doi.org/10.1099/ijsem.0.004568","http://dx.doi.org/10.1099/ijsem.0.004568")</f>
        <v>http://dx.doi.org/10.1099/ijsem.0.004568</v>
      </c>
      <c r="BG396" t="s">
        <v>74</v>
      </c>
      <c r="BH396" t="s">
        <v>74</v>
      </c>
      <c r="BI396">
        <v>12</v>
      </c>
      <c r="BJ396" t="s">
        <v>3581</v>
      </c>
      <c r="BK396" t="s">
        <v>103</v>
      </c>
      <c r="BL396" t="s">
        <v>3581</v>
      </c>
      <c r="BM396" t="s">
        <v>7840</v>
      </c>
      <c r="BN396">
        <v>33201796</v>
      </c>
      <c r="BO396" t="s">
        <v>3283</v>
      </c>
      <c r="BP396" t="s">
        <v>74</v>
      </c>
      <c r="BQ396" t="s">
        <v>74</v>
      </c>
      <c r="BR396" t="s">
        <v>106</v>
      </c>
      <c r="BS396" t="s">
        <v>7858</v>
      </c>
      <c r="BT396" t="str">
        <f>HYPERLINK("https%3A%2F%2Fwww.webofscience.com%2Fwos%2Fwoscc%2Ffull-record%2FWOS:000636433500029","View Full Record in Web of Science")</f>
        <v>View Full Record in Web of Science</v>
      </c>
    </row>
    <row r="397" spans="1:72" x14ac:dyDescent="0.15">
      <c r="A397" t="s">
        <v>72</v>
      </c>
      <c r="B397" t="s">
        <v>7859</v>
      </c>
      <c r="C397" t="s">
        <v>74</v>
      </c>
      <c r="D397" t="s">
        <v>74</v>
      </c>
      <c r="E397" t="s">
        <v>74</v>
      </c>
      <c r="F397" t="s">
        <v>7860</v>
      </c>
      <c r="G397" t="s">
        <v>74</v>
      </c>
      <c r="H397" t="s">
        <v>74</v>
      </c>
      <c r="I397" t="s">
        <v>7861</v>
      </c>
      <c r="J397" t="s">
        <v>7862</v>
      </c>
      <c r="K397" t="s">
        <v>74</v>
      </c>
      <c r="L397" t="s">
        <v>74</v>
      </c>
      <c r="M397" t="s">
        <v>78</v>
      </c>
      <c r="N397" t="s">
        <v>79</v>
      </c>
      <c r="O397" t="s">
        <v>74</v>
      </c>
      <c r="P397" t="s">
        <v>74</v>
      </c>
      <c r="Q397" t="s">
        <v>74</v>
      </c>
      <c r="R397" t="s">
        <v>74</v>
      </c>
      <c r="S397" t="s">
        <v>74</v>
      </c>
      <c r="T397" t="s">
        <v>7863</v>
      </c>
      <c r="U397" t="s">
        <v>74</v>
      </c>
      <c r="V397" t="s">
        <v>7864</v>
      </c>
      <c r="W397" t="s">
        <v>7865</v>
      </c>
      <c r="X397" t="s">
        <v>7866</v>
      </c>
      <c r="Y397" t="s">
        <v>7867</v>
      </c>
      <c r="Z397" t="s">
        <v>7868</v>
      </c>
      <c r="AA397" t="s">
        <v>7869</v>
      </c>
      <c r="AB397" t="s">
        <v>7870</v>
      </c>
      <c r="AC397" t="s">
        <v>7871</v>
      </c>
      <c r="AD397" t="s">
        <v>7871</v>
      </c>
      <c r="AE397" t="s">
        <v>7872</v>
      </c>
      <c r="AF397" t="s">
        <v>74</v>
      </c>
      <c r="AG397">
        <v>53</v>
      </c>
      <c r="AH397">
        <v>0</v>
      </c>
      <c r="AI397">
        <v>0</v>
      </c>
      <c r="AJ397">
        <v>0</v>
      </c>
      <c r="AK397">
        <v>4</v>
      </c>
      <c r="AL397" t="s">
        <v>7873</v>
      </c>
      <c r="AM397" t="s">
        <v>7874</v>
      </c>
      <c r="AN397" t="s">
        <v>7875</v>
      </c>
      <c r="AO397" t="s">
        <v>74</v>
      </c>
      <c r="AP397" t="s">
        <v>7876</v>
      </c>
      <c r="AQ397" t="s">
        <v>74</v>
      </c>
      <c r="AR397" t="s">
        <v>7877</v>
      </c>
      <c r="AS397" t="s">
        <v>7878</v>
      </c>
      <c r="AT397" t="s">
        <v>74</v>
      </c>
      <c r="AU397">
        <v>2021</v>
      </c>
      <c r="AV397">
        <v>9</v>
      </c>
      <c r="AW397">
        <v>1</v>
      </c>
      <c r="AX397" t="s">
        <v>74</v>
      </c>
      <c r="AY397" t="s">
        <v>74</v>
      </c>
      <c r="AZ397" t="s">
        <v>74</v>
      </c>
      <c r="BA397" t="s">
        <v>74</v>
      </c>
      <c r="BB397">
        <v>31</v>
      </c>
      <c r="BC397">
        <v>40</v>
      </c>
      <c r="BD397" t="s">
        <v>74</v>
      </c>
      <c r="BE397" t="s">
        <v>7879</v>
      </c>
      <c r="BF397" t="str">
        <f>HYPERLINK("http://dx.doi.org/10.4274/jems.2021.32448","http://dx.doi.org/10.4274/jems.2021.32448")</f>
        <v>http://dx.doi.org/10.4274/jems.2021.32448</v>
      </c>
      <c r="BG397" t="s">
        <v>74</v>
      </c>
      <c r="BH397" t="s">
        <v>74</v>
      </c>
      <c r="BI397">
        <v>10</v>
      </c>
      <c r="BJ397" t="s">
        <v>7880</v>
      </c>
      <c r="BK397" t="s">
        <v>3050</v>
      </c>
      <c r="BL397" t="s">
        <v>7881</v>
      </c>
      <c r="BM397" t="s">
        <v>7882</v>
      </c>
      <c r="BN397" t="s">
        <v>74</v>
      </c>
      <c r="BO397" t="s">
        <v>326</v>
      </c>
      <c r="BP397" t="s">
        <v>74</v>
      </c>
      <c r="BQ397" t="s">
        <v>74</v>
      </c>
      <c r="BR397" t="s">
        <v>106</v>
      </c>
      <c r="BS397" t="s">
        <v>7883</v>
      </c>
      <c r="BT397" t="str">
        <f>HYPERLINK("https%3A%2F%2Fwww.webofscience.com%2Fwos%2Fwoscc%2Ffull-record%2FWOS:000636053100005","View Full Record in Web of Science")</f>
        <v>View Full Record in Web of Science</v>
      </c>
    </row>
    <row r="398" spans="1:72" x14ac:dyDescent="0.15">
      <c r="A398" t="s">
        <v>72</v>
      </c>
      <c r="B398" t="s">
        <v>7884</v>
      </c>
      <c r="C398" t="s">
        <v>74</v>
      </c>
      <c r="D398" t="s">
        <v>74</v>
      </c>
      <c r="E398" t="s">
        <v>74</v>
      </c>
      <c r="F398" t="s">
        <v>7885</v>
      </c>
      <c r="G398" t="s">
        <v>74</v>
      </c>
      <c r="H398" t="s">
        <v>74</v>
      </c>
      <c r="I398" t="s">
        <v>7886</v>
      </c>
      <c r="J398" t="s">
        <v>7887</v>
      </c>
      <c r="K398" t="s">
        <v>74</v>
      </c>
      <c r="L398" t="s">
        <v>74</v>
      </c>
      <c r="M398" t="s">
        <v>78</v>
      </c>
      <c r="N398" t="s">
        <v>141</v>
      </c>
      <c r="O398" t="s">
        <v>74</v>
      </c>
      <c r="P398" t="s">
        <v>74</v>
      </c>
      <c r="Q398" t="s">
        <v>74</v>
      </c>
      <c r="R398" t="s">
        <v>74</v>
      </c>
      <c r="S398" t="s">
        <v>74</v>
      </c>
      <c r="T398" t="s">
        <v>7888</v>
      </c>
      <c r="U398" t="s">
        <v>7889</v>
      </c>
      <c r="V398" t="s">
        <v>7890</v>
      </c>
      <c r="W398" t="s">
        <v>7891</v>
      </c>
      <c r="X398" t="s">
        <v>7892</v>
      </c>
      <c r="Y398" t="s">
        <v>7893</v>
      </c>
      <c r="Z398" t="s">
        <v>7894</v>
      </c>
      <c r="AA398" t="s">
        <v>7895</v>
      </c>
      <c r="AB398" t="s">
        <v>7896</v>
      </c>
      <c r="AC398" t="s">
        <v>7897</v>
      </c>
      <c r="AD398" t="s">
        <v>7898</v>
      </c>
      <c r="AE398" t="s">
        <v>7899</v>
      </c>
      <c r="AF398" t="s">
        <v>74</v>
      </c>
      <c r="AG398">
        <v>147</v>
      </c>
      <c r="AH398">
        <v>13</v>
      </c>
      <c r="AI398">
        <v>14</v>
      </c>
      <c r="AJ398">
        <v>1</v>
      </c>
      <c r="AK398">
        <v>32</v>
      </c>
      <c r="AL398" t="s">
        <v>7900</v>
      </c>
      <c r="AM398" t="s">
        <v>7901</v>
      </c>
      <c r="AN398" t="s">
        <v>7902</v>
      </c>
      <c r="AO398" t="s">
        <v>74</v>
      </c>
      <c r="AP398" t="s">
        <v>7903</v>
      </c>
      <c r="AQ398" t="s">
        <v>74</v>
      </c>
      <c r="AR398" t="s">
        <v>7904</v>
      </c>
      <c r="AS398" t="s">
        <v>7905</v>
      </c>
      <c r="AT398" t="s">
        <v>6088</v>
      </c>
      <c r="AU398">
        <v>2021</v>
      </c>
      <c r="AV398">
        <v>73</v>
      </c>
      <c r="AW398">
        <v>1</v>
      </c>
      <c r="AX398" t="s">
        <v>74</v>
      </c>
      <c r="AY398" t="s">
        <v>74</v>
      </c>
      <c r="AZ398" t="s">
        <v>74</v>
      </c>
      <c r="BA398" t="s">
        <v>74</v>
      </c>
      <c r="BB398">
        <v>1</v>
      </c>
      <c r="BC398">
        <v>31</v>
      </c>
      <c r="BD398" t="s">
        <v>74</v>
      </c>
      <c r="BE398" t="s">
        <v>7906</v>
      </c>
      <c r="BF398" t="str">
        <f>HYPERLINK("http://dx.doi.org/10.1080/16000870.2021.1890412","http://dx.doi.org/10.1080/16000870.2021.1890412")</f>
        <v>http://dx.doi.org/10.1080/16000870.2021.1890412</v>
      </c>
      <c r="BG398" t="s">
        <v>74</v>
      </c>
      <c r="BH398" t="s">
        <v>74</v>
      </c>
      <c r="BI398">
        <v>31</v>
      </c>
      <c r="BJ398" t="s">
        <v>938</v>
      </c>
      <c r="BK398" t="s">
        <v>103</v>
      </c>
      <c r="BL398" t="s">
        <v>938</v>
      </c>
      <c r="BM398" t="s">
        <v>7907</v>
      </c>
      <c r="BN398" t="s">
        <v>74</v>
      </c>
      <c r="BO398" t="s">
        <v>326</v>
      </c>
      <c r="BP398" t="s">
        <v>74</v>
      </c>
      <c r="BQ398" t="s">
        <v>74</v>
      </c>
      <c r="BR398" t="s">
        <v>106</v>
      </c>
      <c r="BS398" t="s">
        <v>7908</v>
      </c>
      <c r="BT398" t="str">
        <f>HYPERLINK("https%3A%2F%2Fwww.webofscience.com%2Fwos%2Fwoscc%2Ffull-record%2FWOS:000624923800001","View Full Record in Web of Science")</f>
        <v>View Full Record in Web of Science</v>
      </c>
    </row>
    <row r="399" spans="1:72" x14ac:dyDescent="0.15">
      <c r="A399" t="s">
        <v>72</v>
      </c>
      <c r="B399" t="s">
        <v>7909</v>
      </c>
      <c r="C399" t="s">
        <v>74</v>
      </c>
      <c r="D399" t="s">
        <v>74</v>
      </c>
      <c r="E399" t="s">
        <v>74</v>
      </c>
      <c r="F399" t="s">
        <v>7910</v>
      </c>
      <c r="G399" t="s">
        <v>74</v>
      </c>
      <c r="H399" t="s">
        <v>74</v>
      </c>
      <c r="I399" t="s">
        <v>7911</v>
      </c>
      <c r="J399" t="s">
        <v>6486</v>
      </c>
      <c r="K399" t="s">
        <v>74</v>
      </c>
      <c r="L399" t="s">
        <v>74</v>
      </c>
      <c r="M399" t="s">
        <v>78</v>
      </c>
      <c r="N399" t="s">
        <v>79</v>
      </c>
      <c r="O399" t="s">
        <v>74</v>
      </c>
      <c r="P399" t="s">
        <v>74</v>
      </c>
      <c r="Q399" t="s">
        <v>74</v>
      </c>
      <c r="R399" t="s">
        <v>74</v>
      </c>
      <c r="S399" t="s">
        <v>74</v>
      </c>
      <c r="T399" t="s">
        <v>74</v>
      </c>
      <c r="U399" t="s">
        <v>74</v>
      </c>
      <c r="V399" t="s">
        <v>74</v>
      </c>
      <c r="W399" t="s">
        <v>7912</v>
      </c>
      <c r="X399" t="s">
        <v>74</v>
      </c>
      <c r="Y399" t="s">
        <v>7913</v>
      </c>
      <c r="Z399" t="s">
        <v>7914</v>
      </c>
      <c r="AA399" t="s">
        <v>74</v>
      </c>
      <c r="AB399" t="s">
        <v>74</v>
      </c>
      <c r="AC399" t="s">
        <v>74</v>
      </c>
      <c r="AD399" t="s">
        <v>74</v>
      </c>
      <c r="AE399" t="s">
        <v>74</v>
      </c>
      <c r="AF399" t="s">
        <v>74</v>
      </c>
      <c r="AG399">
        <v>23</v>
      </c>
      <c r="AH399">
        <v>3</v>
      </c>
      <c r="AI399">
        <v>4</v>
      </c>
      <c r="AJ399">
        <v>0</v>
      </c>
      <c r="AK399">
        <v>5</v>
      </c>
      <c r="AL399" t="s">
        <v>6495</v>
      </c>
      <c r="AM399" t="s">
        <v>6496</v>
      </c>
      <c r="AN399" t="s">
        <v>6497</v>
      </c>
      <c r="AO399" t="s">
        <v>6498</v>
      </c>
      <c r="AP399" t="s">
        <v>74</v>
      </c>
      <c r="AQ399" t="s">
        <v>74</v>
      </c>
      <c r="AR399" t="s">
        <v>6499</v>
      </c>
      <c r="AS399" t="s">
        <v>6500</v>
      </c>
      <c r="AT399" t="s">
        <v>74</v>
      </c>
      <c r="AU399">
        <v>2021</v>
      </c>
      <c r="AV399">
        <v>47</v>
      </c>
      <c r="AW399">
        <v>2</v>
      </c>
      <c r="AX399" t="s">
        <v>74</v>
      </c>
      <c r="AY399" t="s">
        <v>74</v>
      </c>
      <c r="AZ399" t="s">
        <v>74</v>
      </c>
      <c r="BA399" t="s">
        <v>74</v>
      </c>
      <c r="BB399">
        <v>175</v>
      </c>
      <c r="BC399">
        <v>180</v>
      </c>
      <c r="BD399" t="s">
        <v>74</v>
      </c>
      <c r="BE399" t="s">
        <v>7915</v>
      </c>
      <c r="BF399" t="str">
        <f>HYPERLINK("http://dx.doi.org/10.1578/AM.47.2.2021.175","http://dx.doi.org/10.1578/AM.47.2.2021.175")</f>
        <v>http://dx.doi.org/10.1578/AM.47.2.2021.175</v>
      </c>
      <c r="BG399" t="s">
        <v>74</v>
      </c>
      <c r="BH399" t="s">
        <v>74</v>
      </c>
      <c r="BI399">
        <v>6</v>
      </c>
      <c r="BJ399" t="s">
        <v>3209</v>
      </c>
      <c r="BK399" t="s">
        <v>103</v>
      </c>
      <c r="BL399" t="s">
        <v>3209</v>
      </c>
      <c r="BM399" t="s">
        <v>7916</v>
      </c>
      <c r="BN399" t="s">
        <v>74</v>
      </c>
      <c r="BO399" t="s">
        <v>74</v>
      </c>
      <c r="BP399" t="s">
        <v>74</v>
      </c>
      <c r="BQ399" t="s">
        <v>74</v>
      </c>
      <c r="BR399" t="s">
        <v>106</v>
      </c>
      <c r="BS399" t="s">
        <v>7917</v>
      </c>
      <c r="BT399" t="str">
        <f>HYPERLINK("https%3A%2F%2Fwww.webofscience.com%2Fwos%2Fwoscc%2Ffull-record%2FWOS:000629241000007","View Full Record in Web of Science")</f>
        <v>View Full Record in Web of Science</v>
      </c>
    </row>
    <row r="400" spans="1:72" x14ac:dyDescent="0.15">
      <c r="A400" t="s">
        <v>4589</v>
      </c>
      <c r="B400" t="s">
        <v>7918</v>
      </c>
      <c r="C400" t="s">
        <v>74</v>
      </c>
      <c r="D400" t="s">
        <v>7919</v>
      </c>
      <c r="E400" t="s">
        <v>74</v>
      </c>
      <c r="F400" t="s">
        <v>7920</v>
      </c>
      <c r="G400" t="s">
        <v>74</v>
      </c>
      <c r="H400" t="s">
        <v>74</v>
      </c>
      <c r="I400" t="s">
        <v>7921</v>
      </c>
      <c r="J400" t="s">
        <v>7922</v>
      </c>
      <c r="K400" t="s">
        <v>7923</v>
      </c>
      <c r="L400" t="s">
        <v>74</v>
      </c>
      <c r="M400" t="s">
        <v>78</v>
      </c>
      <c r="N400" t="s">
        <v>4596</v>
      </c>
      <c r="O400" t="s">
        <v>74</v>
      </c>
      <c r="P400" t="s">
        <v>74</v>
      </c>
      <c r="Q400" t="s">
        <v>74</v>
      </c>
      <c r="R400" t="s">
        <v>74</v>
      </c>
      <c r="S400" t="s">
        <v>74</v>
      </c>
      <c r="T400" t="s">
        <v>74</v>
      </c>
      <c r="U400" t="s">
        <v>7924</v>
      </c>
      <c r="V400" t="s">
        <v>74</v>
      </c>
      <c r="W400" t="s">
        <v>7925</v>
      </c>
      <c r="X400" t="s">
        <v>7926</v>
      </c>
      <c r="Y400" t="s">
        <v>7927</v>
      </c>
      <c r="Z400" t="s">
        <v>7928</v>
      </c>
      <c r="AA400" t="s">
        <v>7929</v>
      </c>
      <c r="AB400" t="s">
        <v>74</v>
      </c>
      <c r="AC400" t="s">
        <v>7930</v>
      </c>
      <c r="AD400" t="s">
        <v>7931</v>
      </c>
      <c r="AE400" t="s">
        <v>7932</v>
      </c>
      <c r="AF400" t="s">
        <v>74</v>
      </c>
      <c r="AG400">
        <v>226</v>
      </c>
      <c r="AH400">
        <v>5</v>
      </c>
      <c r="AI400">
        <v>6</v>
      </c>
      <c r="AJ400">
        <v>1</v>
      </c>
      <c r="AK400">
        <v>5</v>
      </c>
      <c r="AL400" t="s">
        <v>7022</v>
      </c>
      <c r="AM400" t="s">
        <v>528</v>
      </c>
      <c r="AN400" t="s">
        <v>7023</v>
      </c>
      <c r="AO400" t="s">
        <v>7933</v>
      </c>
      <c r="AP400" t="s">
        <v>74</v>
      </c>
      <c r="AQ400" t="s">
        <v>7934</v>
      </c>
      <c r="AR400" t="s">
        <v>7935</v>
      </c>
      <c r="AS400" t="s">
        <v>74</v>
      </c>
      <c r="AT400" t="s">
        <v>74</v>
      </c>
      <c r="AU400">
        <v>2021</v>
      </c>
      <c r="AV400" t="s">
        <v>74</v>
      </c>
      <c r="AW400" t="s">
        <v>74</v>
      </c>
      <c r="AX400" t="s">
        <v>74</v>
      </c>
      <c r="AY400" t="s">
        <v>74</v>
      </c>
      <c r="AZ400" t="s">
        <v>74</v>
      </c>
      <c r="BA400" t="s">
        <v>74</v>
      </c>
      <c r="BB400">
        <v>143</v>
      </c>
      <c r="BC400">
        <v>187</v>
      </c>
      <c r="BD400" t="s">
        <v>74</v>
      </c>
      <c r="BE400" t="s">
        <v>7936</v>
      </c>
      <c r="BF400" t="str">
        <f>HYPERLINK("http://dx.doi.org/10.1515/9783110586312-006","http://dx.doi.org/10.1515/9783110586312-006")</f>
        <v>http://dx.doi.org/10.1515/9783110586312-006</v>
      </c>
      <c r="BG400" t="s">
        <v>7937</v>
      </c>
      <c r="BH400" t="s">
        <v>74</v>
      </c>
      <c r="BI400">
        <v>45</v>
      </c>
      <c r="BJ400" t="s">
        <v>1028</v>
      </c>
      <c r="BK400" t="s">
        <v>4615</v>
      </c>
      <c r="BL400" t="s">
        <v>1028</v>
      </c>
      <c r="BM400" t="s">
        <v>7938</v>
      </c>
      <c r="BN400" t="s">
        <v>74</v>
      </c>
      <c r="BO400" t="s">
        <v>74</v>
      </c>
      <c r="BP400" t="s">
        <v>74</v>
      </c>
      <c r="BQ400" t="s">
        <v>74</v>
      </c>
      <c r="BR400" t="s">
        <v>106</v>
      </c>
      <c r="BS400" t="s">
        <v>7939</v>
      </c>
      <c r="BT400" t="str">
        <f>HYPERLINK("https%3A%2F%2Fwww.webofscience.com%2Fwos%2Fwoscc%2Ffull-record%2FWOS:000629350600007","View Full Record in Web of Science")</f>
        <v>View Full Record in Web of Science</v>
      </c>
    </row>
    <row r="401" spans="1:72" x14ac:dyDescent="0.15">
      <c r="A401" t="s">
        <v>72</v>
      </c>
      <c r="B401" t="s">
        <v>7940</v>
      </c>
      <c r="C401" t="s">
        <v>74</v>
      </c>
      <c r="D401" t="s">
        <v>74</v>
      </c>
      <c r="E401" t="s">
        <v>74</v>
      </c>
      <c r="F401" t="s">
        <v>7941</v>
      </c>
      <c r="G401" t="s">
        <v>74</v>
      </c>
      <c r="H401" t="s">
        <v>74</v>
      </c>
      <c r="I401" t="s">
        <v>7942</v>
      </c>
      <c r="J401" t="s">
        <v>7943</v>
      </c>
      <c r="K401" t="s">
        <v>74</v>
      </c>
      <c r="L401" t="s">
        <v>74</v>
      </c>
      <c r="M401" t="s">
        <v>78</v>
      </c>
      <c r="N401" t="s">
        <v>79</v>
      </c>
      <c r="O401" t="s">
        <v>74</v>
      </c>
      <c r="P401" t="s">
        <v>74</v>
      </c>
      <c r="Q401" t="s">
        <v>74</v>
      </c>
      <c r="R401" t="s">
        <v>74</v>
      </c>
      <c r="S401" t="s">
        <v>74</v>
      </c>
      <c r="T401" t="s">
        <v>7944</v>
      </c>
      <c r="U401" t="s">
        <v>7945</v>
      </c>
      <c r="V401" t="s">
        <v>7946</v>
      </c>
      <c r="W401" t="s">
        <v>7947</v>
      </c>
      <c r="X401" t="s">
        <v>7948</v>
      </c>
      <c r="Y401" t="s">
        <v>7949</v>
      </c>
      <c r="Z401" t="s">
        <v>7950</v>
      </c>
      <c r="AA401" t="s">
        <v>7951</v>
      </c>
      <c r="AB401" t="s">
        <v>7952</v>
      </c>
      <c r="AC401" t="s">
        <v>7953</v>
      </c>
      <c r="AD401" t="s">
        <v>1700</v>
      </c>
      <c r="AE401" t="s">
        <v>7954</v>
      </c>
      <c r="AF401" t="s">
        <v>74</v>
      </c>
      <c r="AG401">
        <v>130</v>
      </c>
      <c r="AH401">
        <v>3</v>
      </c>
      <c r="AI401">
        <v>3</v>
      </c>
      <c r="AJ401">
        <v>0</v>
      </c>
      <c r="AK401">
        <v>9</v>
      </c>
      <c r="AL401" t="s">
        <v>446</v>
      </c>
      <c r="AM401" t="s">
        <v>447</v>
      </c>
      <c r="AN401" t="s">
        <v>448</v>
      </c>
      <c r="AO401" t="s">
        <v>7955</v>
      </c>
      <c r="AP401" t="s">
        <v>7956</v>
      </c>
      <c r="AQ401" t="s">
        <v>74</v>
      </c>
      <c r="AR401" t="s">
        <v>7957</v>
      </c>
      <c r="AS401" t="s">
        <v>7958</v>
      </c>
      <c r="AT401" t="s">
        <v>74</v>
      </c>
      <c r="AU401">
        <v>2021</v>
      </c>
      <c r="AV401">
        <v>13</v>
      </c>
      <c r="AW401" t="s">
        <v>74</v>
      </c>
      <c r="AX401" t="s">
        <v>74</v>
      </c>
      <c r="AY401" t="s">
        <v>74</v>
      </c>
      <c r="AZ401" t="s">
        <v>74</v>
      </c>
      <c r="BA401" t="s">
        <v>74</v>
      </c>
      <c r="BB401">
        <v>81</v>
      </c>
      <c r="BC401">
        <v>100</v>
      </c>
      <c r="BD401" t="s">
        <v>74</v>
      </c>
      <c r="BE401" t="s">
        <v>7959</v>
      </c>
      <c r="BF401" t="str">
        <f>HYPERLINK("http://dx.doi.org/10.3354/aei00392","http://dx.doi.org/10.3354/aei00392")</f>
        <v>http://dx.doi.org/10.3354/aei00392</v>
      </c>
      <c r="BG401" t="s">
        <v>74</v>
      </c>
      <c r="BH401" t="s">
        <v>74</v>
      </c>
      <c r="BI401">
        <v>20</v>
      </c>
      <c r="BJ401" t="s">
        <v>584</v>
      </c>
      <c r="BK401" t="s">
        <v>103</v>
      </c>
      <c r="BL401" t="s">
        <v>584</v>
      </c>
      <c r="BM401" t="s">
        <v>7960</v>
      </c>
      <c r="BN401" t="s">
        <v>74</v>
      </c>
      <c r="BO401" t="s">
        <v>958</v>
      </c>
      <c r="BP401" t="s">
        <v>74</v>
      </c>
      <c r="BQ401" t="s">
        <v>74</v>
      </c>
      <c r="BR401" t="s">
        <v>106</v>
      </c>
      <c r="BS401" t="s">
        <v>7961</v>
      </c>
      <c r="BT401" t="str">
        <f>HYPERLINK("https%3A%2F%2Fwww.webofscience.com%2Fwos%2Fwoscc%2Ffull-record%2FWOS:000634852000001","View Full Record in Web of Science")</f>
        <v>View Full Record in Web of Science</v>
      </c>
    </row>
    <row r="402" spans="1:72" x14ac:dyDescent="0.15">
      <c r="A402" t="s">
        <v>72</v>
      </c>
      <c r="B402" t="s">
        <v>7962</v>
      </c>
      <c r="C402" t="s">
        <v>74</v>
      </c>
      <c r="D402" t="s">
        <v>74</v>
      </c>
      <c r="E402" t="s">
        <v>74</v>
      </c>
      <c r="F402" t="s">
        <v>7963</v>
      </c>
      <c r="G402" t="s">
        <v>74</v>
      </c>
      <c r="H402" t="s">
        <v>74</v>
      </c>
      <c r="I402" t="s">
        <v>7964</v>
      </c>
      <c r="J402" t="s">
        <v>7965</v>
      </c>
      <c r="K402" t="s">
        <v>74</v>
      </c>
      <c r="L402" t="s">
        <v>74</v>
      </c>
      <c r="M402" t="s">
        <v>7966</v>
      </c>
      <c r="N402" t="s">
        <v>79</v>
      </c>
      <c r="O402" t="s">
        <v>74</v>
      </c>
      <c r="P402" t="s">
        <v>74</v>
      </c>
      <c r="Q402" t="s">
        <v>74</v>
      </c>
      <c r="R402" t="s">
        <v>74</v>
      </c>
      <c r="S402" t="s">
        <v>74</v>
      </c>
      <c r="T402" t="s">
        <v>7967</v>
      </c>
      <c r="U402" t="s">
        <v>7968</v>
      </c>
      <c r="V402" t="s">
        <v>7969</v>
      </c>
      <c r="W402" t="s">
        <v>7970</v>
      </c>
      <c r="X402" t="s">
        <v>7971</v>
      </c>
      <c r="Y402" t="s">
        <v>7972</v>
      </c>
      <c r="Z402" t="s">
        <v>74</v>
      </c>
      <c r="AA402" t="s">
        <v>74</v>
      </c>
      <c r="AB402" t="s">
        <v>74</v>
      </c>
      <c r="AC402" t="s">
        <v>74</v>
      </c>
      <c r="AD402" t="s">
        <v>74</v>
      </c>
      <c r="AE402" t="s">
        <v>74</v>
      </c>
      <c r="AF402" t="s">
        <v>74</v>
      </c>
      <c r="AG402">
        <v>48</v>
      </c>
      <c r="AH402">
        <v>0</v>
      </c>
      <c r="AI402">
        <v>0</v>
      </c>
      <c r="AJ402">
        <v>1</v>
      </c>
      <c r="AK402">
        <v>4</v>
      </c>
      <c r="AL402" t="s">
        <v>7973</v>
      </c>
      <c r="AM402" t="s">
        <v>3004</v>
      </c>
      <c r="AN402" t="s">
        <v>7974</v>
      </c>
      <c r="AO402" t="s">
        <v>7975</v>
      </c>
      <c r="AP402" t="s">
        <v>7976</v>
      </c>
      <c r="AQ402" t="s">
        <v>74</v>
      </c>
      <c r="AR402" t="s">
        <v>7977</v>
      </c>
      <c r="AS402" t="s">
        <v>7978</v>
      </c>
      <c r="AT402" t="s">
        <v>74</v>
      </c>
      <c r="AU402">
        <v>2021</v>
      </c>
      <c r="AV402">
        <v>130</v>
      </c>
      <c r="AW402">
        <v>1</v>
      </c>
      <c r="AX402" t="s">
        <v>74</v>
      </c>
      <c r="AY402" t="s">
        <v>74</v>
      </c>
      <c r="AZ402" t="s">
        <v>74</v>
      </c>
      <c r="BA402" t="s">
        <v>74</v>
      </c>
      <c r="BB402">
        <v>27</v>
      </c>
      <c r="BC402">
        <v>41</v>
      </c>
      <c r="BD402" t="s">
        <v>74</v>
      </c>
      <c r="BE402" t="s">
        <v>7979</v>
      </c>
      <c r="BF402" t="str">
        <f>HYPERLINK("http://dx.doi.org/10.5026/jgeography.130.27","http://dx.doi.org/10.5026/jgeography.130.27")</f>
        <v>http://dx.doi.org/10.5026/jgeography.130.27</v>
      </c>
      <c r="BG402" t="s">
        <v>74</v>
      </c>
      <c r="BH402" t="s">
        <v>74</v>
      </c>
      <c r="BI402">
        <v>15</v>
      </c>
      <c r="BJ402" t="s">
        <v>4731</v>
      </c>
      <c r="BK402" t="s">
        <v>3050</v>
      </c>
      <c r="BL402" t="s">
        <v>4732</v>
      </c>
      <c r="BM402" t="s">
        <v>7980</v>
      </c>
      <c r="BN402" t="s">
        <v>74</v>
      </c>
      <c r="BO402" t="s">
        <v>326</v>
      </c>
      <c r="BP402" t="s">
        <v>74</v>
      </c>
      <c r="BQ402" t="s">
        <v>74</v>
      </c>
      <c r="BR402" t="s">
        <v>106</v>
      </c>
      <c r="BS402" t="s">
        <v>7981</v>
      </c>
      <c r="BT402" t="str">
        <f>HYPERLINK("https%3A%2F%2Fwww.webofscience.com%2Fwos%2Fwoscc%2Ffull-record%2FWOS:000631125900002","View Full Record in Web of Science")</f>
        <v>View Full Record in Web of Science</v>
      </c>
    </row>
    <row r="403" spans="1:72" x14ac:dyDescent="0.15">
      <c r="A403" t="s">
        <v>72</v>
      </c>
      <c r="B403" t="s">
        <v>7982</v>
      </c>
      <c r="C403" t="s">
        <v>74</v>
      </c>
      <c r="D403" t="s">
        <v>74</v>
      </c>
      <c r="E403" t="s">
        <v>74</v>
      </c>
      <c r="F403" t="s">
        <v>7983</v>
      </c>
      <c r="G403" t="s">
        <v>74</v>
      </c>
      <c r="H403" t="s">
        <v>74</v>
      </c>
      <c r="I403" t="s">
        <v>7984</v>
      </c>
      <c r="J403" t="s">
        <v>7985</v>
      </c>
      <c r="K403" t="s">
        <v>74</v>
      </c>
      <c r="L403" t="s">
        <v>74</v>
      </c>
      <c r="M403" t="s">
        <v>78</v>
      </c>
      <c r="N403" t="s">
        <v>79</v>
      </c>
      <c r="O403" t="s">
        <v>74</v>
      </c>
      <c r="P403" t="s">
        <v>74</v>
      </c>
      <c r="Q403" t="s">
        <v>74</v>
      </c>
      <c r="R403" t="s">
        <v>74</v>
      </c>
      <c r="S403" t="s">
        <v>74</v>
      </c>
      <c r="T403" t="s">
        <v>7986</v>
      </c>
      <c r="U403" t="s">
        <v>7987</v>
      </c>
      <c r="V403" t="s">
        <v>7988</v>
      </c>
      <c r="W403" t="s">
        <v>7989</v>
      </c>
      <c r="X403" t="s">
        <v>7990</v>
      </c>
      <c r="Y403" t="s">
        <v>7991</v>
      </c>
      <c r="Z403" t="s">
        <v>7992</v>
      </c>
      <c r="AA403" t="s">
        <v>74</v>
      </c>
      <c r="AB403" t="s">
        <v>7993</v>
      </c>
      <c r="AC403" t="s">
        <v>74</v>
      </c>
      <c r="AD403" t="s">
        <v>74</v>
      </c>
      <c r="AE403" t="s">
        <v>74</v>
      </c>
      <c r="AF403" t="s">
        <v>74</v>
      </c>
      <c r="AG403">
        <v>46</v>
      </c>
      <c r="AH403">
        <v>4</v>
      </c>
      <c r="AI403">
        <v>5</v>
      </c>
      <c r="AJ403">
        <v>1</v>
      </c>
      <c r="AK403">
        <v>23</v>
      </c>
      <c r="AL403" t="s">
        <v>207</v>
      </c>
      <c r="AM403" t="s">
        <v>473</v>
      </c>
      <c r="AN403" t="s">
        <v>474</v>
      </c>
      <c r="AO403" t="s">
        <v>7994</v>
      </c>
      <c r="AP403" t="s">
        <v>7995</v>
      </c>
      <c r="AQ403" t="s">
        <v>74</v>
      </c>
      <c r="AR403" t="s">
        <v>7996</v>
      </c>
      <c r="AS403" t="s">
        <v>7997</v>
      </c>
      <c r="AT403" t="s">
        <v>374</v>
      </c>
      <c r="AU403">
        <v>2021</v>
      </c>
      <c r="AV403">
        <v>40</v>
      </c>
      <c r="AW403">
        <v>1</v>
      </c>
      <c r="AX403" t="s">
        <v>74</v>
      </c>
      <c r="AY403" t="s">
        <v>74</v>
      </c>
      <c r="AZ403" t="s">
        <v>74</v>
      </c>
      <c r="BA403" t="s">
        <v>74</v>
      </c>
      <c r="BB403">
        <v>4</v>
      </c>
      <c r="BC403">
        <v>12</v>
      </c>
      <c r="BD403" t="s">
        <v>74</v>
      </c>
      <c r="BE403" t="s">
        <v>7998</v>
      </c>
      <c r="BF403" t="str">
        <f>HYPERLINK("http://dx.doi.org/10.1007/s13131-021-1719-0","http://dx.doi.org/10.1007/s13131-021-1719-0")</f>
        <v>http://dx.doi.org/10.1007/s13131-021-1719-0</v>
      </c>
      <c r="BG403" t="s">
        <v>74</v>
      </c>
      <c r="BH403" t="s">
        <v>74</v>
      </c>
      <c r="BI403">
        <v>9</v>
      </c>
      <c r="BJ403" t="s">
        <v>2250</v>
      </c>
      <c r="BK403" t="s">
        <v>103</v>
      </c>
      <c r="BL403" t="s">
        <v>2250</v>
      </c>
      <c r="BM403" t="s">
        <v>7999</v>
      </c>
      <c r="BN403" t="s">
        <v>74</v>
      </c>
      <c r="BO403" t="s">
        <v>74</v>
      </c>
      <c r="BP403" t="s">
        <v>74</v>
      </c>
      <c r="BQ403" t="s">
        <v>74</v>
      </c>
      <c r="BR403" t="s">
        <v>106</v>
      </c>
      <c r="BS403" t="s">
        <v>8000</v>
      </c>
      <c r="BT403" t="str">
        <f>HYPERLINK("https%3A%2F%2Fwww.webofscience.com%2Fwos%2Fwoscc%2Ffull-record%2FWOS:000630026800002","View Full Record in Web of Science")</f>
        <v>View Full Record in Web of Science</v>
      </c>
    </row>
    <row r="404" spans="1:72" x14ac:dyDescent="0.15">
      <c r="A404" t="s">
        <v>72</v>
      </c>
      <c r="B404" t="s">
        <v>8001</v>
      </c>
      <c r="C404" t="s">
        <v>74</v>
      </c>
      <c r="D404" t="s">
        <v>74</v>
      </c>
      <c r="E404" t="s">
        <v>74</v>
      </c>
      <c r="F404" t="s">
        <v>8002</v>
      </c>
      <c r="G404" t="s">
        <v>74</v>
      </c>
      <c r="H404" t="s">
        <v>74</v>
      </c>
      <c r="I404" t="s">
        <v>8003</v>
      </c>
      <c r="J404" t="s">
        <v>7985</v>
      </c>
      <c r="K404" t="s">
        <v>74</v>
      </c>
      <c r="L404" t="s">
        <v>74</v>
      </c>
      <c r="M404" t="s">
        <v>78</v>
      </c>
      <c r="N404" t="s">
        <v>79</v>
      </c>
      <c r="O404" t="s">
        <v>74</v>
      </c>
      <c r="P404" t="s">
        <v>74</v>
      </c>
      <c r="Q404" t="s">
        <v>74</v>
      </c>
      <c r="R404" t="s">
        <v>74</v>
      </c>
      <c r="S404" t="s">
        <v>74</v>
      </c>
      <c r="T404" t="s">
        <v>8004</v>
      </c>
      <c r="U404" t="s">
        <v>74</v>
      </c>
      <c r="V404" t="s">
        <v>8005</v>
      </c>
      <c r="W404" t="s">
        <v>8006</v>
      </c>
      <c r="X404" t="s">
        <v>8007</v>
      </c>
      <c r="Y404" t="s">
        <v>8008</v>
      </c>
      <c r="Z404" t="s">
        <v>8009</v>
      </c>
      <c r="AA404" t="s">
        <v>74</v>
      </c>
      <c r="AB404" t="s">
        <v>74</v>
      </c>
      <c r="AC404" t="s">
        <v>74</v>
      </c>
      <c r="AD404" t="s">
        <v>74</v>
      </c>
      <c r="AE404" t="s">
        <v>74</v>
      </c>
      <c r="AF404" t="s">
        <v>74</v>
      </c>
      <c r="AG404">
        <v>39</v>
      </c>
      <c r="AH404">
        <v>4</v>
      </c>
      <c r="AI404">
        <v>8</v>
      </c>
      <c r="AJ404">
        <v>1</v>
      </c>
      <c r="AK404">
        <v>26</v>
      </c>
      <c r="AL404" t="s">
        <v>207</v>
      </c>
      <c r="AM404" t="s">
        <v>473</v>
      </c>
      <c r="AN404" t="s">
        <v>474</v>
      </c>
      <c r="AO404" t="s">
        <v>7994</v>
      </c>
      <c r="AP404" t="s">
        <v>7995</v>
      </c>
      <c r="AQ404" t="s">
        <v>74</v>
      </c>
      <c r="AR404" t="s">
        <v>7996</v>
      </c>
      <c r="AS404" t="s">
        <v>7997</v>
      </c>
      <c r="AT404" t="s">
        <v>374</v>
      </c>
      <c r="AU404">
        <v>2021</v>
      </c>
      <c r="AV404">
        <v>40</v>
      </c>
      <c r="AW404">
        <v>1</v>
      </c>
      <c r="AX404" t="s">
        <v>74</v>
      </c>
      <c r="AY404" t="s">
        <v>74</v>
      </c>
      <c r="AZ404" t="s">
        <v>74</v>
      </c>
      <c r="BA404" t="s">
        <v>74</v>
      </c>
      <c r="BB404">
        <v>22</v>
      </c>
      <c r="BC404">
        <v>32</v>
      </c>
      <c r="BD404" t="s">
        <v>74</v>
      </c>
      <c r="BE404" t="s">
        <v>8010</v>
      </c>
      <c r="BF404" t="str">
        <f>HYPERLINK("http://dx.doi.org/10.1007/s13131-021-1718-1","http://dx.doi.org/10.1007/s13131-021-1718-1")</f>
        <v>http://dx.doi.org/10.1007/s13131-021-1718-1</v>
      </c>
      <c r="BG404" t="s">
        <v>74</v>
      </c>
      <c r="BH404" t="s">
        <v>74</v>
      </c>
      <c r="BI404">
        <v>11</v>
      </c>
      <c r="BJ404" t="s">
        <v>2250</v>
      </c>
      <c r="BK404" t="s">
        <v>103</v>
      </c>
      <c r="BL404" t="s">
        <v>2250</v>
      </c>
      <c r="BM404" t="s">
        <v>7999</v>
      </c>
      <c r="BN404" t="s">
        <v>74</v>
      </c>
      <c r="BO404" t="s">
        <v>74</v>
      </c>
      <c r="BP404" t="s">
        <v>74</v>
      </c>
      <c r="BQ404" t="s">
        <v>74</v>
      </c>
      <c r="BR404" t="s">
        <v>106</v>
      </c>
      <c r="BS404" t="s">
        <v>8011</v>
      </c>
      <c r="BT404" t="str">
        <f>HYPERLINK("https%3A%2F%2Fwww.webofscience.com%2Fwos%2Fwoscc%2Ffull-record%2FWOS:000630026800004","View Full Record in Web of Science")</f>
        <v>View Full Record in Web of Science</v>
      </c>
    </row>
    <row r="405" spans="1:72" x14ac:dyDescent="0.15">
      <c r="A405" t="s">
        <v>72</v>
      </c>
      <c r="B405" t="s">
        <v>8012</v>
      </c>
      <c r="C405" t="s">
        <v>74</v>
      </c>
      <c r="D405" t="s">
        <v>74</v>
      </c>
      <c r="E405" t="s">
        <v>74</v>
      </c>
      <c r="F405" t="s">
        <v>8013</v>
      </c>
      <c r="G405" t="s">
        <v>74</v>
      </c>
      <c r="H405" t="s">
        <v>74</v>
      </c>
      <c r="I405" t="s">
        <v>8014</v>
      </c>
      <c r="J405" t="s">
        <v>7985</v>
      </c>
      <c r="K405" t="s">
        <v>74</v>
      </c>
      <c r="L405" t="s">
        <v>74</v>
      </c>
      <c r="M405" t="s">
        <v>78</v>
      </c>
      <c r="N405" t="s">
        <v>79</v>
      </c>
      <c r="O405" t="s">
        <v>74</v>
      </c>
      <c r="P405" t="s">
        <v>74</v>
      </c>
      <c r="Q405" t="s">
        <v>74</v>
      </c>
      <c r="R405" t="s">
        <v>74</v>
      </c>
      <c r="S405" t="s">
        <v>74</v>
      </c>
      <c r="T405" t="s">
        <v>8015</v>
      </c>
      <c r="U405" t="s">
        <v>8016</v>
      </c>
      <c r="V405" t="s">
        <v>8017</v>
      </c>
      <c r="W405" t="s">
        <v>8018</v>
      </c>
      <c r="X405" t="s">
        <v>8019</v>
      </c>
      <c r="Y405" t="s">
        <v>8020</v>
      </c>
      <c r="Z405" t="s">
        <v>8021</v>
      </c>
      <c r="AA405" t="s">
        <v>8022</v>
      </c>
      <c r="AB405" t="s">
        <v>8023</v>
      </c>
      <c r="AC405" t="s">
        <v>74</v>
      </c>
      <c r="AD405" t="s">
        <v>74</v>
      </c>
      <c r="AE405" t="s">
        <v>74</v>
      </c>
      <c r="AF405" t="s">
        <v>74</v>
      </c>
      <c r="AG405">
        <v>30</v>
      </c>
      <c r="AH405">
        <v>1</v>
      </c>
      <c r="AI405">
        <v>1</v>
      </c>
      <c r="AJ405">
        <v>0</v>
      </c>
      <c r="AK405">
        <v>20</v>
      </c>
      <c r="AL405" t="s">
        <v>207</v>
      </c>
      <c r="AM405" t="s">
        <v>473</v>
      </c>
      <c r="AN405" t="s">
        <v>474</v>
      </c>
      <c r="AO405" t="s">
        <v>7994</v>
      </c>
      <c r="AP405" t="s">
        <v>7995</v>
      </c>
      <c r="AQ405" t="s">
        <v>74</v>
      </c>
      <c r="AR405" t="s">
        <v>7996</v>
      </c>
      <c r="AS405" t="s">
        <v>7997</v>
      </c>
      <c r="AT405" t="s">
        <v>374</v>
      </c>
      <c r="AU405">
        <v>2021</v>
      </c>
      <c r="AV405">
        <v>40</v>
      </c>
      <c r="AW405">
        <v>1</v>
      </c>
      <c r="AX405" t="s">
        <v>74</v>
      </c>
      <c r="AY405" t="s">
        <v>74</v>
      </c>
      <c r="AZ405" t="s">
        <v>74</v>
      </c>
      <c r="BA405" t="s">
        <v>74</v>
      </c>
      <c r="BB405">
        <v>33</v>
      </c>
      <c r="BC405">
        <v>42</v>
      </c>
      <c r="BD405" t="s">
        <v>74</v>
      </c>
      <c r="BE405" t="s">
        <v>8024</v>
      </c>
      <c r="BF405" t="str">
        <f>HYPERLINK("http://dx.doi.org/10.1007/s13131-021-1716-3","http://dx.doi.org/10.1007/s13131-021-1716-3")</f>
        <v>http://dx.doi.org/10.1007/s13131-021-1716-3</v>
      </c>
      <c r="BG405" t="s">
        <v>74</v>
      </c>
      <c r="BH405" t="s">
        <v>74</v>
      </c>
      <c r="BI405">
        <v>10</v>
      </c>
      <c r="BJ405" t="s">
        <v>2250</v>
      </c>
      <c r="BK405" t="s">
        <v>103</v>
      </c>
      <c r="BL405" t="s">
        <v>2250</v>
      </c>
      <c r="BM405" t="s">
        <v>7999</v>
      </c>
      <c r="BN405" t="s">
        <v>74</v>
      </c>
      <c r="BO405" t="s">
        <v>74</v>
      </c>
      <c r="BP405" t="s">
        <v>74</v>
      </c>
      <c r="BQ405" t="s">
        <v>74</v>
      </c>
      <c r="BR405" t="s">
        <v>106</v>
      </c>
      <c r="BS405" t="s">
        <v>8025</v>
      </c>
      <c r="BT405" t="str">
        <f>HYPERLINK("https%3A%2F%2Fwww.webofscience.com%2Fwos%2Fwoscc%2Ffull-record%2FWOS:000630026800005","View Full Record in Web of Science")</f>
        <v>View Full Record in Web of Science</v>
      </c>
    </row>
    <row r="406" spans="1:72" x14ac:dyDescent="0.15">
      <c r="A406" t="s">
        <v>72</v>
      </c>
      <c r="B406" t="s">
        <v>8026</v>
      </c>
      <c r="C406" t="s">
        <v>74</v>
      </c>
      <c r="D406" t="s">
        <v>74</v>
      </c>
      <c r="E406" t="s">
        <v>74</v>
      </c>
      <c r="F406" t="s">
        <v>8027</v>
      </c>
      <c r="G406" t="s">
        <v>74</v>
      </c>
      <c r="H406" t="s">
        <v>74</v>
      </c>
      <c r="I406" t="s">
        <v>8028</v>
      </c>
      <c r="J406" t="s">
        <v>7985</v>
      </c>
      <c r="K406" t="s">
        <v>74</v>
      </c>
      <c r="L406" t="s">
        <v>74</v>
      </c>
      <c r="M406" t="s">
        <v>78</v>
      </c>
      <c r="N406" t="s">
        <v>79</v>
      </c>
      <c r="O406" t="s">
        <v>74</v>
      </c>
      <c r="P406" t="s">
        <v>74</v>
      </c>
      <c r="Q406" t="s">
        <v>74</v>
      </c>
      <c r="R406" t="s">
        <v>74</v>
      </c>
      <c r="S406" t="s">
        <v>74</v>
      </c>
      <c r="T406" t="s">
        <v>8029</v>
      </c>
      <c r="U406" t="s">
        <v>74</v>
      </c>
      <c r="V406" t="s">
        <v>8030</v>
      </c>
      <c r="W406" t="s">
        <v>8031</v>
      </c>
      <c r="X406" t="s">
        <v>8032</v>
      </c>
      <c r="Y406" t="s">
        <v>8033</v>
      </c>
      <c r="Z406" t="s">
        <v>8034</v>
      </c>
      <c r="AA406" t="s">
        <v>8035</v>
      </c>
      <c r="AB406" t="s">
        <v>8036</v>
      </c>
      <c r="AC406" t="s">
        <v>74</v>
      </c>
      <c r="AD406" t="s">
        <v>74</v>
      </c>
      <c r="AE406" t="s">
        <v>74</v>
      </c>
      <c r="AF406" t="s">
        <v>74</v>
      </c>
      <c r="AG406">
        <v>38</v>
      </c>
      <c r="AH406">
        <v>4</v>
      </c>
      <c r="AI406">
        <v>4</v>
      </c>
      <c r="AJ406">
        <v>0</v>
      </c>
      <c r="AK406">
        <v>8</v>
      </c>
      <c r="AL406" t="s">
        <v>207</v>
      </c>
      <c r="AM406" t="s">
        <v>473</v>
      </c>
      <c r="AN406" t="s">
        <v>474</v>
      </c>
      <c r="AO406" t="s">
        <v>7994</v>
      </c>
      <c r="AP406" t="s">
        <v>7995</v>
      </c>
      <c r="AQ406" t="s">
        <v>74</v>
      </c>
      <c r="AR406" t="s">
        <v>7996</v>
      </c>
      <c r="AS406" t="s">
        <v>7997</v>
      </c>
      <c r="AT406" t="s">
        <v>374</v>
      </c>
      <c r="AU406">
        <v>2021</v>
      </c>
      <c r="AV406">
        <v>40</v>
      </c>
      <c r="AW406">
        <v>1</v>
      </c>
      <c r="AX406" t="s">
        <v>74</v>
      </c>
      <c r="AY406" t="s">
        <v>74</v>
      </c>
      <c r="AZ406" t="s">
        <v>74</v>
      </c>
      <c r="BA406" t="s">
        <v>74</v>
      </c>
      <c r="BB406">
        <v>126</v>
      </c>
      <c r="BC406">
        <v>134</v>
      </c>
      <c r="BD406" t="s">
        <v>74</v>
      </c>
      <c r="BE406" t="s">
        <v>8037</v>
      </c>
      <c r="BF406" t="str">
        <f>HYPERLINK("http://dx.doi.org/10.1007/s13131-020-1675-0","http://dx.doi.org/10.1007/s13131-020-1675-0")</f>
        <v>http://dx.doi.org/10.1007/s13131-020-1675-0</v>
      </c>
      <c r="BG406" t="s">
        <v>74</v>
      </c>
      <c r="BH406" t="s">
        <v>74</v>
      </c>
      <c r="BI406">
        <v>9</v>
      </c>
      <c r="BJ406" t="s">
        <v>2250</v>
      </c>
      <c r="BK406" t="s">
        <v>103</v>
      </c>
      <c r="BL406" t="s">
        <v>2250</v>
      </c>
      <c r="BM406" t="s">
        <v>7999</v>
      </c>
      <c r="BN406" t="s">
        <v>74</v>
      </c>
      <c r="BO406" t="s">
        <v>74</v>
      </c>
      <c r="BP406" t="s">
        <v>74</v>
      </c>
      <c r="BQ406" t="s">
        <v>74</v>
      </c>
      <c r="BR406" t="s">
        <v>106</v>
      </c>
      <c r="BS406" t="s">
        <v>8038</v>
      </c>
      <c r="BT406" t="str">
        <f>HYPERLINK("https%3A%2F%2Fwww.webofscience.com%2Fwos%2Fwoscc%2Ffull-record%2FWOS:000630026800013","View Full Record in Web of Science")</f>
        <v>View Full Record in Web of Science</v>
      </c>
    </row>
    <row r="407" spans="1:72" x14ac:dyDescent="0.15">
      <c r="A407" t="s">
        <v>72</v>
      </c>
      <c r="B407" t="s">
        <v>8039</v>
      </c>
      <c r="C407" t="s">
        <v>74</v>
      </c>
      <c r="D407" t="s">
        <v>74</v>
      </c>
      <c r="E407" t="s">
        <v>74</v>
      </c>
      <c r="F407" t="s">
        <v>8040</v>
      </c>
      <c r="G407" t="s">
        <v>74</v>
      </c>
      <c r="H407" t="s">
        <v>74</v>
      </c>
      <c r="I407" t="s">
        <v>8041</v>
      </c>
      <c r="J407" t="s">
        <v>8042</v>
      </c>
      <c r="K407" t="s">
        <v>74</v>
      </c>
      <c r="L407" t="s">
        <v>74</v>
      </c>
      <c r="M407" t="s">
        <v>78</v>
      </c>
      <c r="N407" t="s">
        <v>79</v>
      </c>
      <c r="O407" t="s">
        <v>74</v>
      </c>
      <c r="P407" t="s">
        <v>74</v>
      </c>
      <c r="Q407" t="s">
        <v>74</v>
      </c>
      <c r="R407" t="s">
        <v>74</v>
      </c>
      <c r="S407" t="s">
        <v>74</v>
      </c>
      <c r="T407" t="s">
        <v>8043</v>
      </c>
      <c r="U407" t="s">
        <v>74</v>
      </c>
      <c r="V407" t="s">
        <v>8044</v>
      </c>
      <c r="W407" t="s">
        <v>8045</v>
      </c>
      <c r="X407" t="s">
        <v>8046</v>
      </c>
      <c r="Y407" t="s">
        <v>8047</v>
      </c>
      <c r="Z407" t="s">
        <v>8048</v>
      </c>
      <c r="AA407" t="s">
        <v>74</v>
      </c>
      <c r="AB407" t="s">
        <v>74</v>
      </c>
      <c r="AC407" t="s">
        <v>8049</v>
      </c>
      <c r="AD407" t="s">
        <v>8050</v>
      </c>
      <c r="AE407" t="s">
        <v>8051</v>
      </c>
      <c r="AF407" t="s">
        <v>74</v>
      </c>
      <c r="AG407">
        <v>27</v>
      </c>
      <c r="AH407">
        <v>0</v>
      </c>
      <c r="AI407">
        <v>0</v>
      </c>
      <c r="AJ407">
        <v>0</v>
      </c>
      <c r="AK407">
        <v>0</v>
      </c>
      <c r="AL407" t="s">
        <v>92</v>
      </c>
      <c r="AM407" t="s">
        <v>93</v>
      </c>
      <c r="AN407" t="s">
        <v>94</v>
      </c>
      <c r="AO407" t="s">
        <v>8052</v>
      </c>
      <c r="AP407" t="s">
        <v>8053</v>
      </c>
      <c r="AQ407" t="s">
        <v>74</v>
      </c>
      <c r="AR407" t="s">
        <v>8054</v>
      </c>
      <c r="AS407" t="s">
        <v>8055</v>
      </c>
      <c r="AT407" t="s">
        <v>374</v>
      </c>
      <c r="AU407">
        <v>2021</v>
      </c>
      <c r="AV407">
        <v>34</v>
      </c>
      <c r="AW407" t="s">
        <v>74</v>
      </c>
      <c r="AX407" t="s">
        <v>74</v>
      </c>
      <c r="AY407" t="s">
        <v>74</v>
      </c>
      <c r="AZ407" t="s">
        <v>74</v>
      </c>
      <c r="BA407" t="s">
        <v>74</v>
      </c>
      <c r="BB407" t="s">
        <v>74</v>
      </c>
      <c r="BC407" t="s">
        <v>74</v>
      </c>
      <c r="BD407">
        <v>100428</v>
      </c>
      <c r="BE407" t="s">
        <v>8056</v>
      </c>
      <c r="BF407" t="str">
        <f>HYPERLINK("http://dx.doi.org/10.1016/j.ascom.2020.100428","http://dx.doi.org/10.1016/j.ascom.2020.100428")</f>
        <v>http://dx.doi.org/10.1016/j.ascom.2020.100428</v>
      </c>
      <c r="BG407" t="s">
        <v>74</v>
      </c>
      <c r="BH407" t="s">
        <v>74</v>
      </c>
      <c r="BI407">
        <v>9</v>
      </c>
      <c r="BJ407" t="s">
        <v>8057</v>
      </c>
      <c r="BK407" t="s">
        <v>103</v>
      </c>
      <c r="BL407" t="s">
        <v>8058</v>
      </c>
      <c r="BM407" t="s">
        <v>8059</v>
      </c>
      <c r="BN407" t="s">
        <v>74</v>
      </c>
      <c r="BO407" t="s">
        <v>74</v>
      </c>
      <c r="BP407" t="s">
        <v>74</v>
      </c>
      <c r="BQ407" t="s">
        <v>74</v>
      </c>
      <c r="BR407" t="s">
        <v>106</v>
      </c>
      <c r="BS407" t="s">
        <v>8060</v>
      </c>
      <c r="BT407" t="str">
        <f>HYPERLINK("https%3A%2F%2Fwww.webofscience.com%2Fwos%2Fwoscc%2Ffull-record%2FWOS:000624436800007","View Full Record in Web of Science")</f>
        <v>View Full Record in Web of Science</v>
      </c>
    </row>
    <row r="408" spans="1:72" x14ac:dyDescent="0.15">
      <c r="A408" t="s">
        <v>72</v>
      </c>
      <c r="B408" t="s">
        <v>8061</v>
      </c>
      <c r="C408" t="s">
        <v>74</v>
      </c>
      <c r="D408" t="s">
        <v>74</v>
      </c>
      <c r="E408" t="s">
        <v>74</v>
      </c>
      <c r="F408" t="s">
        <v>8062</v>
      </c>
      <c r="G408" t="s">
        <v>74</v>
      </c>
      <c r="H408" t="s">
        <v>74</v>
      </c>
      <c r="I408" t="s">
        <v>8063</v>
      </c>
      <c r="J408" t="s">
        <v>8064</v>
      </c>
      <c r="K408" t="s">
        <v>74</v>
      </c>
      <c r="L408" t="s">
        <v>74</v>
      </c>
      <c r="M408" t="s">
        <v>78</v>
      </c>
      <c r="N408" t="s">
        <v>79</v>
      </c>
      <c r="O408" t="s">
        <v>74</v>
      </c>
      <c r="P408" t="s">
        <v>74</v>
      </c>
      <c r="Q408" t="s">
        <v>74</v>
      </c>
      <c r="R408" t="s">
        <v>74</v>
      </c>
      <c r="S408" t="s">
        <v>74</v>
      </c>
      <c r="T408" t="s">
        <v>8065</v>
      </c>
      <c r="U408" t="s">
        <v>74</v>
      </c>
      <c r="V408" t="s">
        <v>8066</v>
      </c>
      <c r="W408" t="s">
        <v>8067</v>
      </c>
      <c r="X408" t="s">
        <v>8068</v>
      </c>
      <c r="Y408" t="s">
        <v>8069</v>
      </c>
      <c r="Z408" t="s">
        <v>8070</v>
      </c>
      <c r="AA408" t="s">
        <v>8071</v>
      </c>
      <c r="AB408" t="s">
        <v>8072</v>
      </c>
      <c r="AC408" t="s">
        <v>8073</v>
      </c>
      <c r="AD408" t="s">
        <v>8074</v>
      </c>
      <c r="AE408" t="s">
        <v>8075</v>
      </c>
      <c r="AF408" t="s">
        <v>74</v>
      </c>
      <c r="AG408">
        <v>51</v>
      </c>
      <c r="AH408">
        <v>3</v>
      </c>
      <c r="AI408">
        <v>3</v>
      </c>
      <c r="AJ408">
        <v>0</v>
      </c>
      <c r="AK408">
        <v>9</v>
      </c>
      <c r="AL408" t="s">
        <v>8076</v>
      </c>
      <c r="AM408" t="s">
        <v>8077</v>
      </c>
      <c r="AN408" t="s">
        <v>8078</v>
      </c>
      <c r="AO408" t="s">
        <v>8079</v>
      </c>
      <c r="AP408" t="s">
        <v>74</v>
      </c>
      <c r="AQ408" t="s">
        <v>74</v>
      </c>
      <c r="AR408" t="s">
        <v>8080</v>
      </c>
      <c r="AS408" t="s">
        <v>8081</v>
      </c>
      <c r="AT408" t="s">
        <v>74</v>
      </c>
      <c r="AU408">
        <v>2021</v>
      </c>
      <c r="AV408">
        <v>9</v>
      </c>
      <c r="AW408">
        <v>1</v>
      </c>
      <c r="AX408" t="s">
        <v>74</v>
      </c>
      <c r="AY408" t="s">
        <v>74</v>
      </c>
      <c r="AZ408" t="s">
        <v>74</v>
      </c>
      <c r="BA408" t="s">
        <v>74</v>
      </c>
      <c r="BB408" t="s">
        <v>74</v>
      </c>
      <c r="BC408" t="s">
        <v>74</v>
      </c>
      <c r="BD408" t="s">
        <v>74</v>
      </c>
      <c r="BE408" t="s">
        <v>8082</v>
      </c>
      <c r="BF408" t="str">
        <f>HYPERLINK("http://dx.doi.org/10.1525/elementa.2021.00072","http://dx.doi.org/10.1525/elementa.2021.00072")</f>
        <v>http://dx.doi.org/10.1525/elementa.2021.00072</v>
      </c>
      <c r="BG408" t="s">
        <v>74</v>
      </c>
      <c r="BH408" t="s">
        <v>74</v>
      </c>
      <c r="BI408">
        <v>16</v>
      </c>
      <c r="BJ408" t="s">
        <v>132</v>
      </c>
      <c r="BK408" t="s">
        <v>103</v>
      </c>
      <c r="BL408" t="s">
        <v>133</v>
      </c>
      <c r="BM408" t="s">
        <v>8083</v>
      </c>
      <c r="BN408" t="s">
        <v>74</v>
      </c>
      <c r="BO408" t="s">
        <v>246</v>
      </c>
      <c r="BP408" t="s">
        <v>74</v>
      </c>
      <c r="BQ408" t="s">
        <v>74</v>
      </c>
      <c r="BR408" t="s">
        <v>106</v>
      </c>
      <c r="BS408" t="s">
        <v>8084</v>
      </c>
      <c r="BT408" t="str">
        <f>HYPERLINK("https%3A%2F%2Fwww.webofscience.com%2Fwos%2Fwoscc%2Ffull-record%2FWOS:000632683000004","View Full Record in Web of Science")</f>
        <v>View Full Record in Web of Science</v>
      </c>
    </row>
    <row r="409" spans="1:72" x14ac:dyDescent="0.15">
      <c r="A409" t="s">
        <v>72</v>
      </c>
      <c r="B409" t="s">
        <v>8085</v>
      </c>
      <c r="C409" t="s">
        <v>74</v>
      </c>
      <c r="D409" t="s">
        <v>74</v>
      </c>
      <c r="E409" t="s">
        <v>74</v>
      </c>
      <c r="F409" t="s">
        <v>8086</v>
      </c>
      <c r="G409" t="s">
        <v>74</v>
      </c>
      <c r="H409" t="s">
        <v>74</v>
      </c>
      <c r="I409" t="s">
        <v>8087</v>
      </c>
      <c r="J409" t="s">
        <v>8088</v>
      </c>
      <c r="K409" t="s">
        <v>74</v>
      </c>
      <c r="L409" t="s">
        <v>74</v>
      </c>
      <c r="M409" t="s">
        <v>78</v>
      </c>
      <c r="N409" t="s">
        <v>79</v>
      </c>
      <c r="O409" t="s">
        <v>74</v>
      </c>
      <c r="P409" t="s">
        <v>74</v>
      </c>
      <c r="Q409" t="s">
        <v>74</v>
      </c>
      <c r="R409" t="s">
        <v>74</v>
      </c>
      <c r="S409" t="s">
        <v>74</v>
      </c>
      <c r="T409" t="s">
        <v>8089</v>
      </c>
      <c r="U409" t="s">
        <v>74</v>
      </c>
      <c r="V409" t="s">
        <v>8090</v>
      </c>
      <c r="W409" t="s">
        <v>8091</v>
      </c>
      <c r="X409" t="s">
        <v>8092</v>
      </c>
      <c r="Y409" t="s">
        <v>8093</v>
      </c>
      <c r="Z409" t="s">
        <v>8094</v>
      </c>
      <c r="AA409" t="s">
        <v>8095</v>
      </c>
      <c r="AB409" t="s">
        <v>74</v>
      </c>
      <c r="AC409" t="s">
        <v>74</v>
      </c>
      <c r="AD409" t="s">
        <v>74</v>
      </c>
      <c r="AE409" t="s">
        <v>74</v>
      </c>
      <c r="AF409" t="s">
        <v>74</v>
      </c>
      <c r="AG409">
        <v>62</v>
      </c>
      <c r="AH409">
        <v>7</v>
      </c>
      <c r="AI409">
        <v>7</v>
      </c>
      <c r="AJ409">
        <v>2</v>
      </c>
      <c r="AK409">
        <v>15</v>
      </c>
      <c r="AL409" t="s">
        <v>1096</v>
      </c>
      <c r="AM409" t="s">
        <v>1097</v>
      </c>
      <c r="AN409" t="s">
        <v>8096</v>
      </c>
      <c r="AO409" t="s">
        <v>8097</v>
      </c>
      <c r="AP409" t="s">
        <v>8098</v>
      </c>
      <c r="AQ409" t="s">
        <v>74</v>
      </c>
      <c r="AR409" t="s">
        <v>8099</v>
      </c>
      <c r="AS409" t="s">
        <v>8100</v>
      </c>
      <c r="AT409" t="s">
        <v>374</v>
      </c>
      <c r="AU409">
        <v>2021</v>
      </c>
      <c r="AV409">
        <v>39</v>
      </c>
      <c r="AW409">
        <v>1</v>
      </c>
      <c r="AX409" t="s">
        <v>74</v>
      </c>
      <c r="AY409" t="s">
        <v>74</v>
      </c>
      <c r="AZ409" t="s">
        <v>74</v>
      </c>
      <c r="BA409" t="s">
        <v>74</v>
      </c>
      <c r="BB409">
        <v>110</v>
      </c>
      <c r="BC409">
        <v>121</v>
      </c>
      <c r="BD409" t="s">
        <v>74</v>
      </c>
      <c r="BE409" t="s">
        <v>8101</v>
      </c>
      <c r="BF409" t="str">
        <f>HYPERLINK("http://dx.doi.org/10.1007/s00343-020-0007-8","http://dx.doi.org/10.1007/s00343-020-0007-8")</f>
        <v>http://dx.doi.org/10.1007/s00343-020-0007-8</v>
      </c>
      <c r="BG409" t="s">
        <v>74</v>
      </c>
      <c r="BH409" t="s">
        <v>74</v>
      </c>
      <c r="BI409">
        <v>12</v>
      </c>
      <c r="BJ409" t="s">
        <v>8102</v>
      </c>
      <c r="BK409" t="s">
        <v>103</v>
      </c>
      <c r="BL409" t="s">
        <v>3281</v>
      </c>
      <c r="BM409" t="s">
        <v>8103</v>
      </c>
      <c r="BN409" t="s">
        <v>74</v>
      </c>
      <c r="BO409" t="s">
        <v>561</v>
      </c>
      <c r="BP409" t="s">
        <v>74</v>
      </c>
      <c r="BQ409" t="s">
        <v>74</v>
      </c>
      <c r="BR409" t="s">
        <v>106</v>
      </c>
      <c r="BS409" t="s">
        <v>8104</v>
      </c>
      <c r="BT409" t="str">
        <f>HYPERLINK("https%3A%2F%2Fwww.webofscience.com%2Fwos%2Fwoscc%2Ffull-record%2FWOS:000627817300009","View Full Record in Web of Science")</f>
        <v>View Full Record in Web of Science</v>
      </c>
    </row>
    <row r="410" spans="1:72" x14ac:dyDescent="0.15">
      <c r="A410" t="s">
        <v>72</v>
      </c>
      <c r="B410" t="s">
        <v>8105</v>
      </c>
      <c r="C410" t="s">
        <v>74</v>
      </c>
      <c r="D410" t="s">
        <v>74</v>
      </c>
      <c r="E410" t="s">
        <v>74</v>
      </c>
      <c r="F410" t="s">
        <v>8106</v>
      </c>
      <c r="G410" t="s">
        <v>74</v>
      </c>
      <c r="H410" t="s">
        <v>74</v>
      </c>
      <c r="I410" t="s">
        <v>8107</v>
      </c>
      <c r="J410" t="s">
        <v>8108</v>
      </c>
      <c r="K410" t="s">
        <v>74</v>
      </c>
      <c r="L410" t="s">
        <v>74</v>
      </c>
      <c r="M410" t="s">
        <v>78</v>
      </c>
      <c r="N410" t="s">
        <v>79</v>
      </c>
      <c r="O410" t="s">
        <v>74</v>
      </c>
      <c r="P410" t="s">
        <v>74</v>
      </c>
      <c r="Q410" t="s">
        <v>74</v>
      </c>
      <c r="R410" t="s">
        <v>74</v>
      </c>
      <c r="S410" t="s">
        <v>74</v>
      </c>
      <c r="T410" t="s">
        <v>8109</v>
      </c>
      <c r="U410" t="s">
        <v>8110</v>
      </c>
      <c r="V410" t="s">
        <v>8111</v>
      </c>
      <c r="W410" t="s">
        <v>8112</v>
      </c>
      <c r="X410" t="s">
        <v>8113</v>
      </c>
      <c r="Y410" t="s">
        <v>8114</v>
      </c>
      <c r="Z410" t="s">
        <v>8115</v>
      </c>
      <c r="AA410" t="s">
        <v>8116</v>
      </c>
      <c r="AB410" t="s">
        <v>8117</v>
      </c>
      <c r="AC410" t="s">
        <v>74</v>
      </c>
      <c r="AD410" t="s">
        <v>74</v>
      </c>
      <c r="AE410" t="s">
        <v>74</v>
      </c>
      <c r="AF410" t="s">
        <v>74</v>
      </c>
      <c r="AG410">
        <v>36</v>
      </c>
      <c r="AH410">
        <v>3</v>
      </c>
      <c r="AI410">
        <v>3</v>
      </c>
      <c r="AJ410">
        <v>0</v>
      </c>
      <c r="AK410">
        <v>6</v>
      </c>
      <c r="AL410" t="s">
        <v>8118</v>
      </c>
      <c r="AM410" t="s">
        <v>8119</v>
      </c>
      <c r="AN410" t="s">
        <v>8120</v>
      </c>
      <c r="AO410" t="s">
        <v>8121</v>
      </c>
      <c r="AP410" t="s">
        <v>8122</v>
      </c>
      <c r="AQ410" t="s">
        <v>74</v>
      </c>
      <c r="AR410" t="s">
        <v>8108</v>
      </c>
      <c r="AS410" t="s">
        <v>8108</v>
      </c>
      <c r="AT410" t="s">
        <v>74</v>
      </c>
      <c r="AU410">
        <v>2021</v>
      </c>
      <c r="AV410">
        <v>68</v>
      </c>
      <c r="AW410">
        <v>1</v>
      </c>
      <c r="AX410" t="s">
        <v>74</v>
      </c>
      <c r="AY410" t="s">
        <v>74</v>
      </c>
      <c r="AZ410" t="s">
        <v>74</v>
      </c>
      <c r="BA410" t="s">
        <v>74</v>
      </c>
      <c r="BB410">
        <v>37</v>
      </c>
      <c r="BC410">
        <v>50</v>
      </c>
      <c r="BD410" t="s">
        <v>74</v>
      </c>
      <c r="BE410" t="s">
        <v>74</v>
      </c>
      <c r="BF410" t="s">
        <v>74</v>
      </c>
      <c r="BG410" t="s">
        <v>74</v>
      </c>
      <c r="BH410" t="s">
        <v>74</v>
      </c>
      <c r="BI410">
        <v>14</v>
      </c>
      <c r="BJ410" t="s">
        <v>1027</v>
      </c>
      <c r="BK410" t="s">
        <v>103</v>
      </c>
      <c r="BL410" t="s">
        <v>1028</v>
      </c>
      <c r="BM410" t="s">
        <v>8123</v>
      </c>
      <c r="BN410" t="s">
        <v>74</v>
      </c>
      <c r="BO410" t="s">
        <v>74</v>
      </c>
      <c r="BP410" t="s">
        <v>74</v>
      </c>
      <c r="BQ410" t="s">
        <v>74</v>
      </c>
      <c r="BR410" t="s">
        <v>106</v>
      </c>
      <c r="BS410" t="s">
        <v>8124</v>
      </c>
      <c r="BT410" t="str">
        <f>HYPERLINK("https%3A%2F%2Fwww.webofscience.com%2Fwos%2Fwoscc%2Ffull-record%2FWOS:000629184800004","View Full Record in Web of Science")</f>
        <v>View Full Record in Web of Science</v>
      </c>
    </row>
    <row r="411" spans="1:72" x14ac:dyDescent="0.15">
      <c r="A411" t="s">
        <v>72</v>
      </c>
      <c r="B411" t="s">
        <v>8125</v>
      </c>
      <c r="C411" t="s">
        <v>74</v>
      </c>
      <c r="D411" t="s">
        <v>74</v>
      </c>
      <c r="E411" t="s">
        <v>74</v>
      </c>
      <c r="F411" t="s">
        <v>8126</v>
      </c>
      <c r="G411" t="s">
        <v>74</v>
      </c>
      <c r="H411" t="s">
        <v>74</v>
      </c>
      <c r="I411" t="s">
        <v>8127</v>
      </c>
      <c r="J411" t="s">
        <v>8128</v>
      </c>
      <c r="K411" t="s">
        <v>74</v>
      </c>
      <c r="L411" t="s">
        <v>74</v>
      </c>
      <c r="M411" t="s">
        <v>78</v>
      </c>
      <c r="N411" t="s">
        <v>79</v>
      </c>
      <c r="O411" t="s">
        <v>74</v>
      </c>
      <c r="P411" t="s">
        <v>74</v>
      </c>
      <c r="Q411" t="s">
        <v>74</v>
      </c>
      <c r="R411" t="s">
        <v>74</v>
      </c>
      <c r="S411" t="s">
        <v>74</v>
      </c>
      <c r="T411" t="s">
        <v>8129</v>
      </c>
      <c r="U411" t="s">
        <v>74</v>
      </c>
      <c r="V411" t="s">
        <v>8130</v>
      </c>
      <c r="W411" t="s">
        <v>8131</v>
      </c>
      <c r="X411" t="s">
        <v>5477</v>
      </c>
      <c r="Y411" t="s">
        <v>8132</v>
      </c>
      <c r="Z411" t="s">
        <v>8133</v>
      </c>
      <c r="AA411" t="s">
        <v>74</v>
      </c>
      <c r="AB411" t="s">
        <v>74</v>
      </c>
      <c r="AC411" t="s">
        <v>74</v>
      </c>
      <c r="AD411" t="s">
        <v>74</v>
      </c>
      <c r="AE411" t="s">
        <v>74</v>
      </c>
      <c r="AF411" t="s">
        <v>74</v>
      </c>
      <c r="AG411">
        <v>25</v>
      </c>
      <c r="AH411">
        <v>0</v>
      </c>
      <c r="AI411">
        <v>0</v>
      </c>
      <c r="AJ411">
        <v>0</v>
      </c>
      <c r="AK411">
        <v>3</v>
      </c>
      <c r="AL411" t="s">
        <v>6635</v>
      </c>
      <c r="AM411" t="s">
        <v>473</v>
      </c>
      <c r="AN411" t="s">
        <v>6636</v>
      </c>
      <c r="AO411" t="s">
        <v>8134</v>
      </c>
      <c r="AP411" t="s">
        <v>8135</v>
      </c>
      <c r="AQ411" t="s">
        <v>74</v>
      </c>
      <c r="AR411" t="s">
        <v>8136</v>
      </c>
      <c r="AS411" t="s">
        <v>8137</v>
      </c>
      <c r="AT411" t="s">
        <v>374</v>
      </c>
      <c r="AU411">
        <v>2021</v>
      </c>
      <c r="AV411">
        <v>63</v>
      </c>
      <c r="AW411">
        <v>1</v>
      </c>
      <c r="AX411" t="s">
        <v>74</v>
      </c>
      <c r="AY411" t="s">
        <v>74</v>
      </c>
      <c r="AZ411" t="s">
        <v>74</v>
      </c>
      <c r="BA411" t="s">
        <v>74</v>
      </c>
      <c r="BB411">
        <v>127</v>
      </c>
      <c r="BC411">
        <v>132</v>
      </c>
      <c r="BD411" t="s">
        <v>74</v>
      </c>
      <c r="BE411" t="s">
        <v>8138</v>
      </c>
      <c r="BF411" t="str">
        <f>HYPERLINK("http://dx.doi.org/10.1134/S1066362221010185","http://dx.doi.org/10.1134/S1066362221010185")</f>
        <v>http://dx.doi.org/10.1134/S1066362221010185</v>
      </c>
      <c r="BG411" t="s">
        <v>74</v>
      </c>
      <c r="BH411" t="s">
        <v>74</v>
      </c>
      <c r="BI411">
        <v>6</v>
      </c>
      <c r="BJ411" t="s">
        <v>8139</v>
      </c>
      <c r="BK411" t="s">
        <v>3050</v>
      </c>
      <c r="BL411" t="s">
        <v>639</v>
      </c>
      <c r="BM411" t="s">
        <v>8140</v>
      </c>
      <c r="BN411" t="s">
        <v>74</v>
      </c>
      <c r="BO411" t="s">
        <v>74</v>
      </c>
      <c r="BP411" t="s">
        <v>74</v>
      </c>
      <c r="BQ411" t="s">
        <v>74</v>
      </c>
      <c r="BR411" t="s">
        <v>106</v>
      </c>
      <c r="BS411" t="s">
        <v>8141</v>
      </c>
      <c r="BT411" t="str">
        <f>HYPERLINK("https%3A%2F%2Fwww.webofscience.com%2Fwos%2Fwoscc%2Ffull-record%2FWOS:000626048600018","View Full Record in Web of Science")</f>
        <v>View Full Record in Web of Science</v>
      </c>
    </row>
    <row r="412" spans="1:72" x14ac:dyDescent="0.15">
      <c r="A412" t="s">
        <v>72</v>
      </c>
      <c r="B412" t="s">
        <v>8142</v>
      </c>
      <c r="C412" t="s">
        <v>74</v>
      </c>
      <c r="D412" t="s">
        <v>74</v>
      </c>
      <c r="E412" t="s">
        <v>74</v>
      </c>
      <c r="F412" t="s">
        <v>8143</v>
      </c>
      <c r="G412" t="s">
        <v>74</v>
      </c>
      <c r="H412" t="s">
        <v>74</v>
      </c>
      <c r="I412" t="s">
        <v>8144</v>
      </c>
      <c r="J412" t="s">
        <v>8145</v>
      </c>
      <c r="K412" t="s">
        <v>74</v>
      </c>
      <c r="L412" t="s">
        <v>74</v>
      </c>
      <c r="M412" t="s">
        <v>78</v>
      </c>
      <c r="N412" t="s">
        <v>79</v>
      </c>
      <c r="O412" t="s">
        <v>74</v>
      </c>
      <c r="P412" t="s">
        <v>74</v>
      </c>
      <c r="Q412" t="s">
        <v>74</v>
      </c>
      <c r="R412" t="s">
        <v>74</v>
      </c>
      <c r="S412" t="s">
        <v>74</v>
      </c>
      <c r="T412" t="s">
        <v>8146</v>
      </c>
      <c r="U412" t="s">
        <v>74</v>
      </c>
      <c r="V412" t="s">
        <v>8147</v>
      </c>
      <c r="W412" t="s">
        <v>8148</v>
      </c>
      <c r="X412" t="s">
        <v>8149</v>
      </c>
      <c r="Y412" t="s">
        <v>8150</v>
      </c>
      <c r="Z412" t="s">
        <v>8151</v>
      </c>
      <c r="AA412" t="s">
        <v>8152</v>
      </c>
      <c r="AB412" t="s">
        <v>8153</v>
      </c>
      <c r="AC412" t="s">
        <v>8154</v>
      </c>
      <c r="AD412" t="s">
        <v>8155</v>
      </c>
      <c r="AE412" t="s">
        <v>8156</v>
      </c>
      <c r="AF412" t="s">
        <v>74</v>
      </c>
      <c r="AG412">
        <v>86</v>
      </c>
      <c r="AH412">
        <v>10</v>
      </c>
      <c r="AI412">
        <v>10</v>
      </c>
      <c r="AJ412">
        <v>1</v>
      </c>
      <c r="AK412">
        <v>5</v>
      </c>
      <c r="AL412" t="s">
        <v>1291</v>
      </c>
      <c r="AM412" t="s">
        <v>629</v>
      </c>
      <c r="AN412" t="s">
        <v>1292</v>
      </c>
      <c r="AO412" t="s">
        <v>8157</v>
      </c>
      <c r="AP412" t="s">
        <v>8158</v>
      </c>
      <c r="AQ412" t="s">
        <v>74</v>
      </c>
      <c r="AR412" t="s">
        <v>8159</v>
      </c>
      <c r="AS412" t="s">
        <v>8160</v>
      </c>
      <c r="AT412" t="s">
        <v>374</v>
      </c>
      <c r="AU412">
        <v>2021</v>
      </c>
      <c r="AV412">
        <v>126</v>
      </c>
      <c r="AW412">
        <v>1</v>
      </c>
      <c r="AX412" t="s">
        <v>74</v>
      </c>
      <c r="AY412" t="s">
        <v>74</v>
      </c>
      <c r="AZ412" t="s">
        <v>74</v>
      </c>
      <c r="BA412" t="s">
        <v>74</v>
      </c>
      <c r="BB412" t="s">
        <v>74</v>
      </c>
      <c r="BC412" t="s">
        <v>74</v>
      </c>
      <c r="BD412" t="s">
        <v>8161</v>
      </c>
      <c r="BE412" t="s">
        <v>8162</v>
      </c>
      <c r="BF412" t="str">
        <f>HYPERLINK("http://dx.doi.org/10.1029/2020JA028403","http://dx.doi.org/10.1029/2020JA028403")</f>
        <v>http://dx.doi.org/10.1029/2020JA028403</v>
      </c>
      <c r="BG412" t="s">
        <v>74</v>
      </c>
      <c r="BH412" t="s">
        <v>74</v>
      </c>
      <c r="BI412">
        <v>14</v>
      </c>
      <c r="BJ412" t="s">
        <v>3258</v>
      </c>
      <c r="BK412" t="s">
        <v>103</v>
      </c>
      <c r="BL412" t="s">
        <v>3258</v>
      </c>
      <c r="BM412" t="s">
        <v>8163</v>
      </c>
      <c r="BN412" t="s">
        <v>74</v>
      </c>
      <c r="BO412" t="s">
        <v>8164</v>
      </c>
      <c r="BP412" t="s">
        <v>74</v>
      </c>
      <c r="BQ412" t="s">
        <v>74</v>
      </c>
      <c r="BR412" t="s">
        <v>106</v>
      </c>
      <c r="BS412" t="s">
        <v>8165</v>
      </c>
      <c r="BT412" t="str">
        <f>HYPERLINK("https%3A%2F%2Fwww.webofscience.com%2Fwos%2Fwoscc%2Ffull-record%2FWOS:000631963300038","View Full Record in Web of Science")</f>
        <v>View Full Record in Web of Science</v>
      </c>
    </row>
    <row r="413" spans="1:72" x14ac:dyDescent="0.15">
      <c r="A413" t="s">
        <v>72</v>
      </c>
      <c r="B413" t="s">
        <v>8166</v>
      </c>
      <c r="C413" t="s">
        <v>74</v>
      </c>
      <c r="D413" t="s">
        <v>74</v>
      </c>
      <c r="E413" t="s">
        <v>74</v>
      </c>
      <c r="F413" t="s">
        <v>8167</v>
      </c>
      <c r="G413" t="s">
        <v>74</v>
      </c>
      <c r="H413" t="s">
        <v>74</v>
      </c>
      <c r="I413" t="s">
        <v>8168</v>
      </c>
      <c r="J413" t="s">
        <v>8145</v>
      </c>
      <c r="K413" t="s">
        <v>74</v>
      </c>
      <c r="L413" t="s">
        <v>74</v>
      </c>
      <c r="M413" t="s">
        <v>78</v>
      </c>
      <c r="N413" t="s">
        <v>79</v>
      </c>
      <c r="O413" t="s">
        <v>74</v>
      </c>
      <c r="P413" t="s">
        <v>74</v>
      </c>
      <c r="Q413" t="s">
        <v>74</v>
      </c>
      <c r="R413" t="s">
        <v>74</v>
      </c>
      <c r="S413" t="s">
        <v>74</v>
      </c>
      <c r="T413" t="s">
        <v>8169</v>
      </c>
      <c r="U413" t="s">
        <v>8170</v>
      </c>
      <c r="V413" t="s">
        <v>8171</v>
      </c>
      <c r="W413" t="s">
        <v>8172</v>
      </c>
      <c r="X413" t="s">
        <v>5477</v>
      </c>
      <c r="Y413" t="s">
        <v>8173</v>
      </c>
      <c r="Z413" t="s">
        <v>6633</v>
      </c>
      <c r="AA413" t="s">
        <v>8174</v>
      </c>
      <c r="AB413" t="s">
        <v>8175</v>
      </c>
      <c r="AC413" t="s">
        <v>8176</v>
      </c>
      <c r="AD413" t="s">
        <v>5458</v>
      </c>
      <c r="AE413" t="s">
        <v>8177</v>
      </c>
      <c r="AF413" t="s">
        <v>74</v>
      </c>
      <c r="AG413">
        <v>72</v>
      </c>
      <c r="AH413">
        <v>7</v>
      </c>
      <c r="AI413">
        <v>7</v>
      </c>
      <c r="AJ413">
        <v>0</v>
      </c>
      <c r="AK413">
        <v>8</v>
      </c>
      <c r="AL413" t="s">
        <v>1291</v>
      </c>
      <c r="AM413" t="s">
        <v>629</v>
      </c>
      <c r="AN413" t="s">
        <v>1292</v>
      </c>
      <c r="AO413" t="s">
        <v>8157</v>
      </c>
      <c r="AP413" t="s">
        <v>8158</v>
      </c>
      <c r="AQ413" t="s">
        <v>74</v>
      </c>
      <c r="AR413" t="s">
        <v>8159</v>
      </c>
      <c r="AS413" t="s">
        <v>8160</v>
      </c>
      <c r="AT413" t="s">
        <v>374</v>
      </c>
      <c r="AU413">
        <v>2021</v>
      </c>
      <c r="AV413">
        <v>126</v>
      </c>
      <c r="AW413">
        <v>1</v>
      </c>
      <c r="AX413" t="s">
        <v>74</v>
      </c>
      <c r="AY413" t="s">
        <v>74</v>
      </c>
      <c r="AZ413" t="s">
        <v>74</v>
      </c>
      <c r="BA413" t="s">
        <v>74</v>
      </c>
      <c r="BB413" t="s">
        <v>74</v>
      </c>
      <c r="BC413" t="s">
        <v>74</v>
      </c>
      <c r="BD413" t="s">
        <v>8178</v>
      </c>
      <c r="BE413" t="s">
        <v>8179</v>
      </c>
      <c r="BF413" t="str">
        <f>HYPERLINK("http://dx.doi.org/10.1029/2020JA028491","http://dx.doi.org/10.1029/2020JA028491")</f>
        <v>http://dx.doi.org/10.1029/2020JA028491</v>
      </c>
      <c r="BG413" t="s">
        <v>74</v>
      </c>
      <c r="BH413" t="s">
        <v>74</v>
      </c>
      <c r="BI413">
        <v>12</v>
      </c>
      <c r="BJ413" t="s">
        <v>3258</v>
      </c>
      <c r="BK413" t="s">
        <v>103</v>
      </c>
      <c r="BL413" t="s">
        <v>3258</v>
      </c>
      <c r="BM413" t="s">
        <v>8163</v>
      </c>
      <c r="BN413" t="s">
        <v>74</v>
      </c>
      <c r="BO413" t="s">
        <v>74</v>
      </c>
      <c r="BP413" t="s">
        <v>74</v>
      </c>
      <c r="BQ413" t="s">
        <v>74</v>
      </c>
      <c r="BR413" t="s">
        <v>106</v>
      </c>
      <c r="BS413" t="s">
        <v>8180</v>
      </c>
      <c r="BT413" t="str">
        <f>HYPERLINK("https%3A%2F%2Fwww.webofscience.com%2Fwos%2Fwoscc%2Ffull-record%2FWOS:000631963300006","View Full Record in Web of Science")</f>
        <v>View Full Record in Web of Science</v>
      </c>
    </row>
    <row r="414" spans="1:72" x14ac:dyDescent="0.15">
      <c r="A414" t="s">
        <v>72</v>
      </c>
      <c r="B414" t="s">
        <v>8181</v>
      </c>
      <c r="C414" t="s">
        <v>74</v>
      </c>
      <c r="D414" t="s">
        <v>74</v>
      </c>
      <c r="E414" t="s">
        <v>74</v>
      </c>
      <c r="F414" t="s">
        <v>8182</v>
      </c>
      <c r="G414" t="s">
        <v>74</v>
      </c>
      <c r="H414" t="s">
        <v>74</v>
      </c>
      <c r="I414" t="s">
        <v>8183</v>
      </c>
      <c r="J414" t="s">
        <v>8184</v>
      </c>
      <c r="K414" t="s">
        <v>74</v>
      </c>
      <c r="L414" t="s">
        <v>74</v>
      </c>
      <c r="M414" t="s">
        <v>78</v>
      </c>
      <c r="N414" t="s">
        <v>79</v>
      </c>
      <c r="O414" t="s">
        <v>74</v>
      </c>
      <c r="P414" t="s">
        <v>74</v>
      </c>
      <c r="Q414" t="s">
        <v>74</v>
      </c>
      <c r="R414" t="s">
        <v>74</v>
      </c>
      <c r="S414" t="s">
        <v>74</v>
      </c>
      <c r="T414" t="s">
        <v>8185</v>
      </c>
      <c r="U414" t="s">
        <v>8186</v>
      </c>
      <c r="V414" t="s">
        <v>8187</v>
      </c>
      <c r="W414" t="s">
        <v>8188</v>
      </c>
      <c r="X414" t="s">
        <v>8189</v>
      </c>
      <c r="Y414" t="s">
        <v>8190</v>
      </c>
      <c r="Z414" t="s">
        <v>8191</v>
      </c>
      <c r="AA414" t="s">
        <v>8192</v>
      </c>
      <c r="AB414" t="s">
        <v>8193</v>
      </c>
      <c r="AC414" t="s">
        <v>8194</v>
      </c>
      <c r="AD414" t="s">
        <v>8195</v>
      </c>
      <c r="AE414" t="s">
        <v>8196</v>
      </c>
      <c r="AF414" t="s">
        <v>74</v>
      </c>
      <c r="AG414">
        <v>46</v>
      </c>
      <c r="AH414">
        <v>10</v>
      </c>
      <c r="AI414">
        <v>10</v>
      </c>
      <c r="AJ414">
        <v>2</v>
      </c>
      <c r="AK414">
        <v>9</v>
      </c>
      <c r="AL414" t="s">
        <v>8197</v>
      </c>
      <c r="AM414" t="s">
        <v>8198</v>
      </c>
      <c r="AN414" t="s">
        <v>8199</v>
      </c>
      <c r="AO414" t="s">
        <v>8200</v>
      </c>
      <c r="AP414" t="s">
        <v>8201</v>
      </c>
      <c r="AQ414" t="s">
        <v>74</v>
      </c>
      <c r="AR414" t="s">
        <v>8202</v>
      </c>
      <c r="AS414" t="s">
        <v>8203</v>
      </c>
      <c r="AT414" t="s">
        <v>74</v>
      </c>
      <c r="AU414">
        <v>2021</v>
      </c>
      <c r="AV414">
        <v>11</v>
      </c>
      <c r="AW414">
        <v>2</v>
      </c>
      <c r="AX414" t="s">
        <v>74</v>
      </c>
      <c r="AY414" t="s">
        <v>74</v>
      </c>
      <c r="AZ414" t="s">
        <v>74</v>
      </c>
      <c r="BA414" t="s">
        <v>74</v>
      </c>
      <c r="BB414">
        <v>1</v>
      </c>
      <c r="BC414">
        <v>23</v>
      </c>
      <c r="BD414" t="s">
        <v>74</v>
      </c>
      <c r="BE414" t="s">
        <v>8204</v>
      </c>
      <c r="BF414" t="str">
        <f>HYPERLINK("http://dx.doi.org/10.1615/Int.J.UncertaintyQuantification.2020032674","http://dx.doi.org/10.1615/Int.J.UncertaintyQuantification.2020032674")</f>
        <v>http://dx.doi.org/10.1615/Int.J.UncertaintyQuantification.2020032674</v>
      </c>
      <c r="BG414" t="s">
        <v>74</v>
      </c>
      <c r="BH414" t="s">
        <v>74</v>
      </c>
      <c r="BI414">
        <v>23</v>
      </c>
      <c r="BJ414" t="s">
        <v>8205</v>
      </c>
      <c r="BK414" t="s">
        <v>103</v>
      </c>
      <c r="BL414" t="s">
        <v>8206</v>
      </c>
      <c r="BM414" t="s">
        <v>8207</v>
      </c>
      <c r="BN414" t="s">
        <v>74</v>
      </c>
      <c r="BO414" t="s">
        <v>1220</v>
      </c>
      <c r="BP414" t="s">
        <v>74</v>
      </c>
      <c r="BQ414" t="s">
        <v>74</v>
      </c>
      <c r="BR414" t="s">
        <v>106</v>
      </c>
      <c r="BS414" t="s">
        <v>8208</v>
      </c>
      <c r="BT414" t="str">
        <f>HYPERLINK("https%3A%2F%2Fwww.webofscience.com%2Fwos%2Fwoscc%2Ffull-record%2FWOS:000628530200001","View Full Record in Web of Science")</f>
        <v>View Full Record in Web of Science</v>
      </c>
    </row>
    <row r="415" spans="1:72" x14ac:dyDescent="0.15">
      <c r="A415" t="s">
        <v>72</v>
      </c>
      <c r="B415" t="s">
        <v>8209</v>
      </c>
      <c r="C415" t="s">
        <v>74</v>
      </c>
      <c r="D415" t="s">
        <v>74</v>
      </c>
      <c r="E415" t="s">
        <v>74</v>
      </c>
      <c r="F415" t="s">
        <v>8210</v>
      </c>
      <c r="G415" t="s">
        <v>74</v>
      </c>
      <c r="H415" t="s">
        <v>74</v>
      </c>
      <c r="I415" t="s">
        <v>8211</v>
      </c>
      <c r="J415" t="s">
        <v>8212</v>
      </c>
      <c r="K415" t="s">
        <v>74</v>
      </c>
      <c r="L415" t="s">
        <v>74</v>
      </c>
      <c r="M415" t="s">
        <v>78</v>
      </c>
      <c r="N415" t="s">
        <v>79</v>
      </c>
      <c r="O415" t="s">
        <v>74</v>
      </c>
      <c r="P415" t="s">
        <v>74</v>
      </c>
      <c r="Q415" t="s">
        <v>74</v>
      </c>
      <c r="R415" t="s">
        <v>74</v>
      </c>
      <c r="S415" t="s">
        <v>74</v>
      </c>
      <c r="T415" t="s">
        <v>8213</v>
      </c>
      <c r="U415" t="s">
        <v>74</v>
      </c>
      <c r="V415" t="s">
        <v>8214</v>
      </c>
      <c r="W415" t="s">
        <v>8215</v>
      </c>
      <c r="X415" t="s">
        <v>8216</v>
      </c>
      <c r="Y415" t="s">
        <v>8217</v>
      </c>
      <c r="Z415" t="s">
        <v>8218</v>
      </c>
      <c r="AA415" t="s">
        <v>74</v>
      </c>
      <c r="AB415" t="s">
        <v>74</v>
      </c>
      <c r="AC415" t="s">
        <v>8219</v>
      </c>
      <c r="AD415" t="s">
        <v>8220</v>
      </c>
      <c r="AE415" t="s">
        <v>8221</v>
      </c>
      <c r="AF415" t="s">
        <v>74</v>
      </c>
      <c r="AG415">
        <v>16</v>
      </c>
      <c r="AH415">
        <v>13</v>
      </c>
      <c r="AI415">
        <v>13</v>
      </c>
      <c r="AJ415">
        <v>4</v>
      </c>
      <c r="AK415">
        <v>22</v>
      </c>
      <c r="AL415" t="s">
        <v>7510</v>
      </c>
      <c r="AM415" t="s">
        <v>473</v>
      </c>
      <c r="AN415" t="s">
        <v>7511</v>
      </c>
      <c r="AO415" t="s">
        <v>8222</v>
      </c>
      <c r="AP415" t="s">
        <v>8223</v>
      </c>
      <c r="AQ415" t="s">
        <v>74</v>
      </c>
      <c r="AR415" t="s">
        <v>8224</v>
      </c>
      <c r="AS415" t="s">
        <v>8225</v>
      </c>
      <c r="AT415" t="s">
        <v>374</v>
      </c>
      <c r="AU415">
        <v>2021</v>
      </c>
      <c r="AV415">
        <v>496</v>
      </c>
      <c r="AW415">
        <v>1</v>
      </c>
      <c r="AX415" t="s">
        <v>74</v>
      </c>
      <c r="AY415" t="s">
        <v>74</v>
      </c>
      <c r="AZ415" t="s">
        <v>74</v>
      </c>
      <c r="BA415" t="s">
        <v>74</v>
      </c>
      <c r="BB415">
        <v>66</v>
      </c>
      <c r="BC415">
        <v>71</v>
      </c>
      <c r="BD415" t="s">
        <v>74</v>
      </c>
      <c r="BE415" t="s">
        <v>8226</v>
      </c>
      <c r="BF415" t="str">
        <f>HYPERLINK("http://dx.doi.org/10.1134/S1028334X21010153","http://dx.doi.org/10.1134/S1028334X21010153")</f>
        <v>http://dx.doi.org/10.1134/S1028334X21010153</v>
      </c>
      <c r="BG415" t="s">
        <v>74</v>
      </c>
      <c r="BH415" t="s">
        <v>74</v>
      </c>
      <c r="BI415">
        <v>6</v>
      </c>
      <c r="BJ415" t="s">
        <v>401</v>
      </c>
      <c r="BK415" t="s">
        <v>103</v>
      </c>
      <c r="BL415" t="s">
        <v>402</v>
      </c>
      <c r="BM415" t="s">
        <v>8227</v>
      </c>
      <c r="BN415" t="s">
        <v>74</v>
      </c>
      <c r="BO415" t="s">
        <v>218</v>
      </c>
      <c r="BP415" t="s">
        <v>74</v>
      </c>
      <c r="BQ415" t="s">
        <v>74</v>
      </c>
      <c r="BR415" t="s">
        <v>106</v>
      </c>
      <c r="BS415" t="s">
        <v>8228</v>
      </c>
      <c r="BT415" t="str">
        <f>HYPERLINK("https%3A%2F%2Fwww.webofscience.com%2Fwos%2Fwoscc%2Ffull-record%2FWOS:000625488500013","View Full Record in Web of Science")</f>
        <v>View Full Record in Web of Science</v>
      </c>
    </row>
    <row r="416" spans="1:72" x14ac:dyDescent="0.15">
      <c r="A416" t="s">
        <v>72</v>
      </c>
      <c r="B416" t="s">
        <v>8229</v>
      </c>
      <c r="C416" t="s">
        <v>74</v>
      </c>
      <c r="D416" t="s">
        <v>74</v>
      </c>
      <c r="E416" t="s">
        <v>74</v>
      </c>
      <c r="F416" t="s">
        <v>8230</v>
      </c>
      <c r="G416" t="s">
        <v>74</v>
      </c>
      <c r="H416" t="s">
        <v>74</v>
      </c>
      <c r="I416" t="s">
        <v>8231</v>
      </c>
      <c r="J416" t="s">
        <v>8212</v>
      </c>
      <c r="K416" t="s">
        <v>74</v>
      </c>
      <c r="L416" t="s">
        <v>74</v>
      </c>
      <c r="M416" t="s">
        <v>78</v>
      </c>
      <c r="N416" t="s">
        <v>79</v>
      </c>
      <c r="O416" t="s">
        <v>74</v>
      </c>
      <c r="P416" t="s">
        <v>74</v>
      </c>
      <c r="Q416" t="s">
        <v>74</v>
      </c>
      <c r="R416" t="s">
        <v>74</v>
      </c>
      <c r="S416" t="s">
        <v>74</v>
      </c>
      <c r="T416" t="s">
        <v>8232</v>
      </c>
      <c r="U416" t="s">
        <v>74</v>
      </c>
      <c r="V416" t="s">
        <v>8233</v>
      </c>
      <c r="W416" t="s">
        <v>8234</v>
      </c>
      <c r="X416" t="s">
        <v>8235</v>
      </c>
      <c r="Y416" t="s">
        <v>8236</v>
      </c>
      <c r="Z416" t="s">
        <v>8237</v>
      </c>
      <c r="AA416" t="s">
        <v>8238</v>
      </c>
      <c r="AB416" t="s">
        <v>8239</v>
      </c>
      <c r="AC416" t="s">
        <v>8240</v>
      </c>
      <c r="AD416" t="s">
        <v>8241</v>
      </c>
      <c r="AE416" t="s">
        <v>8242</v>
      </c>
      <c r="AF416" t="s">
        <v>74</v>
      </c>
      <c r="AG416">
        <v>10</v>
      </c>
      <c r="AH416">
        <v>13</v>
      </c>
      <c r="AI416">
        <v>13</v>
      </c>
      <c r="AJ416">
        <v>0</v>
      </c>
      <c r="AK416">
        <v>4</v>
      </c>
      <c r="AL416" t="s">
        <v>7510</v>
      </c>
      <c r="AM416" t="s">
        <v>473</v>
      </c>
      <c r="AN416" t="s">
        <v>7511</v>
      </c>
      <c r="AO416" t="s">
        <v>8222</v>
      </c>
      <c r="AP416" t="s">
        <v>8223</v>
      </c>
      <c r="AQ416" t="s">
        <v>74</v>
      </c>
      <c r="AR416" t="s">
        <v>8224</v>
      </c>
      <c r="AS416" t="s">
        <v>8225</v>
      </c>
      <c r="AT416" t="s">
        <v>374</v>
      </c>
      <c r="AU416">
        <v>2021</v>
      </c>
      <c r="AV416">
        <v>496</v>
      </c>
      <c r="AW416">
        <v>1</v>
      </c>
      <c r="AX416" t="s">
        <v>74</v>
      </c>
      <c r="AY416" t="s">
        <v>74</v>
      </c>
      <c r="AZ416" t="s">
        <v>74</v>
      </c>
      <c r="BA416" t="s">
        <v>74</v>
      </c>
      <c r="BB416">
        <v>92</v>
      </c>
      <c r="BC416">
        <v>95</v>
      </c>
      <c r="BD416" t="s">
        <v>74</v>
      </c>
      <c r="BE416" t="s">
        <v>8243</v>
      </c>
      <c r="BF416" t="str">
        <f>HYPERLINK("http://dx.doi.org/10.1134/S1028334X21010116","http://dx.doi.org/10.1134/S1028334X21010116")</f>
        <v>http://dx.doi.org/10.1134/S1028334X21010116</v>
      </c>
      <c r="BG416" t="s">
        <v>74</v>
      </c>
      <c r="BH416" t="s">
        <v>74</v>
      </c>
      <c r="BI416">
        <v>4</v>
      </c>
      <c r="BJ416" t="s">
        <v>401</v>
      </c>
      <c r="BK416" t="s">
        <v>103</v>
      </c>
      <c r="BL416" t="s">
        <v>402</v>
      </c>
      <c r="BM416" t="s">
        <v>8227</v>
      </c>
      <c r="BN416" t="s">
        <v>74</v>
      </c>
      <c r="BO416" t="s">
        <v>74</v>
      </c>
      <c r="BP416" t="s">
        <v>74</v>
      </c>
      <c r="BQ416" t="s">
        <v>74</v>
      </c>
      <c r="BR416" t="s">
        <v>106</v>
      </c>
      <c r="BS416" t="s">
        <v>8244</v>
      </c>
      <c r="BT416" t="str">
        <f>HYPERLINK("https%3A%2F%2Fwww.webofscience.com%2Fwos%2Fwoscc%2Ffull-record%2FWOS:000625488500018","View Full Record in Web of Science")</f>
        <v>View Full Record in Web of Science</v>
      </c>
    </row>
    <row r="417" spans="1:72" x14ac:dyDescent="0.15">
      <c r="A417" t="s">
        <v>72</v>
      </c>
      <c r="B417" t="s">
        <v>8245</v>
      </c>
      <c r="C417" t="s">
        <v>74</v>
      </c>
      <c r="D417" t="s">
        <v>74</v>
      </c>
      <c r="E417" t="s">
        <v>74</v>
      </c>
      <c r="F417" t="s">
        <v>8246</v>
      </c>
      <c r="G417" t="s">
        <v>74</v>
      </c>
      <c r="H417" t="s">
        <v>74</v>
      </c>
      <c r="I417" t="s">
        <v>8247</v>
      </c>
      <c r="J417" t="s">
        <v>5446</v>
      </c>
      <c r="K417" t="s">
        <v>74</v>
      </c>
      <c r="L417" t="s">
        <v>74</v>
      </c>
      <c r="M417" t="s">
        <v>5447</v>
      </c>
      <c r="N417" t="s">
        <v>79</v>
      </c>
      <c r="O417" t="s">
        <v>74</v>
      </c>
      <c r="P417" t="s">
        <v>74</v>
      </c>
      <c r="Q417" t="s">
        <v>74</v>
      </c>
      <c r="R417" t="s">
        <v>74</v>
      </c>
      <c r="S417" t="s">
        <v>74</v>
      </c>
      <c r="T417" t="s">
        <v>8248</v>
      </c>
      <c r="U417" t="s">
        <v>74</v>
      </c>
      <c r="V417" t="s">
        <v>8249</v>
      </c>
      <c r="W417" t="s">
        <v>8250</v>
      </c>
      <c r="X417" t="s">
        <v>8251</v>
      </c>
      <c r="Y417" t="s">
        <v>8252</v>
      </c>
      <c r="Z417" t="s">
        <v>8253</v>
      </c>
      <c r="AA417" t="s">
        <v>8254</v>
      </c>
      <c r="AB417" t="s">
        <v>74</v>
      </c>
      <c r="AC417" t="s">
        <v>8255</v>
      </c>
      <c r="AD417" t="s">
        <v>8256</v>
      </c>
      <c r="AE417" t="s">
        <v>8257</v>
      </c>
      <c r="AF417" t="s">
        <v>74</v>
      </c>
      <c r="AG417">
        <v>22</v>
      </c>
      <c r="AH417">
        <v>0</v>
      </c>
      <c r="AI417">
        <v>0</v>
      </c>
      <c r="AJ417">
        <v>0</v>
      </c>
      <c r="AK417">
        <v>0</v>
      </c>
      <c r="AL417" t="s">
        <v>5460</v>
      </c>
      <c r="AM417" t="s">
        <v>5461</v>
      </c>
      <c r="AN417" t="s">
        <v>5462</v>
      </c>
      <c r="AO417" t="s">
        <v>5463</v>
      </c>
      <c r="AP417" t="s">
        <v>5464</v>
      </c>
      <c r="AQ417" t="s">
        <v>74</v>
      </c>
      <c r="AR417" t="s">
        <v>5465</v>
      </c>
      <c r="AS417" t="s">
        <v>5466</v>
      </c>
      <c r="AT417" t="s">
        <v>74</v>
      </c>
      <c r="AU417">
        <v>2021</v>
      </c>
      <c r="AV417">
        <v>61</v>
      </c>
      <c r="AW417">
        <v>1</v>
      </c>
      <c r="AX417" t="s">
        <v>74</v>
      </c>
      <c r="AY417" t="s">
        <v>74</v>
      </c>
      <c r="AZ417" t="s">
        <v>74</v>
      </c>
      <c r="BA417" t="s">
        <v>74</v>
      </c>
      <c r="BB417">
        <v>5</v>
      </c>
      <c r="BC417">
        <v>13</v>
      </c>
      <c r="BD417" t="s">
        <v>74</v>
      </c>
      <c r="BE417" t="s">
        <v>8258</v>
      </c>
      <c r="BF417" t="str">
        <f>HYPERLINK("http://dx.doi.org/10.31857/S2076673421010067","http://dx.doi.org/10.31857/S2076673421010067")</f>
        <v>http://dx.doi.org/10.31857/S2076673421010067</v>
      </c>
      <c r="BG417" t="s">
        <v>74</v>
      </c>
      <c r="BH417" t="s">
        <v>74</v>
      </c>
      <c r="BI417">
        <v>9</v>
      </c>
      <c r="BJ417" t="s">
        <v>401</v>
      </c>
      <c r="BK417" t="s">
        <v>3050</v>
      </c>
      <c r="BL417" t="s">
        <v>402</v>
      </c>
      <c r="BM417" t="s">
        <v>8259</v>
      </c>
      <c r="BN417" t="s">
        <v>74</v>
      </c>
      <c r="BO417" t="s">
        <v>326</v>
      </c>
      <c r="BP417" t="s">
        <v>74</v>
      </c>
      <c r="BQ417" t="s">
        <v>74</v>
      </c>
      <c r="BR417" t="s">
        <v>106</v>
      </c>
      <c r="BS417" t="s">
        <v>8260</v>
      </c>
      <c r="BT417" t="str">
        <f>HYPERLINK("https%3A%2F%2Fwww.webofscience.com%2Fwos%2Fwoscc%2Ffull-record%2FWOS:000627376700001","View Full Record in Web of Science")</f>
        <v>View Full Record in Web of Science</v>
      </c>
    </row>
    <row r="418" spans="1:72" x14ac:dyDescent="0.15">
      <c r="A418" t="s">
        <v>72</v>
      </c>
      <c r="B418" t="s">
        <v>8261</v>
      </c>
      <c r="C418" t="s">
        <v>74</v>
      </c>
      <c r="D418" t="s">
        <v>74</v>
      </c>
      <c r="E418" t="s">
        <v>74</v>
      </c>
      <c r="F418" t="s">
        <v>8262</v>
      </c>
      <c r="G418" t="s">
        <v>74</v>
      </c>
      <c r="H418" t="s">
        <v>74</v>
      </c>
      <c r="I418" t="s">
        <v>8263</v>
      </c>
      <c r="J418" t="s">
        <v>5446</v>
      </c>
      <c r="K418" t="s">
        <v>74</v>
      </c>
      <c r="L418" t="s">
        <v>74</v>
      </c>
      <c r="M418" t="s">
        <v>5447</v>
      </c>
      <c r="N418" t="s">
        <v>79</v>
      </c>
      <c r="O418" t="s">
        <v>74</v>
      </c>
      <c r="P418" t="s">
        <v>74</v>
      </c>
      <c r="Q418" t="s">
        <v>74</v>
      </c>
      <c r="R418" t="s">
        <v>74</v>
      </c>
      <c r="S418" t="s">
        <v>74</v>
      </c>
      <c r="T418" t="s">
        <v>8264</v>
      </c>
      <c r="U418" t="s">
        <v>74</v>
      </c>
      <c r="V418" t="s">
        <v>8265</v>
      </c>
      <c r="W418" t="s">
        <v>8266</v>
      </c>
      <c r="X418" t="s">
        <v>8267</v>
      </c>
      <c r="Y418" t="s">
        <v>8268</v>
      </c>
      <c r="Z418" t="s">
        <v>8269</v>
      </c>
      <c r="AA418" t="s">
        <v>74</v>
      </c>
      <c r="AB418" t="s">
        <v>74</v>
      </c>
      <c r="AC418" t="s">
        <v>8270</v>
      </c>
      <c r="AD418" t="s">
        <v>8271</v>
      </c>
      <c r="AE418" t="s">
        <v>8272</v>
      </c>
      <c r="AF418" t="s">
        <v>74</v>
      </c>
      <c r="AG418">
        <v>18</v>
      </c>
      <c r="AH418">
        <v>0</v>
      </c>
      <c r="AI418">
        <v>0</v>
      </c>
      <c r="AJ418">
        <v>0</v>
      </c>
      <c r="AK418">
        <v>2</v>
      </c>
      <c r="AL418" t="s">
        <v>5460</v>
      </c>
      <c r="AM418" t="s">
        <v>5461</v>
      </c>
      <c r="AN418" t="s">
        <v>5462</v>
      </c>
      <c r="AO418" t="s">
        <v>5463</v>
      </c>
      <c r="AP418" t="s">
        <v>5464</v>
      </c>
      <c r="AQ418" t="s">
        <v>74</v>
      </c>
      <c r="AR418" t="s">
        <v>5465</v>
      </c>
      <c r="AS418" t="s">
        <v>5466</v>
      </c>
      <c r="AT418" t="s">
        <v>74</v>
      </c>
      <c r="AU418">
        <v>2021</v>
      </c>
      <c r="AV418">
        <v>61</v>
      </c>
      <c r="AW418">
        <v>1</v>
      </c>
      <c r="AX418" t="s">
        <v>74</v>
      </c>
      <c r="AY418" t="s">
        <v>74</v>
      </c>
      <c r="AZ418" t="s">
        <v>74</v>
      </c>
      <c r="BA418" t="s">
        <v>74</v>
      </c>
      <c r="BB418">
        <v>14</v>
      </c>
      <c r="BC418">
        <v>25</v>
      </c>
      <c r="BD418" t="s">
        <v>74</v>
      </c>
      <c r="BE418" t="s">
        <v>8273</v>
      </c>
      <c r="BF418" t="str">
        <f>HYPERLINK("http://dx.doi.org/10.31857/S2076673421010068","http://dx.doi.org/10.31857/S2076673421010068")</f>
        <v>http://dx.doi.org/10.31857/S2076673421010068</v>
      </c>
      <c r="BG418" t="s">
        <v>74</v>
      </c>
      <c r="BH418" t="s">
        <v>74</v>
      </c>
      <c r="BI418">
        <v>12</v>
      </c>
      <c r="BJ418" t="s">
        <v>401</v>
      </c>
      <c r="BK418" t="s">
        <v>3050</v>
      </c>
      <c r="BL418" t="s">
        <v>402</v>
      </c>
      <c r="BM418" t="s">
        <v>8259</v>
      </c>
      <c r="BN418" t="s">
        <v>74</v>
      </c>
      <c r="BO418" t="s">
        <v>74</v>
      </c>
      <c r="BP418" t="s">
        <v>74</v>
      </c>
      <c r="BQ418" t="s">
        <v>74</v>
      </c>
      <c r="BR418" t="s">
        <v>106</v>
      </c>
      <c r="BS418" t="s">
        <v>8274</v>
      </c>
      <c r="BT418" t="str">
        <f>HYPERLINK("https%3A%2F%2Fwww.webofscience.com%2Fwos%2Fwoscc%2Ffull-record%2FWOS:000627376700002","View Full Record in Web of Science")</f>
        <v>View Full Record in Web of Science</v>
      </c>
    </row>
    <row r="419" spans="1:72" x14ac:dyDescent="0.15">
      <c r="A419" t="s">
        <v>72</v>
      </c>
      <c r="B419" t="s">
        <v>8275</v>
      </c>
      <c r="C419" t="s">
        <v>74</v>
      </c>
      <c r="D419" t="s">
        <v>74</v>
      </c>
      <c r="E419" t="s">
        <v>74</v>
      </c>
      <c r="F419" t="s">
        <v>8276</v>
      </c>
      <c r="G419" t="s">
        <v>74</v>
      </c>
      <c r="H419" t="s">
        <v>74</v>
      </c>
      <c r="I419" t="s">
        <v>8277</v>
      </c>
      <c r="J419" t="s">
        <v>5446</v>
      </c>
      <c r="K419" t="s">
        <v>74</v>
      </c>
      <c r="L419" t="s">
        <v>74</v>
      </c>
      <c r="M419" t="s">
        <v>5447</v>
      </c>
      <c r="N419" t="s">
        <v>79</v>
      </c>
      <c r="O419" t="s">
        <v>74</v>
      </c>
      <c r="P419" t="s">
        <v>74</v>
      </c>
      <c r="Q419" t="s">
        <v>74</v>
      </c>
      <c r="R419" t="s">
        <v>74</v>
      </c>
      <c r="S419" t="s">
        <v>74</v>
      </c>
      <c r="T419" t="s">
        <v>8278</v>
      </c>
      <c r="U419" t="s">
        <v>8279</v>
      </c>
      <c r="V419" t="s">
        <v>8280</v>
      </c>
      <c r="W419" t="s">
        <v>8281</v>
      </c>
      <c r="X419" t="s">
        <v>8282</v>
      </c>
      <c r="Y419" t="s">
        <v>8283</v>
      </c>
      <c r="Z419" t="s">
        <v>8284</v>
      </c>
      <c r="AA419" t="s">
        <v>8285</v>
      </c>
      <c r="AB419" t="s">
        <v>8286</v>
      </c>
      <c r="AC419" t="s">
        <v>8287</v>
      </c>
      <c r="AD419" t="s">
        <v>8288</v>
      </c>
      <c r="AE419" t="s">
        <v>8289</v>
      </c>
      <c r="AF419" t="s">
        <v>74</v>
      </c>
      <c r="AG419">
        <v>31</v>
      </c>
      <c r="AH419">
        <v>7</v>
      </c>
      <c r="AI419">
        <v>8</v>
      </c>
      <c r="AJ419">
        <v>1</v>
      </c>
      <c r="AK419">
        <v>3</v>
      </c>
      <c r="AL419" t="s">
        <v>5460</v>
      </c>
      <c r="AM419" t="s">
        <v>5461</v>
      </c>
      <c r="AN419" t="s">
        <v>5462</v>
      </c>
      <c r="AO419" t="s">
        <v>5463</v>
      </c>
      <c r="AP419" t="s">
        <v>5464</v>
      </c>
      <c r="AQ419" t="s">
        <v>74</v>
      </c>
      <c r="AR419" t="s">
        <v>5465</v>
      </c>
      <c r="AS419" t="s">
        <v>5466</v>
      </c>
      <c r="AT419" t="s">
        <v>74</v>
      </c>
      <c r="AU419">
        <v>2021</v>
      </c>
      <c r="AV419">
        <v>61</v>
      </c>
      <c r="AW419">
        <v>1</v>
      </c>
      <c r="AX419" t="s">
        <v>74</v>
      </c>
      <c r="AY419" t="s">
        <v>74</v>
      </c>
      <c r="AZ419" t="s">
        <v>74</v>
      </c>
      <c r="BA419" t="s">
        <v>74</v>
      </c>
      <c r="BB419">
        <v>26</v>
      </c>
      <c r="BC419">
        <v>37</v>
      </c>
      <c r="BD419" t="s">
        <v>74</v>
      </c>
      <c r="BE419" t="s">
        <v>8290</v>
      </c>
      <c r="BF419" t="str">
        <f>HYPERLINK("http://dx.doi.org/10.31857/S2076673421010069","http://dx.doi.org/10.31857/S2076673421010069")</f>
        <v>http://dx.doi.org/10.31857/S2076673421010069</v>
      </c>
      <c r="BG419" t="s">
        <v>74</v>
      </c>
      <c r="BH419" t="s">
        <v>74</v>
      </c>
      <c r="BI419">
        <v>12</v>
      </c>
      <c r="BJ419" t="s">
        <v>401</v>
      </c>
      <c r="BK419" t="s">
        <v>3050</v>
      </c>
      <c r="BL419" t="s">
        <v>402</v>
      </c>
      <c r="BM419" t="s">
        <v>8259</v>
      </c>
      <c r="BN419" t="s">
        <v>74</v>
      </c>
      <c r="BO419" t="s">
        <v>326</v>
      </c>
      <c r="BP419" t="s">
        <v>74</v>
      </c>
      <c r="BQ419" t="s">
        <v>74</v>
      </c>
      <c r="BR419" t="s">
        <v>106</v>
      </c>
      <c r="BS419" t="s">
        <v>8291</v>
      </c>
      <c r="BT419" t="str">
        <f>HYPERLINK("https%3A%2F%2Fwww.webofscience.com%2Fwos%2Fwoscc%2Ffull-record%2FWOS:000627376700003","View Full Record in Web of Science")</f>
        <v>View Full Record in Web of Science</v>
      </c>
    </row>
    <row r="420" spans="1:72" x14ac:dyDescent="0.15">
      <c r="A420" t="s">
        <v>72</v>
      </c>
      <c r="B420" t="s">
        <v>8292</v>
      </c>
      <c r="C420" t="s">
        <v>74</v>
      </c>
      <c r="D420" t="s">
        <v>74</v>
      </c>
      <c r="E420" t="s">
        <v>74</v>
      </c>
      <c r="F420" t="s">
        <v>8293</v>
      </c>
      <c r="G420" t="s">
        <v>74</v>
      </c>
      <c r="H420" t="s">
        <v>74</v>
      </c>
      <c r="I420" t="s">
        <v>8294</v>
      </c>
      <c r="J420" t="s">
        <v>5446</v>
      </c>
      <c r="K420" t="s">
        <v>74</v>
      </c>
      <c r="L420" t="s">
        <v>74</v>
      </c>
      <c r="M420" t="s">
        <v>5447</v>
      </c>
      <c r="N420" t="s">
        <v>79</v>
      </c>
      <c r="O420" t="s">
        <v>74</v>
      </c>
      <c r="P420" t="s">
        <v>74</v>
      </c>
      <c r="Q420" t="s">
        <v>74</v>
      </c>
      <c r="R420" t="s">
        <v>74</v>
      </c>
      <c r="S420" t="s">
        <v>74</v>
      </c>
      <c r="T420" t="s">
        <v>8295</v>
      </c>
      <c r="U420" t="s">
        <v>8296</v>
      </c>
      <c r="V420" t="s">
        <v>8297</v>
      </c>
      <c r="W420" t="s">
        <v>8298</v>
      </c>
      <c r="X420" t="s">
        <v>465</v>
      </c>
      <c r="Y420" t="s">
        <v>5453</v>
      </c>
      <c r="Z420" t="s">
        <v>5454</v>
      </c>
      <c r="AA420" t="s">
        <v>8299</v>
      </c>
      <c r="AB420" t="s">
        <v>8300</v>
      </c>
      <c r="AC420" t="s">
        <v>8301</v>
      </c>
      <c r="AD420" t="s">
        <v>5458</v>
      </c>
      <c r="AE420" t="s">
        <v>8302</v>
      </c>
      <c r="AF420" t="s">
        <v>74</v>
      </c>
      <c r="AG420">
        <v>26</v>
      </c>
      <c r="AH420">
        <v>5</v>
      </c>
      <c r="AI420">
        <v>5</v>
      </c>
      <c r="AJ420">
        <v>0</v>
      </c>
      <c r="AK420">
        <v>2</v>
      </c>
      <c r="AL420" t="s">
        <v>5460</v>
      </c>
      <c r="AM420" t="s">
        <v>5461</v>
      </c>
      <c r="AN420" t="s">
        <v>5462</v>
      </c>
      <c r="AO420" t="s">
        <v>5463</v>
      </c>
      <c r="AP420" t="s">
        <v>5464</v>
      </c>
      <c r="AQ420" t="s">
        <v>74</v>
      </c>
      <c r="AR420" t="s">
        <v>5465</v>
      </c>
      <c r="AS420" t="s">
        <v>5466</v>
      </c>
      <c r="AT420" t="s">
        <v>74</v>
      </c>
      <c r="AU420">
        <v>2021</v>
      </c>
      <c r="AV420">
        <v>61</v>
      </c>
      <c r="AW420">
        <v>1</v>
      </c>
      <c r="AX420" t="s">
        <v>74</v>
      </c>
      <c r="AY420" t="s">
        <v>74</v>
      </c>
      <c r="AZ420" t="s">
        <v>74</v>
      </c>
      <c r="BA420" t="s">
        <v>74</v>
      </c>
      <c r="BB420">
        <v>38</v>
      </c>
      <c r="BC420">
        <v>57</v>
      </c>
      <c r="BD420" t="s">
        <v>74</v>
      </c>
      <c r="BE420" t="s">
        <v>8303</v>
      </c>
      <c r="BF420" t="str">
        <f>HYPERLINK("http://dx.doi.org/10.31857/S2076673421010070","http://dx.doi.org/10.31857/S2076673421010070")</f>
        <v>http://dx.doi.org/10.31857/S2076673421010070</v>
      </c>
      <c r="BG420" t="s">
        <v>74</v>
      </c>
      <c r="BH420" t="s">
        <v>74</v>
      </c>
      <c r="BI420">
        <v>20</v>
      </c>
      <c r="BJ420" t="s">
        <v>401</v>
      </c>
      <c r="BK420" t="s">
        <v>3050</v>
      </c>
      <c r="BL420" t="s">
        <v>402</v>
      </c>
      <c r="BM420" t="s">
        <v>8259</v>
      </c>
      <c r="BN420" t="s">
        <v>74</v>
      </c>
      <c r="BO420" t="s">
        <v>326</v>
      </c>
      <c r="BP420" t="s">
        <v>74</v>
      </c>
      <c r="BQ420" t="s">
        <v>74</v>
      </c>
      <c r="BR420" t="s">
        <v>106</v>
      </c>
      <c r="BS420" t="s">
        <v>8304</v>
      </c>
      <c r="BT420" t="str">
        <f>HYPERLINK("https%3A%2F%2Fwww.webofscience.com%2Fwos%2Fwoscc%2Ffull-record%2FWOS:000627376700004","View Full Record in Web of Science")</f>
        <v>View Full Record in Web of Science</v>
      </c>
    </row>
    <row r="421" spans="1:72" x14ac:dyDescent="0.15">
      <c r="A421" t="s">
        <v>72</v>
      </c>
      <c r="B421" t="s">
        <v>8305</v>
      </c>
      <c r="C421" t="s">
        <v>74</v>
      </c>
      <c r="D421" t="s">
        <v>74</v>
      </c>
      <c r="E421" t="s">
        <v>74</v>
      </c>
      <c r="F421" t="s">
        <v>8306</v>
      </c>
      <c r="G421" t="s">
        <v>74</v>
      </c>
      <c r="H421" t="s">
        <v>74</v>
      </c>
      <c r="I421" t="s">
        <v>8307</v>
      </c>
      <c r="J421" t="s">
        <v>5446</v>
      </c>
      <c r="K421" t="s">
        <v>74</v>
      </c>
      <c r="L421" t="s">
        <v>74</v>
      </c>
      <c r="M421" t="s">
        <v>5447</v>
      </c>
      <c r="N421" t="s">
        <v>79</v>
      </c>
      <c r="O421" t="s">
        <v>74</v>
      </c>
      <c r="P421" t="s">
        <v>74</v>
      </c>
      <c r="Q421" t="s">
        <v>74</v>
      </c>
      <c r="R421" t="s">
        <v>74</v>
      </c>
      <c r="S421" t="s">
        <v>74</v>
      </c>
      <c r="T421" t="s">
        <v>8308</v>
      </c>
      <c r="U421" t="s">
        <v>74</v>
      </c>
      <c r="V421" t="s">
        <v>8309</v>
      </c>
      <c r="W421" t="s">
        <v>8310</v>
      </c>
      <c r="X421" t="s">
        <v>5477</v>
      </c>
      <c r="Y421" t="s">
        <v>8311</v>
      </c>
      <c r="Z421" t="s">
        <v>8312</v>
      </c>
      <c r="AA421" t="s">
        <v>74</v>
      </c>
      <c r="AB421" t="s">
        <v>74</v>
      </c>
      <c r="AC421" t="s">
        <v>74</v>
      </c>
      <c r="AD421" t="s">
        <v>74</v>
      </c>
      <c r="AE421" t="s">
        <v>74</v>
      </c>
      <c r="AF421" t="s">
        <v>74</v>
      </c>
      <c r="AG421">
        <v>15</v>
      </c>
      <c r="AH421">
        <v>2</v>
      </c>
      <c r="AI421">
        <v>2</v>
      </c>
      <c r="AJ421">
        <v>0</v>
      </c>
      <c r="AK421">
        <v>1</v>
      </c>
      <c r="AL421" t="s">
        <v>5460</v>
      </c>
      <c r="AM421" t="s">
        <v>5461</v>
      </c>
      <c r="AN421" t="s">
        <v>5462</v>
      </c>
      <c r="AO421" t="s">
        <v>5463</v>
      </c>
      <c r="AP421" t="s">
        <v>5464</v>
      </c>
      <c r="AQ421" t="s">
        <v>74</v>
      </c>
      <c r="AR421" t="s">
        <v>5465</v>
      </c>
      <c r="AS421" t="s">
        <v>5466</v>
      </c>
      <c r="AT421" t="s">
        <v>74</v>
      </c>
      <c r="AU421">
        <v>2021</v>
      </c>
      <c r="AV421">
        <v>61</v>
      </c>
      <c r="AW421">
        <v>1</v>
      </c>
      <c r="AX421" t="s">
        <v>74</v>
      </c>
      <c r="AY421" t="s">
        <v>74</v>
      </c>
      <c r="AZ421" t="s">
        <v>74</v>
      </c>
      <c r="BA421" t="s">
        <v>74</v>
      </c>
      <c r="BB421">
        <v>117</v>
      </c>
      <c r="BC421">
        <v>127</v>
      </c>
      <c r="BD421" t="s">
        <v>74</v>
      </c>
      <c r="BE421" t="s">
        <v>8313</v>
      </c>
      <c r="BF421" t="str">
        <f>HYPERLINK("http://dx.doi.org/10.31857/S2076673421010075","http://dx.doi.org/10.31857/S2076673421010075")</f>
        <v>http://dx.doi.org/10.31857/S2076673421010075</v>
      </c>
      <c r="BG421" t="s">
        <v>74</v>
      </c>
      <c r="BH421" t="s">
        <v>74</v>
      </c>
      <c r="BI421">
        <v>11</v>
      </c>
      <c r="BJ421" t="s">
        <v>401</v>
      </c>
      <c r="BK421" t="s">
        <v>3050</v>
      </c>
      <c r="BL421" t="s">
        <v>402</v>
      </c>
      <c r="BM421" t="s">
        <v>8259</v>
      </c>
      <c r="BN421" t="s">
        <v>74</v>
      </c>
      <c r="BO421" t="s">
        <v>326</v>
      </c>
      <c r="BP421" t="s">
        <v>74</v>
      </c>
      <c r="BQ421" t="s">
        <v>74</v>
      </c>
      <c r="BR421" t="s">
        <v>106</v>
      </c>
      <c r="BS421" t="s">
        <v>8314</v>
      </c>
      <c r="BT421" t="str">
        <f>HYPERLINK("https%3A%2F%2Fwww.webofscience.com%2Fwos%2Fwoscc%2Ffull-record%2FWOS:000627376700009","View Full Record in Web of Science")</f>
        <v>View Full Record in Web of Science</v>
      </c>
    </row>
    <row r="422" spans="1:72" x14ac:dyDescent="0.15">
      <c r="A422" t="s">
        <v>72</v>
      </c>
      <c r="B422" t="s">
        <v>8315</v>
      </c>
      <c r="C422" t="s">
        <v>74</v>
      </c>
      <c r="D422" t="s">
        <v>74</v>
      </c>
      <c r="E422" t="s">
        <v>74</v>
      </c>
      <c r="F422" t="s">
        <v>8316</v>
      </c>
      <c r="G422" t="s">
        <v>74</v>
      </c>
      <c r="H422" t="s">
        <v>74</v>
      </c>
      <c r="I422" t="s">
        <v>8317</v>
      </c>
      <c r="J422" t="s">
        <v>5446</v>
      </c>
      <c r="K422" t="s">
        <v>74</v>
      </c>
      <c r="L422" t="s">
        <v>74</v>
      </c>
      <c r="M422" t="s">
        <v>5447</v>
      </c>
      <c r="N422" t="s">
        <v>79</v>
      </c>
      <c r="O422" t="s">
        <v>74</v>
      </c>
      <c r="P422" t="s">
        <v>74</v>
      </c>
      <c r="Q422" t="s">
        <v>74</v>
      </c>
      <c r="R422" t="s">
        <v>74</v>
      </c>
      <c r="S422" t="s">
        <v>74</v>
      </c>
      <c r="T422" t="s">
        <v>8318</v>
      </c>
      <c r="U422" t="s">
        <v>8319</v>
      </c>
      <c r="V422" t="s">
        <v>8320</v>
      </c>
      <c r="W422" t="s">
        <v>8321</v>
      </c>
      <c r="X422" t="s">
        <v>8322</v>
      </c>
      <c r="Y422" t="s">
        <v>8323</v>
      </c>
      <c r="Z422" t="s">
        <v>8324</v>
      </c>
      <c r="AA422" t="s">
        <v>8325</v>
      </c>
      <c r="AB422" t="s">
        <v>74</v>
      </c>
      <c r="AC422" t="s">
        <v>8326</v>
      </c>
      <c r="AD422" t="s">
        <v>8327</v>
      </c>
      <c r="AE422" t="s">
        <v>8328</v>
      </c>
      <c r="AF422" t="s">
        <v>74</v>
      </c>
      <c r="AG422">
        <v>22</v>
      </c>
      <c r="AH422">
        <v>2</v>
      </c>
      <c r="AI422">
        <v>2</v>
      </c>
      <c r="AJ422">
        <v>0</v>
      </c>
      <c r="AK422">
        <v>2</v>
      </c>
      <c r="AL422" t="s">
        <v>5460</v>
      </c>
      <c r="AM422" t="s">
        <v>5461</v>
      </c>
      <c r="AN422" t="s">
        <v>5462</v>
      </c>
      <c r="AO422" t="s">
        <v>5463</v>
      </c>
      <c r="AP422" t="s">
        <v>5464</v>
      </c>
      <c r="AQ422" t="s">
        <v>74</v>
      </c>
      <c r="AR422" t="s">
        <v>5465</v>
      </c>
      <c r="AS422" t="s">
        <v>5466</v>
      </c>
      <c r="AT422" t="s">
        <v>74</v>
      </c>
      <c r="AU422">
        <v>2021</v>
      </c>
      <c r="AV422">
        <v>61</v>
      </c>
      <c r="AW422">
        <v>1</v>
      </c>
      <c r="AX422" t="s">
        <v>74</v>
      </c>
      <c r="AY422" t="s">
        <v>74</v>
      </c>
      <c r="AZ422" t="s">
        <v>74</v>
      </c>
      <c r="BA422" t="s">
        <v>74</v>
      </c>
      <c r="BB422">
        <v>128</v>
      </c>
      <c r="BC422">
        <v>136</v>
      </c>
      <c r="BD422" t="s">
        <v>74</v>
      </c>
      <c r="BE422" t="s">
        <v>8329</v>
      </c>
      <c r="BF422" t="str">
        <f>HYPERLINK("http://dx.doi.org/10.31857/S2076673421010076","http://dx.doi.org/10.31857/S2076673421010076")</f>
        <v>http://dx.doi.org/10.31857/S2076673421010076</v>
      </c>
      <c r="BG422" t="s">
        <v>74</v>
      </c>
      <c r="BH422" t="s">
        <v>74</v>
      </c>
      <c r="BI422">
        <v>9</v>
      </c>
      <c r="BJ422" t="s">
        <v>401</v>
      </c>
      <c r="BK422" t="s">
        <v>3050</v>
      </c>
      <c r="BL422" t="s">
        <v>402</v>
      </c>
      <c r="BM422" t="s">
        <v>8259</v>
      </c>
      <c r="BN422" t="s">
        <v>74</v>
      </c>
      <c r="BO422" t="s">
        <v>326</v>
      </c>
      <c r="BP422" t="s">
        <v>74</v>
      </c>
      <c r="BQ422" t="s">
        <v>74</v>
      </c>
      <c r="BR422" t="s">
        <v>106</v>
      </c>
      <c r="BS422" t="s">
        <v>8330</v>
      </c>
      <c r="BT422" t="str">
        <f>HYPERLINK("https%3A%2F%2Fwww.webofscience.com%2Fwos%2Fwoscc%2Ffull-record%2FWOS:000627376700010","View Full Record in Web of Science")</f>
        <v>View Full Record in Web of Science</v>
      </c>
    </row>
    <row r="423" spans="1:72" x14ac:dyDescent="0.15">
      <c r="A423" t="s">
        <v>72</v>
      </c>
      <c r="B423" t="s">
        <v>8331</v>
      </c>
      <c r="C423" t="s">
        <v>74</v>
      </c>
      <c r="D423" t="s">
        <v>74</v>
      </c>
      <c r="E423" t="s">
        <v>74</v>
      </c>
      <c r="F423" t="s">
        <v>8332</v>
      </c>
      <c r="G423" t="s">
        <v>74</v>
      </c>
      <c r="H423" t="s">
        <v>74</v>
      </c>
      <c r="I423" t="s">
        <v>8333</v>
      </c>
      <c r="J423" t="s">
        <v>5502</v>
      </c>
      <c r="K423" t="s">
        <v>74</v>
      </c>
      <c r="L423" t="s">
        <v>74</v>
      </c>
      <c r="M423" t="s">
        <v>78</v>
      </c>
      <c r="N423" t="s">
        <v>79</v>
      </c>
      <c r="O423" t="s">
        <v>74</v>
      </c>
      <c r="P423" t="s">
        <v>74</v>
      </c>
      <c r="Q423" t="s">
        <v>74</v>
      </c>
      <c r="R423" t="s">
        <v>74</v>
      </c>
      <c r="S423" t="s">
        <v>74</v>
      </c>
      <c r="T423" t="s">
        <v>8334</v>
      </c>
      <c r="U423" t="s">
        <v>8335</v>
      </c>
      <c r="V423" t="s">
        <v>8336</v>
      </c>
      <c r="W423" t="s">
        <v>8337</v>
      </c>
      <c r="X423" t="s">
        <v>8338</v>
      </c>
      <c r="Y423" t="s">
        <v>8339</v>
      </c>
      <c r="Z423" t="s">
        <v>8340</v>
      </c>
      <c r="AA423" t="s">
        <v>8341</v>
      </c>
      <c r="AB423" t="s">
        <v>8342</v>
      </c>
      <c r="AC423" t="s">
        <v>74</v>
      </c>
      <c r="AD423" t="s">
        <v>74</v>
      </c>
      <c r="AE423" t="s">
        <v>74</v>
      </c>
      <c r="AF423" t="s">
        <v>74</v>
      </c>
      <c r="AG423">
        <v>63</v>
      </c>
      <c r="AH423">
        <v>0</v>
      </c>
      <c r="AI423">
        <v>0</v>
      </c>
      <c r="AJ423">
        <v>0</v>
      </c>
      <c r="AK423">
        <v>7</v>
      </c>
      <c r="AL423" t="s">
        <v>5512</v>
      </c>
      <c r="AM423" t="s">
        <v>5513</v>
      </c>
      <c r="AN423" t="s">
        <v>5514</v>
      </c>
      <c r="AO423" t="s">
        <v>5515</v>
      </c>
      <c r="AP423" t="s">
        <v>5516</v>
      </c>
      <c r="AQ423" t="s">
        <v>74</v>
      </c>
      <c r="AR423" t="s">
        <v>5517</v>
      </c>
      <c r="AS423" t="s">
        <v>5518</v>
      </c>
      <c r="AT423" t="s">
        <v>74</v>
      </c>
      <c r="AU423">
        <v>2021</v>
      </c>
      <c r="AV423">
        <v>42</v>
      </c>
      <c r="AW423">
        <v>1</v>
      </c>
      <c r="AX423" t="s">
        <v>74</v>
      </c>
      <c r="AY423" t="s">
        <v>74</v>
      </c>
      <c r="AZ423" t="s">
        <v>74</v>
      </c>
      <c r="BA423" t="s">
        <v>74</v>
      </c>
      <c r="BB423">
        <v>45</v>
      </c>
      <c r="BC423">
        <v>58</v>
      </c>
      <c r="BD423" t="s">
        <v>74</v>
      </c>
      <c r="BE423" t="s">
        <v>8343</v>
      </c>
      <c r="BF423" t="str">
        <f>HYPERLINK("http://dx.doi.org/10.24425/ppr.2021.136513","http://dx.doi.org/10.24425/ppr.2021.136513")</f>
        <v>http://dx.doi.org/10.24425/ppr.2021.136513</v>
      </c>
      <c r="BG423" t="s">
        <v>74</v>
      </c>
      <c r="BH423" t="s">
        <v>74</v>
      </c>
      <c r="BI423">
        <v>14</v>
      </c>
      <c r="BJ423" t="s">
        <v>3680</v>
      </c>
      <c r="BK423" t="s">
        <v>103</v>
      </c>
      <c r="BL423" t="s">
        <v>3681</v>
      </c>
      <c r="BM423" t="s">
        <v>8344</v>
      </c>
      <c r="BN423" t="s">
        <v>74</v>
      </c>
      <c r="BO423" t="s">
        <v>326</v>
      </c>
      <c r="BP423" t="s">
        <v>74</v>
      </c>
      <c r="BQ423" t="s">
        <v>74</v>
      </c>
      <c r="BR423" t="s">
        <v>106</v>
      </c>
      <c r="BS423" t="s">
        <v>8345</v>
      </c>
      <c r="BT423" t="str">
        <f>HYPERLINK("https%3A%2F%2Fwww.webofscience.com%2Fwos%2Fwoscc%2Ffull-record%2FWOS:000632220600003","View Full Record in Web of Science")</f>
        <v>View Full Record in Web of Science</v>
      </c>
    </row>
    <row r="424" spans="1:72" x14ac:dyDescent="0.15">
      <c r="A424" t="s">
        <v>72</v>
      </c>
      <c r="B424" t="s">
        <v>8346</v>
      </c>
      <c r="C424" t="s">
        <v>74</v>
      </c>
      <c r="D424" t="s">
        <v>74</v>
      </c>
      <c r="E424" t="s">
        <v>74</v>
      </c>
      <c r="F424" t="s">
        <v>8347</v>
      </c>
      <c r="G424" t="s">
        <v>74</v>
      </c>
      <c r="H424" t="s">
        <v>74</v>
      </c>
      <c r="I424" t="s">
        <v>8348</v>
      </c>
      <c r="J424" t="s">
        <v>5502</v>
      </c>
      <c r="K424" t="s">
        <v>74</v>
      </c>
      <c r="L424" t="s">
        <v>74</v>
      </c>
      <c r="M424" t="s">
        <v>78</v>
      </c>
      <c r="N424" t="s">
        <v>79</v>
      </c>
      <c r="O424" t="s">
        <v>74</v>
      </c>
      <c r="P424" t="s">
        <v>74</v>
      </c>
      <c r="Q424" t="s">
        <v>74</v>
      </c>
      <c r="R424" t="s">
        <v>74</v>
      </c>
      <c r="S424" t="s">
        <v>74</v>
      </c>
      <c r="T424" t="s">
        <v>8349</v>
      </c>
      <c r="U424" t="s">
        <v>8350</v>
      </c>
      <c r="V424" t="s">
        <v>8351</v>
      </c>
      <c r="W424" t="s">
        <v>8352</v>
      </c>
      <c r="X424" t="s">
        <v>8353</v>
      </c>
      <c r="Y424" t="s">
        <v>8354</v>
      </c>
      <c r="Z424" t="s">
        <v>8355</v>
      </c>
      <c r="AA424" t="s">
        <v>8356</v>
      </c>
      <c r="AB424" t="s">
        <v>8357</v>
      </c>
      <c r="AC424" t="s">
        <v>74</v>
      </c>
      <c r="AD424" t="s">
        <v>74</v>
      </c>
      <c r="AE424" t="s">
        <v>74</v>
      </c>
      <c r="AF424" t="s">
        <v>74</v>
      </c>
      <c r="AG424">
        <v>66</v>
      </c>
      <c r="AH424">
        <v>1</v>
      </c>
      <c r="AI424">
        <v>1</v>
      </c>
      <c r="AJ424">
        <v>1</v>
      </c>
      <c r="AK424">
        <v>11</v>
      </c>
      <c r="AL424" t="s">
        <v>5512</v>
      </c>
      <c r="AM424" t="s">
        <v>5513</v>
      </c>
      <c r="AN424" t="s">
        <v>5514</v>
      </c>
      <c r="AO424" t="s">
        <v>5515</v>
      </c>
      <c r="AP424" t="s">
        <v>5516</v>
      </c>
      <c r="AQ424" t="s">
        <v>74</v>
      </c>
      <c r="AR424" t="s">
        <v>5517</v>
      </c>
      <c r="AS424" t="s">
        <v>5518</v>
      </c>
      <c r="AT424" t="s">
        <v>74</v>
      </c>
      <c r="AU424">
        <v>2021</v>
      </c>
      <c r="AV424">
        <v>42</v>
      </c>
      <c r="AW424">
        <v>1</v>
      </c>
      <c r="AX424" t="s">
        <v>74</v>
      </c>
      <c r="AY424" t="s">
        <v>74</v>
      </c>
      <c r="AZ424" t="s">
        <v>74</v>
      </c>
      <c r="BA424" t="s">
        <v>74</v>
      </c>
      <c r="BB424">
        <v>59</v>
      </c>
      <c r="BC424">
        <v>76</v>
      </c>
      <c r="BD424" t="s">
        <v>74</v>
      </c>
      <c r="BE424" t="s">
        <v>8358</v>
      </c>
      <c r="BF424" t="str">
        <f>HYPERLINK("http://dx.doi.org/10.24425/ppr.2021.136512","http://dx.doi.org/10.24425/ppr.2021.136512")</f>
        <v>http://dx.doi.org/10.24425/ppr.2021.136512</v>
      </c>
      <c r="BG424" t="s">
        <v>74</v>
      </c>
      <c r="BH424" t="s">
        <v>74</v>
      </c>
      <c r="BI424">
        <v>18</v>
      </c>
      <c r="BJ424" t="s">
        <v>3680</v>
      </c>
      <c r="BK424" t="s">
        <v>103</v>
      </c>
      <c r="BL424" t="s">
        <v>3681</v>
      </c>
      <c r="BM424" t="s">
        <v>8344</v>
      </c>
      <c r="BN424" t="s">
        <v>74</v>
      </c>
      <c r="BO424" t="s">
        <v>326</v>
      </c>
      <c r="BP424" t="s">
        <v>74</v>
      </c>
      <c r="BQ424" t="s">
        <v>74</v>
      </c>
      <c r="BR424" t="s">
        <v>106</v>
      </c>
      <c r="BS424" t="s">
        <v>8359</v>
      </c>
      <c r="BT424" t="str">
        <f>HYPERLINK("https%3A%2F%2Fwww.webofscience.com%2Fwos%2Fwoscc%2Ffull-record%2FWOS:000632220600004","View Full Record in Web of Science")</f>
        <v>View Full Record in Web of Science</v>
      </c>
    </row>
    <row r="425" spans="1:72" x14ac:dyDescent="0.15">
      <c r="A425" t="s">
        <v>72</v>
      </c>
      <c r="B425" t="s">
        <v>8360</v>
      </c>
      <c r="C425" t="s">
        <v>74</v>
      </c>
      <c r="D425" t="s">
        <v>74</v>
      </c>
      <c r="E425" t="s">
        <v>74</v>
      </c>
      <c r="F425" t="s">
        <v>8361</v>
      </c>
      <c r="G425" t="s">
        <v>74</v>
      </c>
      <c r="H425" t="s">
        <v>74</v>
      </c>
      <c r="I425" t="s">
        <v>8362</v>
      </c>
      <c r="J425" t="s">
        <v>8363</v>
      </c>
      <c r="K425" t="s">
        <v>74</v>
      </c>
      <c r="L425" t="s">
        <v>74</v>
      </c>
      <c r="M425" t="s">
        <v>78</v>
      </c>
      <c r="N425" t="s">
        <v>79</v>
      </c>
      <c r="O425" t="s">
        <v>74</v>
      </c>
      <c r="P425" t="s">
        <v>74</v>
      </c>
      <c r="Q425" t="s">
        <v>74</v>
      </c>
      <c r="R425" t="s">
        <v>74</v>
      </c>
      <c r="S425" t="s">
        <v>74</v>
      </c>
      <c r="T425" t="s">
        <v>8364</v>
      </c>
      <c r="U425" t="s">
        <v>74</v>
      </c>
      <c r="V425" t="s">
        <v>8365</v>
      </c>
      <c r="W425" t="s">
        <v>8366</v>
      </c>
      <c r="X425" t="s">
        <v>74</v>
      </c>
      <c r="Y425" t="s">
        <v>8367</v>
      </c>
      <c r="Z425" t="s">
        <v>8368</v>
      </c>
      <c r="AA425" t="s">
        <v>74</v>
      </c>
      <c r="AB425" t="s">
        <v>74</v>
      </c>
      <c r="AC425" t="s">
        <v>8369</v>
      </c>
      <c r="AD425" t="s">
        <v>8369</v>
      </c>
      <c r="AE425" t="s">
        <v>8370</v>
      </c>
      <c r="AF425" t="s">
        <v>74</v>
      </c>
      <c r="AG425">
        <v>19</v>
      </c>
      <c r="AH425">
        <v>0</v>
      </c>
      <c r="AI425">
        <v>0</v>
      </c>
      <c r="AJ425">
        <v>0</v>
      </c>
      <c r="AK425">
        <v>0</v>
      </c>
      <c r="AL425" t="s">
        <v>8371</v>
      </c>
      <c r="AM425" t="s">
        <v>8372</v>
      </c>
      <c r="AN425" t="s">
        <v>8373</v>
      </c>
      <c r="AO425" t="s">
        <v>8374</v>
      </c>
      <c r="AP425" t="s">
        <v>8375</v>
      </c>
      <c r="AQ425" t="s">
        <v>74</v>
      </c>
      <c r="AR425" t="s">
        <v>8376</v>
      </c>
      <c r="AS425" t="s">
        <v>8377</v>
      </c>
      <c r="AT425" t="s">
        <v>74</v>
      </c>
      <c r="AU425">
        <v>2021</v>
      </c>
      <c r="AV425">
        <v>73</v>
      </c>
      <c r="AW425">
        <v>1</v>
      </c>
      <c r="AX425" t="s">
        <v>74</v>
      </c>
      <c r="AY425" t="s">
        <v>74</v>
      </c>
      <c r="AZ425" t="s">
        <v>74</v>
      </c>
      <c r="BA425" t="s">
        <v>74</v>
      </c>
      <c r="BB425" t="s">
        <v>74</v>
      </c>
      <c r="BC425" t="s">
        <v>74</v>
      </c>
      <c r="BD425">
        <v>301</v>
      </c>
      <c r="BE425" t="s">
        <v>74</v>
      </c>
      <c r="BF425" t="s">
        <v>74</v>
      </c>
      <c r="BG425" t="s">
        <v>74</v>
      </c>
      <c r="BH425" t="s">
        <v>74</v>
      </c>
      <c r="BI425">
        <v>5</v>
      </c>
      <c r="BJ425" t="s">
        <v>6261</v>
      </c>
      <c r="BK425" t="s">
        <v>103</v>
      </c>
      <c r="BL425" t="s">
        <v>6262</v>
      </c>
      <c r="BM425" t="s">
        <v>8378</v>
      </c>
      <c r="BN425" t="s">
        <v>74</v>
      </c>
      <c r="BO425" t="s">
        <v>74</v>
      </c>
      <c r="BP425" t="s">
        <v>74</v>
      </c>
      <c r="BQ425" t="s">
        <v>74</v>
      </c>
      <c r="BR425" t="s">
        <v>106</v>
      </c>
      <c r="BS425" t="s">
        <v>8379</v>
      </c>
      <c r="BT425" t="str">
        <f>HYPERLINK("https%3A%2F%2Fwww.webofscience.com%2Fwos%2Fwoscc%2Ffull-record%2FWOS:000631705400008","View Full Record in Web of Science")</f>
        <v>View Full Record in Web of Science</v>
      </c>
    </row>
    <row r="426" spans="1:72" x14ac:dyDescent="0.15">
      <c r="A426" t="s">
        <v>72</v>
      </c>
      <c r="B426" t="s">
        <v>8380</v>
      </c>
      <c r="C426" t="s">
        <v>74</v>
      </c>
      <c r="D426" t="s">
        <v>74</v>
      </c>
      <c r="E426" t="s">
        <v>74</v>
      </c>
      <c r="F426" t="s">
        <v>8381</v>
      </c>
      <c r="G426" t="s">
        <v>74</v>
      </c>
      <c r="H426" t="s">
        <v>74</v>
      </c>
      <c r="I426" t="s">
        <v>8382</v>
      </c>
      <c r="J426" t="s">
        <v>8383</v>
      </c>
      <c r="K426" t="s">
        <v>74</v>
      </c>
      <c r="L426" t="s">
        <v>74</v>
      </c>
      <c r="M426" t="s">
        <v>78</v>
      </c>
      <c r="N426" t="s">
        <v>3976</v>
      </c>
      <c r="O426" t="s">
        <v>74</v>
      </c>
      <c r="P426" t="s">
        <v>74</v>
      </c>
      <c r="Q426" t="s">
        <v>74</v>
      </c>
      <c r="R426" t="s">
        <v>74</v>
      </c>
      <c r="S426" t="s">
        <v>74</v>
      </c>
      <c r="T426" t="s">
        <v>8384</v>
      </c>
      <c r="U426" t="s">
        <v>74</v>
      </c>
      <c r="V426" t="s">
        <v>8385</v>
      </c>
      <c r="W426" t="s">
        <v>8386</v>
      </c>
      <c r="X426" t="s">
        <v>4011</v>
      </c>
      <c r="Y426" t="s">
        <v>8387</v>
      </c>
      <c r="Z426" t="s">
        <v>8388</v>
      </c>
      <c r="AA426" t="s">
        <v>8389</v>
      </c>
      <c r="AB426" t="s">
        <v>8390</v>
      </c>
      <c r="AC426" t="s">
        <v>74</v>
      </c>
      <c r="AD426" t="s">
        <v>74</v>
      </c>
      <c r="AE426" t="s">
        <v>74</v>
      </c>
      <c r="AF426" t="s">
        <v>74</v>
      </c>
      <c r="AG426">
        <v>4</v>
      </c>
      <c r="AH426">
        <v>3</v>
      </c>
      <c r="AI426">
        <v>3</v>
      </c>
      <c r="AJ426">
        <v>0</v>
      </c>
      <c r="AK426">
        <v>2</v>
      </c>
      <c r="AL426" t="s">
        <v>1210</v>
      </c>
      <c r="AM426" t="s">
        <v>264</v>
      </c>
      <c r="AN426" t="s">
        <v>8391</v>
      </c>
      <c r="AO426" t="s">
        <v>8392</v>
      </c>
      <c r="AP426" t="s">
        <v>8393</v>
      </c>
      <c r="AQ426" t="s">
        <v>74</v>
      </c>
      <c r="AR426" t="s">
        <v>8394</v>
      </c>
      <c r="AS426" t="s">
        <v>8395</v>
      </c>
      <c r="AT426" t="s">
        <v>74</v>
      </c>
      <c r="AU426">
        <v>2021</v>
      </c>
      <c r="AV426">
        <v>22</v>
      </c>
      <c r="AW426">
        <v>43</v>
      </c>
      <c r="AX426" t="s">
        <v>74</v>
      </c>
      <c r="AY426" t="s">
        <v>74</v>
      </c>
      <c r="AZ426" t="s">
        <v>74</v>
      </c>
      <c r="BA426" t="s">
        <v>74</v>
      </c>
      <c r="BB426">
        <v>47</v>
      </c>
      <c r="BC426">
        <v>49</v>
      </c>
      <c r="BD426" t="s">
        <v>8396</v>
      </c>
      <c r="BE426" t="s">
        <v>8397</v>
      </c>
      <c r="BF426" t="str">
        <f>HYPERLINK("http://dx.doi.org/10.1017/S2058631021000064","http://dx.doi.org/10.1017/S2058631021000064")</f>
        <v>http://dx.doi.org/10.1017/S2058631021000064</v>
      </c>
      <c r="BG426" t="s">
        <v>74</v>
      </c>
      <c r="BH426" t="s">
        <v>74</v>
      </c>
      <c r="BI426">
        <v>3</v>
      </c>
      <c r="BJ426" t="s">
        <v>8398</v>
      </c>
      <c r="BK426" t="s">
        <v>3050</v>
      </c>
      <c r="BL426" t="s">
        <v>8398</v>
      </c>
      <c r="BM426" t="s">
        <v>8399</v>
      </c>
      <c r="BN426" t="s">
        <v>74</v>
      </c>
      <c r="BO426" t="s">
        <v>326</v>
      </c>
      <c r="BP426" t="s">
        <v>74</v>
      </c>
      <c r="BQ426" t="s">
        <v>74</v>
      </c>
      <c r="BR426" t="s">
        <v>106</v>
      </c>
      <c r="BS426" t="s">
        <v>8400</v>
      </c>
      <c r="BT426" t="str">
        <f>HYPERLINK("https%3A%2F%2Fwww.webofscience.com%2Fwos%2Fwoscc%2Ffull-record%2FWOS:000631286000006","View Full Record in Web of Science")</f>
        <v>View Full Record in Web of Science</v>
      </c>
    </row>
    <row r="427" spans="1:72" x14ac:dyDescent="0.15">
      <c r="A427" t="s">
        <v>72</v>
      </c>
      <c r="B427" t="s">
        <v>8401</v>
      </c>
      <c r="C427" t="s">
        <v>74</v>
      </c>
      <c r="D427" t="s">
        <v>74</v>
      </c>
      <c r="E427" t="s">
        <v>74</v>
      </c>
      <c r="F427" t="s">
        <v>8402</v>
      </c>
      <c r="G427" t="s">
        <v>74</v>
      </c>
      <c r="H427" t="s">
        <v>74</v>
      </c>
      <c r="I427" t="s">
        <v>8403</v>
      </c>
      <c r="J427" t="s">
        <v>8404</v>
      </c>
      <c r="K427" t="s">
        <v>74</v>
      </c>
      <c r="L427" t="s">
        <v>74</v>
      </c>
      <c r="M427" t="s">
        <v>78</v>
      </c>
      <c r="N427" t="s">
        <v>79</v>
      </c>
      <c r="O427" t="s">
        <v>74</v>
      </c>
      <c r="P427" t="s">
        <v>74</v>
      </c>
      <c r="Q427" t="s">
        <v>74</v>
      </c>
      <c r="R427" t="s">
        <v>74</v>
      </c>
      <c r="S427" t="s">
        <v>74</v>
      </c>
      <c r="T427" t="s">
        <v>8405</v>
      </c>
      <c r="U427" t="s">
        <v>8406</v>
      </c>
      <c r="V427" t="s">
        <v>8407</v>
      </c>
      <c r="W427" t="s">
        <v>8408</v>
      </c>
      <c r="X427" t="s">
        <v>74</v>
      </c>
      <c r="Y427" t="s">
        <v>8409</v>
      </c>
      <c r="Z427" t="s">
        <v>8410</v>
      </c>
      <c r="AA427" t="s">
        <v>74</v>
      </c>
      <c r="AB427" t="s">
        <v>74</v>
      </c>
      <c r="AC427" t="s">
        <v>74</v>
      </c>
      <c r="AD427" t="s">
        <v>74</v>
      </c>
      <c r="AE427" t="s">
        <v>74</v>
      </c>
      <c r="AF427" t="s">
        <v>74</v>
      </c>
      <c r="AG427">
        <v>54</v>
      </c>
      <c r="AH427">
        <v>1</v>
      </c>
      <c r="AI427">
        <v>1</v>
      </c>
      <c r="AJ427">
        <v>1</v>
      </c>
      <c r="AK427">
        <v>4</v>
      </c>
      <c r="AL427" t="s">
        <v>8411</v>
      </c>
      <c r="AM427" t="s">
        <v>5226</v>
      </c>
      <c r="AN427" t="s">
        <v>8412</v>
      </c>
      <c r="AO427" t="s">
        <v>8413</v>
      </c>
      <c r="AP427" t="s">
        <v>74</v>
      </c>
      <c r="AQ427" t="s">
        <v>74</v>
      </c>
      <c r="AR427" t="s">
        <v>8414</v>
      </c>
      <c r="AS427" t="s">
        <v>8415</v>
      </c>
      <c r="AT427" t="s">
        <v>374</v>
      </c>
      <c r="AU427">
        <v>2021</v>
      </c>
      <c r="AV427">
        <v>48</v>
      </c>
      <c r="AW427">
        <v>1</v>
      </c>
      <c r="AX427" t="s">
        <v>74</v>
      </c>
      <c r="AY427" t="s">
        <v>74</v>
      </c>
      <c r="AZ427" t="s">
        <v>74</v>
      </c>
      <c r="BA427" t="s">
        <v>74</v>
      </c>
      <c r="BB427">
        <v>94</v>
      </c>
      <c r="BC427">
        <v>109</v>
      </c>
      <c r="BD427" t="s">
        <v>74</v>
      </c>
      <c r="BE427" t="s">
        <v>8416</v>
      </c>
      <c r="BF427" t="str">
        <f>HYPERLINK("http://dx.doi.org/10.5027/andgeoV48n1-3173","http://dx.doi.org/10.5027/andgeoV48n1-3173")</f>
        <v>http://dx.doi.org/10.5027/andgeoV48n1-3173</v>
      </c>
      <c r="BG427" t="s">
        <v>74</v>
      </c>
      <c r="BH427" t="s">
        <v>74</v>
      </c>
      <c r="BI427">
        <v>16</v>
      </c>
      <c r="BJ427" t="s">
        <v>402</v>
      </c>
      <c r="BK427" t="s">
        <v>103</v>
      </c>
      <c r="BL427" t="s">
        <v>402</v>
      </c>
      <c r="BM427" t="s">
        <v>8417</v>
      </c>
      <c r="BN427" t="s">
        <v>74</v>
      </c>
      <c r="BO427" t="s">
        <v>1105</v>
      </c>
      <c r="BP427" t="s">
        <v>74</v>
      </c>
      <c r="BQ427" t="s">
        <v>74</v>
      </c>
      <c r="BR427" t="s">
        <v>106</v>
      </c>
      <c r="BS427" t="s">
        <v>8418</v>
      </c>
      <c r="BT427" t="str">
        <f>HYPERLINK("https%3A%2F%2Fwww.webofscience.com%2Fwos%2Fwoscc%2Ffull-record%2FWOS:000619023700005","View Full Record in Web of Science")</f>
        <v>View Full Record in Web of Science</v>
      </c>
    </row>
    <row r="428" spans="1:72" x14ac:dyDescent="0.15">
      <c r="A428" t="s">
        <v>72</v>
      </c>
      <c r="B428" t="s">
        <v>8419</v>
      </c>
      <c r="C428" t="s">
        <v>74</v>
      </c>
      <c r="D428" t="s">
        <v>74</v>
      </c>
      <c r="E428" t="s">
        <v>74</v>
      </c>
      <c r="F428" t="s">
        <v>8420</v>
      </c>
      <c r="G428" t="s">
        <v>74</v>
      </c>
      <c r="H428" t="s">
        <v>74</v>
      </c>
      <c r="I428" t="s">
        <v>8421</v>
      </c>
      <c r="J428" t="s">
        <v>8422</v>
      </c>
      <c r="K428" t="s">
        <v>74</v>
      </c>
      <c r="L428" t="s">
        <v>74</v>
      </c>
      <c r="M428" t="s">
        <v>78</v>
      </c>
      <c r="N428" t="s">
        <v>79</v>
      </c>
      <c r="O428" t="s">
        <v>74</v>
      </c>
      <c r="P428" t="s">
        <v>74</v>
      </c>
      <c r="Q428" t="s">
        <v>74</v>
      </c>
      <c r="R428" t="s">
        <v>74</v>
      </c>
      <c r="S428" t="s">
        <v>74</v>
      </c>
      <c r="T428" t="s">
        <v>8423</v>
      </c>
      <c r="U428" t="s">
        <v>8424</v>
      </c>
      <c r="V428" t="s">
        <v>8425</v>
      </c>
      <c r="W428" t="s">
        <v>8426</v>
      </c>
      <c r="X428" t="s">
        <v>8427</v>
      </c>
      <c r="Y428" t="s">
        <v>8428</v>
      </c>
      <c r="Z428" t="s">
        <v>8429</v>
      </c>
      <c r="AA428" t="s">
        <v>74</v>
      </c>
      <c r="AB428" t="s">
        <v>74</v>
      </c>
      <c r="AC428" t="s">
        <v>8430</v>
      </c>
      <c r="AD428" t="s">
        <v>8431</v>
      </c>
      <c r="AE428" t="s">
        <v>8432</v>
      </c>
      <c r="AF428" t="s">
        <v>74</v>
      </c>
      <c r="AG428">
        <v>49</v>
      </c>
      <c r="AH428">
        <v>1</v>
      </c>
      <c r="AI428">
        <v>1</v>
      </c>
      <c r="AJ428">
        <v>1</v>
      </c>
      <c r="AK428">
        <v>6</v>
      </c>
      <c r="AL428" t="s">
        <v>8433</v>
      </c>
      <c r="AM428" t="s">
        <v>93</v>
      </c>
      <c r="AN428" t="s">
        <v>8434</v>
      </c>
      <c r="AO428" t="s">
        <v>8435</v>
      </c>
      <c r="AP428" t="s">
        <v>8436</v>
      </c>
      <c r="AQ428" t="s">
        <v>74</v>
      </c>
      <c r="AR428" t="s">
        <v>8437</v>
      </c>
      <c r="AS428" t="s">
        <v>8438</v>
      </c>
      <c r="AT428" t="s">
        <v>74</v>
      </c>
      <c r="AU428">
        <v>2021</v>
      </c>
      <c r="AV428">
        <v>7</v>
      </c>
      <c r="AW428">
        <v>1</v>
      </c>
      <c r="AX428" t="s">
        <v>74</v>
      </c>
      <c r="AY428" t="s">
        <v>74</v>
      </c>
      <c r="AZ428" t="s">
        <v>74</v>
      </c>
      <c r="BA428" t="s">
        <v>74</v>
      </c>
      <c r="BB428">
        <v>13</v>
      </c>
      <c r="BC428">
        <v>24</v>
      </c>
      <c r="BD428" t="s">
        <v>74</v>
      </c>
      <c r="BE428" t="s">
        <v>8439</v>
      </c>
      <c r="BF428" t="str">
        <f>HYPERLINK("http://dx.doi.org/10.3233/JCC210002","http://dx.doi.org/10.3233/JCC210002")</f>
        <v>http://dx.doi.org/10.3233/JCC210002</v>
      </c>
      <c r="BG428" t="s">
        <v>74</v>
      </c>
      <c r="BH428" t="s">
        <v>74</v>
      </c>
      <c r="BI428">
        <v>12</v>
      </c>
      <c r="BJ428" t="s">
        <v>687</v>
      </c>
      <c r="BK428" t="s">
        <v>3050</v>
      </c>
      <c r="BL428" t="s">
        <v>687</v>
      </c>
      <c r="BM428" t="s">
        <v>8440</v>
      </c>
      <c r="BN428" t="s">
        <v>74</v>
      </c>
      <c r="BO428" t="s">
        <v>74</v>
      </c>
      <c r="BP428" t="s">
        <v>74</v>
      </c>
      <c r="BQ428" t="s">
        <v>74</v>
      </c>
      <c r="BR428" t="s">
        <v>106</v>
      </c>
      <c r="BS428" t="s">
        <v>8441</v>
      </c>
      <c r="BT428" t="str">
        <f>HYPERLINK("https%3A%2F%2Fwww.webofscience.com%2Fwos%2Fwoscc%2Ffull-record%2FWOS:000618528600003","View Full Record in Web of Science")</f>
        <v>View Full Record in Web of Science</v>
      </c>
    </row>
    <row r="429" spans="1:72" x14ac:dyDescent="0.15">
      <c r="A429" t="s">
        <v>72</v>
      </c>
      <c r="B429" t="s">
        <v>8442</v>
      </c>
      <c r="C429" t="s">
        <v>74</v>
      </c>
      <c r="D429" t="s">
        <v>74</v>
      </c>
      <c r="E429" t="s">
        <v>74</v>
      </c>
      <c r="F429" t="s">
        <v>8443</v>
      </c>
      <c r="G429" t="s">
        <v>74</v>
      </c>
      <c r="H429" t="s">
        <v>74</v>
      </c>
      <c r="I429" t="s">
        <v>8444</v>
      </c>
      <c r="J429" t="s">
        <v>8445</v>
      </c>
      <c r="K429" t="s">
        <v>74</v>
      </c>
      <c r="L429" t="s">
        <v>74</v>
      </c>
      <c r="M429" t="s">
        <v>78</v>
      </c>
      <c r="N429" t="s">
        <v>79</v>
      </c>
      <c r="O429" t="s">
        <v>74</v>
      </c>
      <c r="P429" t="s">
        <v>74</v>
      </c>
      <c r="Q429" t="s">
        <v>74</v>
      </c>
      <c r="R429" t="s">
        <v>74</v>
      </c>
      <c r="S429" t="s">
        <v>74</v>
      </c>
      <c r="T429" t="s">
        <v>8446</v>
      </c>
      <c r="U429" t="s">
        <v>8447</v>
      </c>
      <c r="V429" t="s">
        <v>8448</v>
      </c>
      <c r="W429" t="s">
        <v>8449</v>
      </c>
      <c r="X429" t="s">
        <v>8450</v>
      </c>
      <c r="Y429" t="s">
        <v>8451</v>
      </c>
      <c r="Z429" t="s">
        <v>8452</v>
      </c>
      <c r="AA429" t="s">
        <v>8453</v>
      </c>
      <c r="AB429" t="s">
        <v>74</v>
      </c>
      <c r="AC429" t="s">
        <v>8454</v>
      </c>
      <c r="AD429" t="s">
        <v>8455</v>
      </c>
      <c r="AE429" t="s">
        <v>8456</v>
      </c>
      <c r="AF429" t="s">
        <v>74</v>
      </c>
      <c r="AG429">
        <v>101</v>
      </c>
      <c r="AH429">
        <v>12</v>
      </c>
      <c r="AI429">
        <v>12</v>
      </c>
      <c r="AJ429">
        <v>0</v>
      </c>
      <c r="AK429">
        <v>11</v>
      </c>
      <c r="AL429" t="s">
        <v>92</v>
      </c>
      <c r="AM429" t="s">
        <v>93</v>
      </c>
      <c r="AN429" t="s">
        <v>94</v>
      </c>
      <c r="AO429" t="s">
        <v>8457</v>
      </c>
      <c r="AP429" t="s">
        <v>8458</v>
      </c>
      <c r="AQ429" t="s">
        <v>74</v>
      </c>
      <c r="AR429" t="s">
        <v>8459</v>
      </c>
      <c r="AS429" t="s">
        <v>8460</v>
      </c>
      <c r="AT429" t="s">
        <v>347</v>
      </c>
      <c r="AU429">
        <v>2021</v>
      </c>
      <c r="AV429">
        <v>91</v>
      </c>
      <c r="AW429" t="s">
        <v>74</v>
      </c>
      <c r="AX429" t="s">
        <v>74</v>
      </c>
      <c r="AY429" t="s">
        <v>74</v>
      </c>
      <c r="AZ429" t="s">
        <v>74</v>
      </c>
      <c r="BA429" t="s">
        <v>74</v>
      </c>
      <c r="BB429">
        <v>152</v>
      </c>
      <c r="BC429">
        <v>165</v>
      </c>
      <c r="BD429" t="s">
        <v>74</v>
      </c>
      <c r="BE429" t="s">
        <v>8461</v>
      </c>
      <c r="BF429" t="str">
        <f>HYPERLINK("http://dx.doi.org/10.1016/j.gr.2020.12.014","http://dx.doi.org/10.1016/j.gr.2020.12.014")</f>
        <v>http://dx.doi.org/10.1016/j.gr.2020.12.014</v>
      </c>
      <c r="BG429" t="s">
        <v>74</v>
      </c>
      <c r="BH429" t="s">
        <v>101</v>
      </c>
      <c r="BI429">
        <v>14</v>
      </c>
      <c r="BJ429" t="s">
        <v>401</v>
      </c>
      <c r="BK429" t="s">
        <v>103</v>
      </c>
      <c r="BL429" t="s">
        <v>402</v>
      </c>
      <c r="BM429" t="s">
        <v>8462</v>
      </c>
      <c r="BN429" t="s">
        <v>74</v>
      </c>
      <c r="BO429" t="s">
        <v>3283</v>
      </c>
      <c r="BP429" t="s">
        <v>74</v>
      </c>
      <c r="BQ429" t="s">
        <v>74</v>
      </c>
      <c r="BR429" t="s">
        <v>106</v>
      </c>
      <c r="BS429" t="s">
        <v>8463</v>
      </c>
      <c r="BT429" t="str">
        <f>HYPERLINK("https%3A%2F%2Fwww.webofscience.com%2Fwos%2Fwoscc%2Ffull-record%2FWOS:000619186700002","View Full Record in Web of Science")</f>
        <v>View Full Record in Web of Science</v>
      </c>
    </row>
    <row r="430" spans="1:72" x14ac:dyDescent="0.15">
      <c r="A430" t="s">
        <v>72</v>
      </c>
      <c r="B430" t="s">
        <v>8464</v>
      </c>
      <c r="C430" t="s">
        <v>74</v>
      </c>
      <c r="D430" t="s">
        <v>74</v>
      </c>
      <c r="E430" t="s">
        <v>74</v>
      </c>
      <c r="F430" t="s">
        <v>8465</v>
      </c>
      <c r="G430" t="s">
        <v>74</v>
      </c>
      <c r="H430" t="s">
        <v>74</v>
      </c>
      <c r="I430" t="s">
        <v>8466</v>
      </c>
      <c r="J430" t="s">
        <v>8467</v>
      </c>
      <c r="K430" t="s">
        <v>74</v>
      </c>
      <c r="L430" t="s">
        <v>74</v>
      </c>
      <c r="M430" t="s">
        <v>78</v>
      </c>
      <c r="N430" t="s">
        <v>79</v>
      </c>
      <c r="O430" t="s">
        <v>74</v>
      </c>
      <c r="P430" t="s">
        <v>74</v>
      </c>
      <c r="Q430" t="s">
        <v>74</v>
      </c>
      <c r="R430" t="s">
        <v>74</v>
      </c>
      <c r="S430" t="s">
        <v>74</v>
      </c>
      <c r="T430" t="s">
        <v>8468</v>
      </c>
      <c r="U430" t="s">
        <v>8469</v>
      </c>
      <c r="V430" t="s">
        <v>8470</v>
      </c>
      <c r="W430" t="s">
        <v>8471</v>
      </c>
      <c r="X430" t="s">
        <v>8472</v>
      </c>
      <c r="Y430" t="s">
        <v>8473</v>
      </c>
      <c r="Z430" t="s">
        <v>8474</v>
      </c>
      <c r="AA430" t="s">
        <v>8475</v>
      </c>
      <c r="AB430" t="s">
        <v>8476</v>
      </c>
      <c r="AC430" t="s">
        <v>8477</v>
      </c>
      <c r="AD430" t="s">
        <v>8478</v>
      </c>
      <c r="AE430" t="s">
        <v>8479</v>
      </c>
      <c r="AF430" t="s">
        <v>74</v>
      </c>
      <c r="AG430">
        <v>64</v>
      </c>
      <c r="AH430">
        <v>5</v>
      </c>
      <c r="AI430">
        <v>5</v>
      </c>
      <c r="AJ430">
        <v>0</v>
      </c>
      <c r="AK430">
        <v>4</v>
      </c>
      <c r="AL430" t="s">
        <v>8480</v>
      </c>
      <c r="AM430" t="s">
        <v>8481</v>
      </c>
      <c r="AN430" t="s">
        <v>8482</v>
      </c>
      <c r="AO430" t="s">
        <v>8483</v>
      </c>
      <c r="AP430" t="s">
        <v>8484</v>
      </c>
      <c r="AQ430" t="s">
        <v>74</v>
      </c>
      <c r="AR430" t="s">
        <v>8485</v>
      </c>
      <c r="AS430" t="s">
        <v>8486</v>
      </c>
      <c r="AT430" t="s">
        <v>74</v>
      </c>
      <c r="AU430">
        <v>2021</v>
      </c>
      <c r="AV430">
        <v>66</v>
      </c>
      <c r="AW430">
        <v>1</v>
      </c>
      <c r="AX430" t="s">
        <v>74</v>
      </c>
      <c r="AY430" t="s">
        <v>74</v>
      </c>
      <c r="AZ430" t="s">
        <v>582</v>
      </c>
      <c r="BA430" t="s">
        <v>74</v>
      </c>
      <c r="BB430" t="s">
        <v>74</v>
      </c>
      <c r="BC430" t="s">
        <v>74</v>
      </c>
      <c r="BD430" t="s">
        <v>74</v>
      </c>
      <c r="BE430" t="s">
        <v>8487</v>
      </c>
      <c r="BF430" t="str">
        <f>HYPERLINK("http://dx.doi.org/10.21638/spbu07.2021.105","http://dx.doi.org/10.21638/spbu07.2021.105")</f>
        <v>http://dx.doi.org/10.21638/spbu07.2021.105</v>
      </c>
      <c r="BG430" t="s">
        <v>74</v>
      </c>
      <c r="BH430" t="s">
        <v>74</v>
      </c>
      <c r="BI430">
        <v>25</v>
      </c>
      <c r="BJ430" t="s">
        <v>401</v>
      </c>
      <c r="BK430" t="s">
        <v>3050</v>
      </c>
      <c r="BL430" t="s">
        <v>402</v>
      </c>
      <c r="BM430" t="s">
        <v>8488</v>
      </c>
      <c r="BN430" t="s">
        <v>74</v>
      </c>
      <c r="BO430" t="s">
        <v>917</v>
      </c>
      <c r="BP430" t="s">
        <v>74</v>
      </c>
      <c r="BQ430" t="s">
        <v>74</v>
      </c>
      <c r="BR430" t="s">
        <v>106</v>
      </c>
      <c r="BS430" t="s">
        <v>8489</v>
      </c>
      <c r="BT430" t="str">
        <f>HYPERLINK("https%3A%2F%2Fwww.webofscience.com%2Fwos%2Fwoscc%2Ffull-record%2FWOS:000614143700010","View Full Record in Web of Science")</f>
        <v>View Full Record in Web of Science</v>
      </c>
    </row>
    <row r="431" spans="1:72" x14ac:dyDescent="0.15">
      <c r="A431" t="s">
        <v>72</v>
      </c>
      <c r="B431" t="s">
        <v>8490</v>
      </c>
      <c r="C431" t="s">
        <v>74</v>
      </c>
      <c r="D431" t="s">
        <v>74</v>
      </c>
      <c r="E431" t="s">
        <v>74</v>
      </c>
      <c r="F431" t="s">
        <v>8491</v>
      </c>
      <c r="G431" t="s">
        <v>74</v>
      </c>
      <c r="H431" t="s">
        <v>74</v>
      </c>
      <c r="I431" t="s">
        <v>8492</v>
      </c>
      <c r="J431" t="s">
        <v>8493</v>
      </c>
      <c r="K431" t="s">
        <v>74</v>
      </c>
      <c r="L431" t="s">
        <v>74</v>
      </c>
      <c r="M431" t="s">
        <v>78</v>
      </c>
      <c r="N431" t="s">
        <v>79</v>
      </c>
      <c r="O431" t="s">
        <v>74</v>
      </c>
      <c r="P431" t="s">
        <v>74</v>
      </c>
      <c r="Q431" t="s">
        <v>74</v>
      </c>
      <c r="R431" t="s">
        <v>74</v>
      </c>
      <c r="S431" t="s">
        <v>74</v>
      </c>
      <c r="T431" t="s">
        <v>74</v>
      </c>
      <c r="U431" t="s">
        <v>8494</v>
      </c>
      <c r="V431" t="s">
        <v>8495</v>
      </c>
      <c r="W431" t="s">
        <v>8496</v>
      </c>
      <c r="X431" t="s">
        <v>8497</v>
      </c>
      <c r="Y431" t="s">
        <v>8498</v>
      </c>
      <c r="Z431" t="s">
        <v>8499</v>
      </c>
      <c r="AA431" t="s">
        <v>8500</v>
      </c>
      <c r="AB431" t="s">
        <v>8501</v>
      </c>
      <c r="AC431" t="s">
        <v>8502</v>
      </c>
      <c r="AD431" t="s">
        <v>8503</v>
      </c>
      <c r="AE431" t="s">
        <v>8504</v>
      </c>
      <c r="AF431" t="s">
        <v>74</v>
      </c>
      <c r="AG431">
        <v>73</v>
      </c>
      <c r="AH431">
        <v>6</v>
      </c>
      <c r="AI431">
        <v>6</v>
      </c>
      <c r="AJ431">
        <v>10</v>
      </c>
      <c r="AK431">
        <v>40</v>
      </c>
      <c r="AL431" t="s">
        <v>1291</v>
      </c>
      <c r="AM431" t="s">
        <v>629</v>
      </c>
      <c r="AN431" t="s">
        <v>1292</v>
      </c>
      <c r="AO431" t="s">
        <v>8505</v>
      </c>
      <c r="AP431" t="s">
        <v>8506</v>
      </c>
      <c r="AQ431" t="s">
        <v>74</v>
      </c>
      <c r="AR431" t="s">
        <v>8507</v>
      </c>
      <c r="AS431" t="s">
        <v>8508</v>
      </c>
      <c r="AT431" t="s">
        <v>374</v>
      </c>
      <c r="AU431">
        <v>2021</v>
      </c>
      <c r="AV431">
        <v>57</v>
      </c>
      <c r="AW431">
        <v>1</v>
      </c>
      <c r="AX431" t="s">
        <v>74</v>
      </c>
      <c r="AY431" t="s">
        <v>74</v>
      </c>
      <c r="AZ431" t="s">
        <v>74</v>
      </c>
      <c r="BA431" t="s">
        <v>74</v>
      </c>
      <c r="BB431" t="s">
        <v>74</v>
      </c>
      <c r="BC431" t="s">
        <v>74</v>
      </c>
      <c r="BD431" t="s">
        <v>8509</v>
      </c>
      <c r="BE431" t="s">
        <v>8510</v>
      </c>
      <c r="BF431" t="str">
        <f>HYPERLINK("http://dx.doi.org/10.1029/2020WR028269","http://dx.doi.org/10.1029/2020WR028269")</f>
        <v>http://dx.doi.org/10.1029/2020WR028269</v>
      </c>
      <c r="BG431" t="s">
        <v>74</v>
      </c>
      <c r="BH431" t="s">
        <v>74</v>
      </c>
      <c r="BI431">
        <v>23</v>
      </c>
      <c r="BJ431" t="s">
        <v>8511</v>
      </c>
      <c r="BK431" t="s">
        <v>103</v>
      </c>
      <c r="BL431" t="s">
        <v>2693</v>
      </c>
      <c r="BM431" t="s">
        <v>8512</v>
      </c>
      <c r="BN431" t="s">
        <v>74</v>
      </c>
      <c r="BO431" t="s">
        <v>1220</v>
      </c>
      <c r="BP431" t="s">
        <v>74</v>
      </c>
      <c r="BQ431" t="s">
        <v>74</v>
      </c>
      <c r="BR431" t="s">
        <v>106</v>
      </c>
      <c r="BS431" t="s">
        <v>8513</v>
      </c>
      <c r="BT431" t="str">
        <f>HYPERLINK("https%3A%2F%2Fwww.webofscience.com%2Fwos%2Fwoscc%2Ffull-record%2FWOS:000618001100025","View Full Record in Web of Science")</f>
        <v>View Full Record in Web of Science</v>
      </c>
    </row>
    <row r="432" spans="1:72" x14ac:dyDescent="0.15">
      <c r="A432" t="s">
        <v>72</v>
      </c>
      <c r="B432" t="s">
        <v>8514</v>
      </c>
      <c r="C432" t="s">
        <v>74</v>
      </c>
      <c r="D432" t="s">
        <v>74</v>
      </c>
      <c r="E432" t="s">
        <v>74</v>
      </c>
      <c r="F432" t="s">
        <v>8515</v>
      </c>
      <c r="G432" t="s">
        <v>74</v>
      </c>
      <c r="H432" t="s">
        <v>74</v>
      </c>
      <c r="I432" t="s">
        <v>8516</v>
      </c>
      <c r="J432" t="s">
        <v>8517</v>
      </c>
      <c r="K432" t="s">
        <v>74</v>
      </c>
      <c r="L432" t="s">
        <v>74</v>
      </c>
      <c r="M432" t="s">
        <v>78</v>
      </c>
      <c r="N432" t="s">
        <v>79</v>
      </c>
      <c r="O432" t="s">
        <v>74</v>
      </c>
      <c r="P432" t="s">
        <v>74</v>
      </c>
      <c r="Q432" t="s">
        <v>74</v>
      </c>
      <c r="R432" t="s">
        <v>74</v>
      </c>
      <c r="S432" t="s">
        <v>74</v>
      </c>
      <c r="T432" t="s">
        <v>8518</v>
      </c>
      <c r="U432" t="s">
        <v>8519</v>
      </c>
      <c r="V432" t="s">
        <v>8520</v>
      </c>
      <c r="W432" t="s">
        <v>8521</v>
      </c>
      <c r="X432" t="s">
        <v>8522</v>
      </c>
      <c r="Y432" t="s">
        <v>8523</v>
      </c>
      <c r="Z432" t="s">
        <v>8524</v>
      </c>
      <c r="AA432" t="s">
        <v>74</v>
      </c>
      <c r="AB432" t="s">
        <v>8525</v>
      </c>
      <c r="AC432" t="s">
        <v>74</v>
      </c>
      <c r="AD432" t="s">
        <v>74</v>
      </c>
      <c r="AE432" t="s">
        <v>74</v>
      </c>
      <c r="AF432" t="s">
        <v>74</v>
      </c>
      <c r="AG432">
        <v>72</v>
      </c>
      <c r="AH432">
        <v>38</v>
      </c>
      <c r="AI432">
        <v>39</v>
      </c>
      <c r="AJ432">
        <v>12</v>
      </c>
      <c r="AK432">
        <v>68</v>
      </c>
      <c r="AL432" t="s">
        <v>8526</v>
      </c>
      <c r="AM432" t="s">
        <v>2921</v>
      </c>
      <c r="AN432" t="s">
        <v>8527</v>
      </c>
      <c r="AO432" t="s">
        <v>74</v>
      </c>
      <c r="AP432" t="s">
        <v>8528</v>
      </c>
      <c r="AQ432" t="s">
        <v>74</v>
      </c>
      <c r="AR432" t="s">
        <v>8529</v>
      </c>
      <c r="AS432" t="s">
        <v>8530</v>
      </c>
      <c r="AT432" t="s">
        <v>374</v>
      </c>
      <c r="AU432">
        <v>2021</v>
      </c>
      <c r="AV432">
        <v>13</v>
      </c>
      <c r="AW432">
        <v>2</v>
      </c>
      <c r="AX432" t="s">
        <v>74</v>
      </c>
      <c r="AY432" t="s">
        <v>74</v>
      </c>
      <c r="AZ432" t="s">
        <v>74</v>
      </c>
      <c r="BA432" t="s">
        <v>74</v>
      </c>
      <c r="BB432" t="s">
        <v>74</v>
      </c>
      <c r="BC432" t="s">
        <v>74</v>
      </c>
      <c r="BD432">
        <v>197</v>
      </c>
      <c r="BE432" t="s">
        <v>8531</v>
      </c>
      <c r="BF432" t="str">
        <f>HYPERLINK("http://dx.doi.org/10.3390/rs13020197","http://dx.doi.org/10.3390/rs13020197")</f>
        <v>http://dx.doi.org/10.3390/rs13020197</v>
      </c>
      <c r="BG432" t="s">
        <v>74</v>
      </c>
      <c r="BH432" t="s">
        <v>74</v>
      </c>
      <c r="BI432">
        <v>27</v>
      </c>
      <c r="BJ432" t="s">
        <v>8532</v>
      </c>
      <c r="BK432" t="s">
        <v>103</v>
      </c>
      <c r="BL432" t="s">
        <v>8533</v>
      </c>
      <c r="BM432" t="s">
        <v>8534</v>
      </c>
      <c r="BN432" t="s">
        <v>74</v>
      </c>
      <c r="BO432" t="s">
        <v>6128</v>
      </c>
      <c r="BP432" t="s">
        <v>74</v>
      </c>
      <c r="BQ432" t="s">
        <v>74</v>
      </c>
      <c r="BR432" t="s">
        <v>106</v>
      </c>
      <c r="BS432" t="s">
        <v>8535</v>
      </c>
      <c r="BT432" t="str">
        <f>HYPERLINK("https%3A%2F%2Fwww.webofscience.com%2Fwos%2Fwoscc%2Ffull-record%2FWOS:000611560300001","View Full Record in Web of Science")</f>
        <v>View Full Record in Web of Science</v>
      </c>
    </row>
    <row r="433" spans="1:72" x14ac:dyDescent="0.15">
      <c r="A433" t="s">
        <v>72</v>
      </c>
      <c r="B433" t="s">
        <v>8536</v>
      </c>
      <c r="C433" t="s">
        <v>74</v>
      </c>
      <c r="D433" t="s">
        <v>74</v>
      </c>
      <c r="E433" t="s">
        <v>74</v>
      </c>
      <c r="F433" t="s">
        <v>8537</v>
      </c>
      <c r="G433" t="s">
        <v>74</v>
      </c>
      <c r="H433" t="s">
        <v>74</v>
      </c>
      <c r="I433" t="s">
        <v>8538</v>
      </c>
      <c r="J433" t="s">
        <v>5590</v>
      </c>
      <c r="K433" t="s">
        <v>74</v>
      </c>
      <c r="L433" t="s">
        <v>74</v>
      </c>
      <c r="M433" t="s">
        <v>78</v>
      </c>
      <c r="N433" t="s">
        <v>79</v>
      </c>
      <c r="O433" t="s">
        <v>74</v>
      </c>
      <c r="P433" t="s">
        <v>74</v>
      </c>
      <c r="Q433" t="s">
        <v>74</v>
      </c>
      <c r="R433" t="s">
        <v>74</v>
      </c>
      <c r="S433" t="s">
        <v>74</v>
      </c>
      <c r="T433" t="s">
        <v>8539</v>
      </c>
      <c r="U433" t="s">
        <v>8540</v>
      </c>
      <c r="V433" t="s">
        <v>8541</v>
      </c>
      <c r="W433" t="s">
        <v>8542</v>
      </c>
      <c r="X433" t="s">
        <v>8543</v>
      </c>
      <c r="Y433" t="s">
        <v>8544</v>
      </c>
      <c r="Z433" t="s">
        <v>8545</v>
      </c>
      <c r="AA433" t="s">
        <v>8546</v>
      </c>
      <c r="AB433" t="s">
        <v>8547</v>
      </c>
      <c r="AC433" t="s">
        <v>8548</v>
      </c>
      <c r="AD433" t="s">
        <v>8549</v>
      </c>
      <c r="AE433" t="s">
        <v>8550</v>
      </c>
      <c r="AF433" t="s">
        <v>74</v>
      </c>
      <c r="AG433">
        <v>38</v>
      </c>
      <c r="AH433">
        <v>6</v>
      </c>
      <c r="AI433">
        <v>7</v>
      </c>
      <c r="AJ433">
        <v>0</v>
      </c>
      <c r="AK433">
        <v>20</v>
      </c>
      <c r="AL433" t="s">
        <v>5603</v>
      </c>
      <c r="AM433" t="s">
        <v>5604</v>
      </c>
      <c r="AN433" t="s">
        <v>5605</v>
      </c>
      <c r="AO433" t="s">
        <v>5606</v>
      </c>
      <c r="AP433" t="s">
        <v>5607</v>
      </c>
      <c r="AQ433" t="s">
        <v>74</v>
      </c>
      <c r="AR433" t="s">
        <v>5608</v>
      </c>
      <c r="AS433" t="s">
        <v>5609</v>
      </c>
      <c r="AT433" t="s">
        <v>74</v>
      </c>
      <c r="AU433">
        <v>2021</v>
      </c>
      <c r="AV433">
        <v>14</v>
      </c>
      <c r="AW433" t="s">
        <v>74</v>
      </c>
      <c r="AX433" t="s">
        <v>74</v>
      </c>
      <c r="AY433" t="s">
        <v>74</v>
      </c>
      <c r="AZ433" t="s">
        <v>74</v>
      </c>
      <c r="BA433" t="s">
        <v>74</v>
      </c>
      <c r="BB433">
        <v>2162</v>
      </c>
      <c r="BC433">
        <v>2172</v>
      </c>
      <c r="BD433" t="s">
        <v>74</v>
      </c>
      <c r="BE433" t="s">
        <v>8551</v>
      </c>
      <c r="BF433" t="str">
        <f>HYPERLINK("http://dx.doi.org/10.1109/JSTARS.2021.3051731","http://dx.doi.org/10.1109/JSTARS.2021.3051731")</f>
        <v>http://dx.doi.org/10.1109/JSTARS.2021.3051731</v>
      </c>
      <c r="BG433" t="s">
        <v>74</v>
      </c>
      <c r="BH433" t="s">
        <v>74</v>
      </c>
      <c r="BI433">
        <v>11</v>
      </c>
      <c r="BJ433" t="s">
        <v>5611</v>
      </c>
      <c r="BK433" t="s">
        <v>103</v>
      </c>
      <c r="BL433" t="s">
        <v>5612</v>
      </c>
      <c r="BM433" t="s">
        <v>8552</v>
      </c>
      <c r="BN433" t="s">
        <v>74</v>
      </c>
      <c r="BO433" t="s">
        <v>326</v>
      </c>
      <c r="BP433" t="s">
        <v>74</v>
      </c>
      <c r="BQ433" t="s">
        <v>74</v>
      </c>
      <c r="BR433" t="s">
        <v>106</v>
      </c>
      <c r="BS433" t="s">
        <v>8553</v>
      </c>
      <c r="BT433" t="str">
        <f>HYPERLINK("https%3A%2F%2Fwww.webofscience.com%2Fwos%2Fwoscc%2Ffull-record%2FWOS:000617374800001","View Full Record in Web of Science")</f>
        <v>View Full Record in Web of Science</v>
      </c>
    </row>
    <row r="434" spans="1:72" x14ac:dyDescent="0.15">
      <c r="A434" t="s">
        <v>72</v>
      </c>
      <c r="B434" t="s">
        <v>8554</v>
      </c>
      <c r="C434" t="s">
        <v>74</v>
      </c>
      <c r="D434" t="s">
        <v>74</v>
      </c>
      <c r="E434" t="s">
        <v>74</v>
      </c>
      <c r="F434" t="s">
        <v>8555</v>
      </c>
      <c r="G434" t="s">
        <v>74</v>
      </c>
      <c r="H434" t="s">
        <v>74</v>
      </c>
      <c r="I434" t="s">
        <v>8556</v>
      </c>
      <c r="J434" t="s">
        <v>7543</v>
      </c>
      <c r="K434" t="s">
        <v>74</v>
      </c>
      <c r="L434" t="s">
        <v>74</v>
      </c>
      <c r="M434" t="s">
        <v>78</v>
      </c>
      <c r="N434" t="s">
        <v>79</v>
      </c>
      <c r="O434" t="s">
        <v>74</v>
      </c>
      <c r="P434" t="s">
        <v>74</v>
      </c>
      <c r="Q434" t="s">
        <v>74</v>
      </c>
      <c r="R434" t="s">
        <v>74</v>
      </c>
      <c r="S434" t="s">
        <v>74</v>
      </c>
      <c r="T434" t="s">
        <v>8557</v>
      </c>
      <c r="U434" t="s">
        <v>74</v>
      </c>
      <c r="V434" t="s">
        <v>8558</v>
      </c>
      <c r="W434" t="s">
        <v>8559</v>
      </c>
      <c r="X434" t="s">
        <v>8560</v>
      </c>
      <c r="Y434" t="s">
        <v>8561</v>
      </c>
      <c r="Z434" t="s">
        <v>8562</v>
      </c>
      <c r="AA434" t="s">
        <v>8563</v>
      </c>
      <c r="AB434" t="s">
        <v>8564</v>
      </c>
      <c r="AC434" t="s">
        <v>8565</v>
      </c>
      <c r="AD434" t="s">
        <v>8566</v>
      </c>
      <c r="AE434" t="s">
        <v>8567</v>
      </c>
      <c r="AF434" t="s">
        <v>74</v>
      </c>
      <c r="AG434">
        <v>17</v>
      </c>
      <c r="AH434">
        <v>5</v>
      </c>
      <c r="AI434">
        <v>5</v>
      </c>
      <c r="AJ434">
        <v>2</v>
      </c>
      <c r="AK434">
        <v>9</v>
      </c>
      <c r="AL434" t="s">
        <v>2630</v>
      </c>
      <c r="AM434" t="s">
        <v>2631</v>
      </c>
      <c r="AN434" t="s">
        <v>2632</v>
      </c>
      <c r="AO434" t="s">
        <v>7556</v>
      </c>
      <c r="AP434" t="s">
        <v>7557</v>
      </c>
      <c r="AQ434" t="s">
        <v>74</v>
      </c>
      <c r="AR434" t="s">
        <v>7558</v>
      </c>
      <c r="AS434" t="s">
        <v>7559</v>
      </c>
      <c r="AT434" t="s">
        <v>6088</v>
      </c>
      <c r="AU434">
        <v>2021</v>
      </c>
      <c r="AV434">
        <v>80</v>
      </c>
      <c r="AW434">
        <v>1</v>
      </c>
      <c r="AX434" t="s">
        <v>74</v>
      </c>
      <c r="AY434" t="s">
        <v>74</v>
      </c>
      <c r="AZ434" t="s">
        <v>74</v>
      </c>
      <c r="BA434" t="s">
        <v>74</v>
      </c>
      <c r="BB434" t="s">
        <v>74</v>
      </c>
      <c r="BC434" t="s">
        <v>74</v>
      </c>
      <c r="BD434">
        <v>1886704</v>
      </c>
      <c r="BE434" t="s">
        <v>8568</v>
      </c>
      <c r="BF434" t="str">
        <f>HYPERLINK("http://dx.doi.org/10.1080/22423982.2021.1886704","http://dx.doi.org/10.1080/22423982.2021.1886704")</f>
        <v>http://dx.doi.org/10.1080/22423982.2021.1886704</v>
      </c>
      <c r="BG434" t="s">
        <v>74</v>
      </c>
      <c r="BH434" t="s">
        <v>74</v>
      </c>
      <c r="BI434">
        <v>11</v>
      </c>
      <c r="BJ434" t="s">
        <v>7561</v>
      </c>
      <c r="BK434" t="s">
        <v>271</v>
      </c>
      <c r="BL434" t="s">
        <v>7561</v>
      </c>
      <c r="BM434" t="s">
        <v>8569</v>
      </c>
      <c r="BN434">
        <v>33617415</v>
      </c>
      <c r="BO434" t="s">
        <v>246</v>
      </c>
      <c r="BP434" t="s">
        <v>74</v>
      </c>
      <c r="BQ434" t="s">
        <v>74</v>
      </c>
      <c r="BR434" t="s">
        <v>106</v>
      </c>
      <c r="BS434" t="s">
        <v>8570</v>
      </c>
      <c r="BT434" t="str">
        <f>HYPERLINK("https%3A%2F%2Fwww.webofscience.com%2Fwos%2Fwoscc%2Ffull-record%2FWOS:000620381100001","View Full Record in Web of Science")</f>
        <v>View Full Record in Web of Science</v>
      </c>
    </row>
    <row r="435" spans="1:72" x14ac:dyDescent="0.15">
      <c r="A435" t="s">
        <v>72</v>
      </c>
      <c r="B435" t="s">
        <v>8571</v>
      </c>
      <c r="C435" t="s">
        <v>74</v>
      </c>
      <c r="D435" t="s">
        <v>74</v>
      </c>
      <c r="E435" t="s">
        <v>74</v>
      </c>
      <c r="F435" t="s">
        <v>8572</v>
      </c>
      <c r="G435" t="s">
        <v>74</v>
      </c>
      <c r="H435" t="s">
        <v>74</v>
      </c>
      <c r="I435" t="s">
        <v>8573</v>
      </c>
      <c r="J435" t="s">
        <v>8574</v>
      </c>
      <c r="K435" t="s">
        <v>74</v>
      </c>
      <c r="L435" t="s">
        <v>74</v>
      </c>
      <c r="M435" t="s">
        <v>78</v>
      </c>
      <c r="N435" t="s">
        <v>79</v>
      </c>
      <c r="O435" t="s">
        <v>74</v>
      </c>
      <c r="P435" t="s">
        <v>74</v>
      </c>
      <c r="Q435" t="s">
        <v>74</v>
      </c>
      <c r="R435" t="s">
        <v>74</v>
      </c>
      <c r="S435" t="s">
        <v>74</v>
      </c>
      <c r="T435" t="s">
        <v>8575</v>
      </c>
      <c r="U435" t="s">
        <v>8576</v>
      </c>
      <c r="V435" t="s">
        <v>8577</v>
      </c>
      <c r="W435" t="s">
        <v>8578</v>
      </c>
      <c r="X435" t="s">
        <v>8579</v>
      </c>
      <c r="Y435" t="s">
        <v>8580</v>
      </c>
      <c r="Z435" t="s">
        <v>8581</v>
      </c>
      <c r="AA435" t="s">
        <v>8582</v>
      </c>
      <c r="AB435" t="s">
        <v>8583</v>
      </c>
      <c r="AC435" t="s">
        <v>8584</v>
      </c>
      <c r="AD435" t="s">
        <v>8585</v>
      </c>
      <c r="AE435" t="s">
        <v>8586</v>
      </c>
      <c r="AF435" t="s">
        <v>74</v>
      </c>
      <c r="AG435">
        <v>58</v>
      </c>
      <c r="AH435">
        <v>6</v>
      </c>
      <c r="AI435">
        <v>7</v>
      </c>
      <c r="AJ435">
        <v>2</v>
      </c>
      <c r="AK435">
        <v>8</v>
      </c>
      <c r="AL435" t="s">
        <v>7290</v>
      </c>
      <c r="AM435" t="s">
        <v>7291</v>
      </c>
      <c r="AN435" t="s">
        <v>7292</v>
      </c>
      <c r="AO435" t="s">
        <v>8587</v>
      </c>
      <c r="AP435" t="s">
        <v>8588</v>
      </c>
      <c r="AQ435" t="s">
        <v>74</v>
      </c>
      <c r="AR435" t="s">
        <v>8589</v>
      </c>
      <c r="AS435" t="s">
        <v>8590</v>
      </c>
      <c r="AT435" t="s">
        <v>374</v>
      </c>
      <c r="AU435">
        <v>2021</v>
      </c>
      <c r="AV435">
        <v>34</v>
      </c>
      <c r="AW435">
        <v>1</v>
      </c>
      <c r="AX435" t="s">
        <v>74</v>
      </c>
      <c r="AY435" t="s">
        <v>74</v>
      </c>
      <c r="AZ435" t="s">
        <v>74</v>
      </c>
      <c r="BA435" t="s">
        <v>74</v>
      </c>
      <c r="BB435">
        <v>21</v>
      </c>
      <c r="BC435">
        <v>37</v>
      </c>
      <c r="BD435" t="s">
        <v>74</v>
      </c>
      <c r="BE435" t="s">
        <v>8591</v>
      </c>
      <c r="BF435" t="str">
        <f>HYPERLINK("http://dx.doi.org/10.1175/JCLI-D-20-0257.1","http://dx.doi.org/10.1175/JCLI-D-20-0257.1")</f>
        <v>http://dx.doi.org/10.1175/JCLI-D-20-0257.1</v>
      </c>
      <c r="BG435" t="s">
        <v>74</v>
      </c>
      <c r="BH435" t="s">
        <v>74</v>
      </c>
      <c r="BI435">
        <v>17</v>
      </c>
      <c r="BJ435" t="s">
        <v>687</v>
      </c>
      <c r="BK435" t="s">
        <v>103</v>
      </c>
      <c r="BL435" t="s">
        <v>687</v>
      </c>
      <c r="BM435" t="s">
        <v>8592</v>
      </c>
      <c r="BN435" t="s">
        <v>74</v>
      </c>
      <c r="BO435" t="s">
        <v>3283</v>
      </c>
      <c r="BP435" t="s">
        <v>74</v>
      </c>
      <c r="BQ435" t="s">
        <v>74</v>
      </c>
      <c r="BR435" t="s">
        <v>106</v>
      </c>
      <c r="BS435" t="s">
        <v>8593</v>
      </c>
      <c r="BT435" t="str">
        <f>HYPERLINK("https%3A%2F%2Fwww.webofscience.com%2Fwos%2Fwoscc%2Ffull-record%2FWOS:000615484800002","View Full Record in Web of Science")</f>
        <v>View Full Record in Web of Science</v>
      </c>
    </row>
    <row r="436" spans="1:72" x14ac:dyDescent="0.15">
      <c r="A436" t="s">
        <v>72</v>
      </c>
      <c r="B436" t="s">
        <v>8594</v>
      </c>
      <c r="C436" t="s">
        <v>74</v>
      </c>
      <c r="D436" t="s">
        <v>74</v>
      </c>
      <c r="E436" t="s">
        <v>74</v>
      </c>
      <c r="F436" t="s">
        <v>8595</v>
      </c>
      <c r="G436" t="s">
        <v>74</v>
      </c>
      <c r="H436" t="s">
        <v>74</v>
      </c>
      <c r="I436" t="s">
        <v>8596</v>
      </c>
      <c r="J436" t="s">
        <v>8574</v>
      </c>
      <c r="K436" t="s">
        <v>74</v>
      </c>
      <c r="L436" t="s">
        <v>74</v>
      </c>
      <c r="M436" t="s">
        <v>78</v>
      </c>
      <c r="N436" t="s">
        <v>79</v>
      </c>
      <c r="O436" t="s">
        <v>74</v>
      </c>
      <c r="P436" t="s">
        <v>74</v>
      </c>
      <c r="Q436" t="s">
        <v>74</v>
      </c>
      <c r="R436" t="s">
        <v>74</v>
      </c>
      <c r="S436" t="s">
        <v>74</v>
      </c>
      <c r="T436" t="s">
        <v>8597</v>
      </c>
      <c r="U436" t="s">
        <v>74</v>
      </c>
      <c r="V436" t="s">
        <v>8598</v>
      </c>
      <c r="W436" t="s">
        <v>8599</v>
      </c>
      <c r="X436" t="s">
        <v>8600</v>
      </c>
      <c r="Y436" t="s">
        <v>8601</v>
      </c>
      <c r="Z436" t="s">
        <v>8602</v>
      </c>
      <c r="AA436" t="s">
        <v>8603</v>
      </c>
      <c r="AB436" t="s">
        <v>8604</v>
      </c>
      <c r="AC436" t="s">
        <v>8605</v>
      </c>
      <c r="AD436" t="s">
        <v>8606</v>
      </c>
      <c r="AE436" t="s">
        <v>8607</v>
      </c>
      <c r="AF436" t="s">
        <v>74</v>
      </c>
      <c r="AG436">
        <v>49</v>
      </c>
      <c r="AH436">
        <v>5</v>
      </c>
      <c r="AI436">
        <v>5</v>
      </c>
      <c r="AJ436">
        <v>1</v>
      </c>
      <c r="AK436">
        <v>7</v>
      </c>
      <c r="AL436" t="s">
        <v>7290</v>
      </c>
      <c r="AM436" t="s">
        <v>7291</v>
      </c>
      <c r="AN436" t="s">
        <v>7292</v>
      </c>
      <c r="AO436" t="s">
        <v>8587</v>
      </c>
      <c r="AP436" t="s">
        <v>8588</v>
      </c>
      <c r="AQ436" t="s">
        <v>74</v>
      </c>
      <c r="AR436" t="s">
        <v>8589</v>
      </c>
      <c r="AS436" t="s">
        <v>8590</v>
      </c>
      <c r="AT436" t="s">
        <v>374</v>
      </c>
      <c r="AU436">
        <v>2021</v>
      </c>
      <c r="AV436">
        <v>34</v>
      </c>
      <c r="AW436">
        <v>1</v>
      </c>
      <c r="AX436" t="s">
        <v>74</v>
      </c>
      <c r="AY436" t="s">
        <v>74</v>
      </c>
      <c r="AZ436" t="s">
        <v>74</v>
      </c>
      <c r="BA436" t="s">
        <v>74</v>
      </c>
      <c r="BB436">
        <v>143</v>
      </c>
      <c r="BC436">
        <v>155</v>
      </c>
      <c r="BD436" t="s">
        <v>74</v>
      </c>
      <c r="BE436" t="s">
        <v>8608</v>
      </c>
      <c r="BF436" t="str">
        <f>HYPERLINK("http://dx.doi.org/10.1175/JCLI-D-19-0964.1","http://dx.doi.org/10.1175/JCLI-D-19-0964.1")</f>
        <v>http://dx.doi.org/10.1175/JCLI-D-19-0964.1</v>
      </c>
      <c r="BG436" t="s">
        <v>74</v>
      </c>
      <c r="BH436" t="s">
        <v>74</v>
      </c>
      <c r="BI436">
        <v>13</v>
      </c>
      <c r="BJ436" t="s">
        <v>687</v>
      </c>
      <c r="BK436" t="s">
        <v>103</v>
      </c>
      <c r="BL436" t="s">
        <v>687</v>
      </c>
      <c r="BM436" t="s">
        <v>8592</v>
      </c>
      <c r="BN436" t="s">
        <v>74</v>
      </c>
      <c r="BO436" t="s">
        <v>7330</v>
      </c>
      <c r="BP436" t="s">
        <v>74</v>
      </c>
      <c r="BQ436" t="s">
        <v>74</v>
      </c>
      <c r="BR436" t="s">
        <v>106</v>
      </c>
      <c r="BS436" t="s">
        <v>8609</v>
      </c>
      <c r="BT436" t="str">
        <f>HYPERLINK("https%3A%2F%2Fwww.webofscience.com%2Fwos%2Fwoscc%2Ffull-record%2FWOS:000615484800009","View Full Record in Web of Science")</f>
        <v>View Full Record in Web of Science</v>
      </c>
    </row>
    <row r="437" spans="1:72" x14ac:dyDescent="0.15">
      <c r="A437" t="s">
        <v>72</v>
      </c>
      <c r="B437" t="s">
        <v>8610</v>
      </c>
      <c r="C437" t="s">
        <v>74</v>
      </c>
      <c r="D437" t="s">
        <v>74</v>
      </c>
      <c r="E437" t="s">
        <v>74</v>
      </c>
      <c r="F437" t="s">
        <v>8611</v>
      </c>
      <c r="G437" t="s">
        <v>74</v>
      </c>
      <c r="H437" t="s">
        <v>74</v>
      </c>
      <c r="I437" t="s">
        <v>8612</v>
      </c>
      <c r="J437" t="s">
        <v>8574</v>
      </c>
      <c r="K437" t="s">
        <v>74</v>
      </c>
      <c r="L437" t="s">
        <v>74</v>
      </c>
      <c r="M437" t="s">
        <v>78</v>
      </c>
      <c r="N437" t="s">
        <v>79</v>
      </c>
      <c r="O437" t="s">
        <v>74</v>
      </c>
      <c r="P437" t="s">
        <v>74</v>
      </c>
      <c r="Q437" t="s">
        <v>74</v>
      </c>
      <c r="R437" t="s">
        <v>74</v>
      </c>
      <c r="S437" t="s">
        <v>74</v>
      </c>
      <c r="T437" t="s">
        <v>8613</v>
      </c>
      <c r="U437" t="s">
        <v>74</v>
      </c>
      <c r="V437" t="s">
        <v>8614</v>
      </c>
      <c r="W437" t="s">
        <v>8615</v>
      </c>
      <c r="X437" t="s">
        <v>8616</v>
      </c>
      <c r="Y437" t="s">
        <v>8617</v>
      </c>
      <c r="Z437" t="s">
        <v>8618</v>
      </c>
      <c r="AA437" t="s">
        <v>8619</v>
      </c>
      <c r="AB437" t="s">
        <v>8620</v>
      </c>
      <c r="AC437" t="s">
        <v>8621</v>
      </c>
      <c r="AD437" t="s">
        <v>8622</v>
      </c>
      <c r="AE437" t="s">
        <v>8623</v>
      </c>
      <c r="AF437" t="s">
        <v>74</v>
      </c>
      <c r="AG437">
        <v>74</v>
      </c>
      <c r="AH437">
        <v>12</v>
      </c>
      <c r="AI437">
        <v>12</v>
      </c>
      <c r="AJ437">
        <v>1</v>
      </c>
      <c r="AK437">
        <v>27</v>
      </c>
      <c r="AL437" t="s">
        <v>7290</v>
      </c>
      <c r="AM437" t="s">
        <v>7291</v>
      </c>
      <c r="AN437" t="s">
        <v>7292</v>
      </c>
      <c r="AO437" t="s">
        <v>8587</v>
      </c>
      <c r="AP437" t="s">
        <v>8588</v>
      </c>
      <c r="AQ437" t="s">
        <v>74</v>
      </c>
      <c r="AR437" t="s">
        <v>8589</v>
      </c>
      <c r="AS437" t="s">
        <v>8590</v>
      </c>
      <c r="AT437" t="s">
        <v>374</v>
      </c>
      <c r="AU437">
        <v>2021</v>
      </c>
      <c r="AV437">
        <v>34</v>
      </c>
      <c r="AW437">
        <v>1</v>
      </c>
      <c r="AX437" t="s">
        <v>74</v>
      </c>
      <c r="AY437" t="s">
        <v>74</v>
      </c>
      <c r="AZ437" t="s">
        <v>74</v>
      </c>
      <c r="BA437" t="s">
        <v>74</v>
      </c>
      <c r="BB437">
        <v>215</v>
      </c>
      <c r="BC437">
        <v>228</v>
      </c>
      <c r="BD437" t="s">
        <v>74</v>
      </c>
      <c r="BE437" t="s">
        <v>8624</v>
      </c>
      <c r="BF437" t="str">
        <f>HYPERLINK("http://dx.doi.org/10.1175/JCLI-D-20-0454.1","http://dx.doi.org/10.1175/JCLI-D-20-0454.1")</f>
        <v>http://dx.doi.org/10.1175/JCLI-D-20-0454.1</v>
      </c>
      <c r="BG437" t="s">
        <v>74</v>
      </c>
      <c r="BH437" t="s">
        <v>74</v>
      </c>
      <c r="BI437">
        <v>14</v>
      </c>
      <c r="BJ437" t="s">
        <v>687</v>
      </c>
      <c r="BK437" t="s">
        <v>103</v>
      </c>
      <c r="BL437" t="s">
        <v>687</v>
      </c>
      <c r="BM437" t="s">
        <v>8592</v>
      </c>
      <c r="BN437" t="s">
        <v>74</v>
      </c>
      <c r="BO437" t="s">
        <v>8625</v>
      </c>
      <c r="BP437" t="s">
        <v>74</v>
      </c>
      <c r="BQ437" t="s">
        <v>74</v>
      </c>
      <c r="BR437" t="s">
        <v>106</v>
      </c>
      <c r="BS437" t="s">
        <v>8626</v>
      </c>
      <c r="BT437" t="str">
        <f>HYPERLINK("https%3A%2F%2Fwww.webofscience.com%2Fwos%2Fwoscc%2Ffull-record%2FWOS:000615484800013","View Full Record in Web of Science")</f>
        <v>View Full Record in Web of Science</v>
      </c>
    </row>
    <row r="438" spans="1:72" x14ac:dyDescent="0.15">
      <c r="A438" t="s">
        <v>72</v>
      </c>
      <c r="B438" t="s">
        <v>8627</v>
      </c>
      <c r="C438" t="s">
        <v>74</v>
      </c>
      <c r="D438" t="s">
        <v>74</v>
      </c>
      <c r="E438" t="s">
        <v>74</v>
      </c>
      <c r="F438" t="s">
        <v>8628</v>
      </c>
      <c r="G438" t="s">
        <v>74</v>
      </c>
      <c r="H438" t="s">
        <v>74</v>
      </c>
      <c r="I438" t="s">
        <v>8629</v>
      </c>
      <c r="J438" t="s">
        <v>8630</v>
      </c>
      <c r="K438" t="s">
        <v>74</v>
      </c>
      <c r="L438" t="s">
        <v>74</v>
      </c>
      <c r="M438" t="s">
        <v>78</v>
      </c>
      <c r="N438" t="s">
        <v>79</v>
      </c>
      <c r="O438" t="s">
        <v>74</v>
      </c>
      <c r="P438" t="s">
        <v>74</v>
      </c>
      <c r="Q438" t="s">
        <v>74</v>
      </c>
      <c r="R438" t="s">
        <v>74</v>
      </c>
      <c r="S438" t="s">
        <v>74</v>
      </c>
      <c r="T438" t="s">
        <v>8631</v>
      </c>
      <c r="U438" t="s">
        <v>8632</v>
      </c>
      <c r="V438" t="s">
        <v>8633</v>
      </c>
      <c r="W438" t="s">
        <v>8634</v>
      </c>
      <c r="X438" t="s">
        <v>8635</v>
      </c>
      <c r="Y438" t="s">
        <v>8636</v>
      </c>
      <c r="Z438" t="s">
        <v>8637</v>
      </c>
      <c r="AA438" t="s">
        <v>8638</v>
      </c>
      <c r="AB438" t="s">
        <v>8639</v>
      </c>
      <c r="AC438" t="s">
        <v>8640</v>
      </c>
      <c r="AD438" t="s">
        <v>8640</v>
      </c>
      <c r="AE438" t="s">
        <v>8641</v>
      </c>
      <c r="AF438" t="s">
        <v>74</v>
      </c>
      <c r="AG438">
        <v>45</v>
      </c>
      <c r="AH438">
        <v>1</v>
      </c>
      <c r="AI438">
        <v>2</v>
      </c>
      <c r="AJ438">
        <v>1</v>
      </c>
      <c r="AK438">
        <v>10</v>
      </c>
      <c r="AL438" t="s">
        <v>6635</v>
      </c>
      <c r="AM438" t="s">
        <v>473</v>
      </c>
      <c r="AN438" t="s">
        <v>6636</v>
      </c>
      <c r="AO438" t="s">
        <v>8642</v>
      </c>
      <c r="AP438" t="s">
        <v>8643</v>
      </c>
      <c r="AQ438" t="s">
        <v>74</v>
      </c>
      <c r="AR438" t="s">
        <v>8644</v>
      </c>
      <c r="AS438" t="s">
        <v>8645</v>
      </c>
      <c r="AT438" t="s">
        <v>374</v>
      </c>
      <c r="AU438">
        <v>2021</v>
      </c>
      <c r="AV438">
        <v>55</v>
      </c>
      <c r="AW438">
        <v>1</v>
      </c>
      <c r="AX438" t="s">
        <v>74</v>
      </c>
      <c r="AY438" t="s">
        <v>74</v>
      </c>
      <c r="AZ438" t="s">
        <v>74</v>
      </c>
      <c r="BA438" t="s">
        <v>74</v>
      </c>
      <c r="BB438">
        <v>36</v>
      </c>
      <c r="BC438">
        <v>46</v>
      </c>
      <c r="BD438" t="s">
        <v>74</v>
      </c>
      <c r="BE438" t="s">
        <v>8646</v>
      </c>
      <c r="BF438" t="str">
        <f>HYPERLINK("http://dx.doi.org/10.3103/S0095452721010047","http://dx.doi.org/10.3103/S0095452721010047")</f>
        <v>http://dx.doi.org/10.3103/S0095452721010047</v>
      </c>
      <c r="BG438" t="s">
        <v>74</v>
      </c>
      <c r="BH438" t="s">
        <v>74</v>
      </c>
      <c r="BI438">
        <v>11</v>
      </c>
      <c r="BJ438" t="s">
        <v>2637</v>
      </c>
      <c r="BK438" t="s">
        <v>103</v>
      </c>
      <c r="BL438" t="s">
        <v>2637</v>
      </c>
      <c r="BM438" t="s">
        <v>8647</v>
      </c>
      <c r="BN438" t="s">
        <v>74</v>
      </c>
      <c r="BO438" t="s">
        <v>74</v>
      </c>
      <c r="BP438" t="s">
        <v>74</v>
      </c>
      <c r="BQ438" t="s">
        <v>74</v>
      </c>
      <c r="BR438" t="s">
        <v>106</v>
      </c>
      <c r="BS438" t="s">
        <v>8648</v>
      </c>
      <c r="BT438" t="str">
        <f>HYPERLINK("https%3A%2F%2Fwww.webofscience.com%2Fwos%2Fwoscc%2Ffull-record%2FWOS:000616315600005","View Full Record in Web of Science")</f>
        <v>View Full Record in Web of Science</v>
      </c>
    </row>
    <row r="439" spans="1:72" x14ac:dyDescent="0.15">
      <c r="A439" t="s">
        <v>72</v>
      </c>
      <c r="B439" t="s">
        <v>8649</v>
      </c>
      <c r="C439" t="s">
        <v>74</v>
      </c>
      <c r="D439" t="s">
        <v>74</v>
      </c>
      <c r="E439" t="s">
        <v>74</v>
      </c>
      <c r="F439" t="s">
        <v>8650</v>
      </c>
      <c r="G439" t="s">
        <v>74</v>
      </c>
      <c r="H439" t="s">
        <v>74</v>
      </c>
      <c r="I439" t="s">
        <v>8651</v>
      </c>
      <c r="J439" t="s">
        <v>1904</v>
      </c>
      <c r="K439" t="s">
        <v>74</v>
      </c>
      <c r="L439" t="s">
        <v>74</v>
      </c>
      <c r="M439" t="s">
        <v>78</v>
      </c>
      <c r="N439" t="s">
        <v>79</v>
      </c>
      <c r="O439" t="s">
        <v>74</v>
      </c>
      <c r="P439" t="s">
        <v>74</v>
      </c>
      <c r="Q439" t="s">
        <v>74</v>
      </c>
      <c r="R439" t="s">
        <v>74</v>
      </c>
      <c r="S439" t="s">
        <v>74</v>
      </c>
      <c r="T439" t="s">
        <v>74</v>
      </c>
      <c r="U439" t="s">
        <v>8652</v>
      </c>
      <c r="V439" t="s">
        <v>74</v>
      </c>
      <c r="W439" t="s">
        <v>8653</v>
      </c>
      <c r="X439" t="s">
        <v>8654</v>
      </c>
      <c r="Y439" t="s">
        <v>8655</v>
      </c>
      <c r="Z439" t="s">
        <v>8656</v>
      </c>
      <c r="AA439" t="s">
        <v>8657</v>
      </c>
      <c r="AB439" t="s">
        <v>8658</v>
      </c>
      <c r="AC439" t="s">
        <v>8659</v>
      </c>
      <c r="AD439" t="s">
        <v>8660</v>
      </c>
      <c r="AE439" t="s">
        <v>74</v>
      </c>
      <c r="AF439" t="s">
        <v>74</v>
      </c>
      <c r="AG439">
        <v>145</v>
      </c>
      <c r="AH439">
        <v>13</v>
      </c>
      <c r="AI439">
        <v>14</v>
      </c>
      <c r="AJ439">
        <v>5</v>
      </c>
      <c r="AK439">
        <v>23</v>
      </c>
      <c r="AL439" t="s">
        <v>1913</v>
      </c>
      <c r="AM439" t="s">
        <v>1914</v>
      </c>
      <c r="AN439" t="s">
        <v>1915</v>
      </c>
      <c r="AO439" t="s">
        <v>1916</v>
      </c>
      <c r="AP439" t="s">
        <v>1917</v>
      </c>
      <c r="AQ439" t="s">
        <v>74</v>
      </c>
      <c r="AR439" t="s">
        <v>1918</v>
      </c>
      <c r="AS439" t="s">
        <v>1919</v>
      </c>
      <c r="AT439" t="s">
        <v>374</v>
      </c>
      <c r="AU439">
        <v>2021</v>
      </c>
      <c r="AV439">
        <v>178</v>
      </c>
      <c r="AW439">
        <v>1</v>
      </c>
      <c r="AX439" t="s">
        <v>74</v>
      </c>
      <c r="AY439" t="s">
        <v>74</v>
      </c>
      <c r="AZ439" t="s">
        <v>74</v>
      </c>
      <c r="BA439" t="s">
        <v>74</v>
      </c>
      <c r="BB439" t="s">
        <v>74</v>
      </c>
      <c r="BC439" t="s">
        <v>74</v>
      </c>
      <c r="BD439" t="s">
        <v>8661</v>
      </c>
      <c r="BE439" t="s">
        <v>8662</v>
      </c>
      <c r="BF439" t="str">
        <f>HYPERLINK("http://dx.doi.org/10.1144/jgs2020-239","http://dx.doi.org/10.1144/jgs2020-239")</f>
        <v>http://dx.doi.org/10.1144/jgs2020-239</v>
      </c>
      <c r="BG439" t="s">
        <v>74</v>
      </c>
      <c r="BH439" t="s">
        <v>74</v>
      </c>
      <c r="BI439">
        <v>13</v>
      </c>
      <c r="BJ439" t="s">
        <v>401</v>
      </c>
      <c r="BK439" t="s">
        <v>103</v>
      </c>
      <c r="BL439" t="s">
        <v>402</v>
      </c>
      <c r="BM439" t="s">
        <v>8663</v>
      </c>
      <c r="BN439" t="s">
        <v>74</v>
      </c>
      <c r="BO439" t="s">
        <v>352</v>
      </c>
      <c r="BP439" t="s">
        <v>74</v>
      </c>
      <c r="BQ439" t="s">
        <v>74</v>
      </c>
      <c r="BR439" t="s">
        <v>106</v>
      </c>
      <c r="BS439" t="s">
        <v>8664</v>
      </c>
      <c r="BT439" t="str">
        <f>HYPERLINK("https%3A%2F%2Fwww.webofscience.com%2Fwos%2Fwoscc%2Ffull-record%2FWOS:000613076200024","View Full Record in Web of Science")</f>
        <v>View Full Record in Web of Science</v>
      </c>
    </row>
    <row r="440" spans="1:72" x14ac:dyDescent="0.15">
      <c r="A440" t="s">
        <v>72</v>
      </c>
      <c r="B440" t="s">
        <v>8665</v>
      </c>
      <c r="C440" t="s">
        <v>74</v>
      </c>
      <c r="D440" t="s">
        <v>74</v>
      </c>
      <c r="E440" t="s">
        <v>74</v>
      </c>
      <c r="F440" t="s">
        <v>8666</v>
      </c>
      <c r="G440" t="s">
        <v>74</v>
      </c>
      <c r="H440" t="s">
        <v>74</v>
      </c>
      <c r="I440" t="s">
        <v>8667</v>
      </c>
      <c r="J440" t="s">
        <v>8668</v>
      </c>
      <c r="K440" t="s">
        <v>74</v>
      </c>
      <c r="L440" t="s">
        <v>74</v>
      </c>
      <c r="M440" t="s">
        <v>78</v>
      </c>
      <c r="N440" t="s">
        <v>79</v>
      </c>
      <c r="O440" t="s">
        <v>74</v>
      </c>
      <c r="P440" t="s">
        <v>74</v>
      </c>
      <c r="Q440" t="s">
        <v>74</v>
      </c>
      <c r="R440" t="s">
        <v>74</v>
      </c>
      <c r="S440" t="s">
        <v>74</v>
      </c>
      <c r="T440" t="s">
        <v>8669</v>
      </c>
      <c r="U440" t="s">
        <v>74</v>
      </c>
      <c r="V440" t="s">
        <v>8670</v>
      </c>
      <c r="W440" t="s">
        <v>8671</v>
      </c>
      <c r="X440" t="s">
        <v>8672</v>
      </c>
      <c r="Y440" t="s">
        <v>8673</v>
      </c>
      <c r="Z440" t="s">
        <v>8674</v>
      </c>
      <c r="AA440" t="s">
        <v>8675</v>
      </c>
      <c r="AB440" t="s">
        <v>8676</v>
      </c>
      <c r="AC440" t="s">
        <v>8677</v>
      </c>
      <c r="AD440" t="s">
        <v>8678</v>
      </c>
      <c r="AE440" t="s">
        <v>8679</v>
      </c>
      <c r="AF440" t="s">
        <v>74</v>
      </c>
      <c r="AG440">
        <v>72</v>
      </c>
      <c r="AH440">
        <v>27</v>
      </c>
      <c r="AI440">
        <v>31</v>
      </c>
      <c r="AJ440">
        <v>10</v>
      </c>
      <c r="AK440">
        <v>87</v>
      </c>
      <c r="AL440" t="s">
        <v>92</v>
      </c>
      <c r="AM440" t="s">
        <v>93</v>
      </c>
      <c r="AN440" t="s">
        <v>94</v>
      </c>
      <c r="AO440" t="s">
        <v>8680</v>
      </c>
      <c r="AP440" t="s">
        <v>74</v>
      </c>
      <c r="AQ440" t="s">
        <v>74</v>
      </c>
      <c r="AR440" t="s">
        <v>8681</v>
      </c>
      <c r="AS440" t="s">
        <v>8682</v>
      </c>
      <c r="AT440" t="s">
        <v>374</v>
      </c>
      <c r="AU440">
        <v>2021</v>
      </c>
      <c r="AV440">
        <v>35</v>
      </c>
      <c r="AW440" t="s">
        <v>74</v>
      </c>
      <c r="AX440" t="s">
        <v>74</v>
      </c>
      <c r="AY440" t="s">
        <v>74</v>
      </c>
      <c r="AZ440" t="s">
        <v>74</v>
      </c>
      <c r="BA440" t="s">
        <v>74</v>
      </c>
      <c r="BB440" t="s">
        <v>74</v>
      </c>
      <c r="BC440" t="s">
        <v>74</v>
      </c>
      <c r="BD440">
        <v>100740</v>
      </c>
      <c r="BE440" t="s">
        <v>8683</v>
      </c>
      <c r="BF440" t="str">
        <f>HYPERLINK("http://dx.doi.org/10.1016/j.uclim.2020.100740","http://dx.doi.org/10.1016/j.uclim.2020.100740")</f>
        <v>http://dx.doi.org/10.1016/j.uclim.2020.100740</v>
      </c>
      <c r="BG440" t="s">
        <v>74</v>
      </c>
      <c r="BH440" t="s">
        <v>74</v>
      </c>
      <c r="BI440">
        <v>16</v>
      </c>
      <c r="BJ440" t="s">
        <v>132</v>
      </c>
      <c r="BK440" t="s">
        <v>271</v>
      </c>
      <c r="BL440" t="s">
        <v>133</v>
      </c>
      <c r="BM440" t="s">
        <v>8684</v>
      </c>
      <c r="BN440" t="s">
        <v>74</v>
      </c>
      <c r="BO440" t="s">
        <v>74</v>
      </c>
      <c r="BP440" t="s">
        <v>74</v>
      </c>
      <c r="BQ440" t="s">
        <v>74</v>
      </c>
      <c r="BR440" t="s">
        <v>106</v>
      </c>
      <c r="BS440" t="s">
        <v>8685</v>
      </c>
      <c r="BT440" t="str">
        <f>HYPERLINK("https%3A%2F%2Fwww.webofscience.com%2Fwos%2Fwoscc%2Ffull-record%2FWOS:000613634900001","View Full Record in Web of Science")</f>
        <v>View Full Record in Web of Science</v>
      </c>
    </row>
    <row r="441" spans="1:72" x14ac:dyDescent="0.15">
      <c r="A441" t="s">
        <v>72</v>
      </c>
      <c r="B441" t="s">
        <v>8686</v>
      </c>
      <c r="C441" t="s">
        <v>74</v>
      </c>
      <c r="D441" t="s">
        <v>74</v>
      </c>
      <c r="E441" t="s">
        <v>74</v>
      </c>
      <c r="F441" t="s">
        <v>8687</v>
      </c>
      <c r="G441" t="s">
        <v>74</v>
      </c>
      <c r="H441" t="s">
        <v>74</v>
      </c>
      <c r="I441" t="s">
        <v>8688</v>
      </c>
      <c r="J441" t="s">
        <v>8689</v>
      </c>
      <c r="K441" t="s">
        <v>74</v>
      </c>
      <c r="L441" t="s">
        <v>74</v>
      </c>
      <c r="M441" t="s">
        <v>78</v>
      </c>
      <c r="N441" t="s">
        <v>79</v>
      </c>
      <c r="O441" t="s">
        <v>74</v>
      </c>
      <c r="P441" t="s">
        <v>74</v>
      </c>
      <c r="Q441" t="s">
        <v>74</v>
      </c>
      <c r="R441" t="s">
        <v>74</v>
      </c>
      <c r="S441" t="s">
        <v>74</v>
      </c>
      <c r="T441" t="s">
        <v>8690</v>
      </c>
      <c r="U441" t="s">
        <v>8691</v>
      </c>
      <c r="V441" t="s">
        <v>8692</v>
      </c>
      <c r="W441" t="s">
        <v>8693</v>
      </c>
      <c r="X441" t="s">
        <v>8694</v>
      </c>
      <c r="Y441" t="s">
        <v>8695</v>
      </c>
      <c r="Z441" t="s">
        <v>8696</v>
      </c>
      <c r="AA441" t="s">
        <v>8697</v>
      </c>
      <c r="AB441" t="s">
        <v>8698</v>
      </c>
      <c r="AC441" t="s">
        <v>8699</v>
      </c>
      <c r="AD441" t="s">
        <v>8700</v>
      </c>
      <c r="AE441" t="s">
        <v>8701</v>
      </c>
      <c r="AF441" t="s">
        <v>74</v>
      </c>
      <c r="AG441">
        <v>53</v>
      </c>
      <c r="AH441">
        <v>7</v>
      </c>
      <c r="AI441">
        <v>9</v>
      </c>
      <c r="AJ441">
        <v>0</v>
      </c>
      <c r="AK441">
        <v>15</v>
      </c>
      <c r="AL441" t="s">
        <v>92</v>
      </c>
      <c r="AM441" t="s">
        <v>93</v>
      </c>
      <c r="AN441" t="s">
        <v>94</v>
      </c>
      <c r="AO441" t="s">
        <v>8702</v>
      </c>
      <c r="AP441" t="s">
        <v>8703</v>
      </c>
      <c r="AQ441" t="s">
        <v>74</v>
      </c>
      <c r="AR441" t="s">
        <v>8704</v>
      </c>
      <c r="AS441" t="s">
        <v>8705</v>
      </c>
      <c r="AT441" t="s">
        <v>374</v>
      </c>
      <c r="AU441">
        <v>2021</v>
      </c>
      <c r="AV441">
        <v>139</v>
      </c>
      <c r="AW441" t="s">
        <v>74</v>
      </c>
      <c r="AX441" t="s">
        <v>74</v>
      </c>
      <c r="AY441" t="s">
        <v>74</v>
      </c>
      <c r="AZ441" t="s">
        <v>74</v>
      </c>
      <c r="BA441" t="s">
        <v>74</v>
      </c>
      <c r="BB441" t="s">
        <v>74</v>
      </c>
      <c r="BC441" t="s">
        <v>74</v>
      </c>
      <c r="BD441">
        <v>109944</v>
      </c>
      <c r="BE441" t="s">
        <v>8706</v>
      </c>
      <c r="BF441" t="str">
        <f>HYPERLINK("http://dx.doi.org/10.1016/j.foodres.2020.109944","http://dx.doi.org/10.1016/j.foodres.2020.109944")</f>
        <v>http://dx.doi.org/10.1016/j.foodres.2020.109944</v>
      </c>
      <c r="BG441" t="s">
        <v>74</v>
      </c>
      <c r="BH441" t="s">
        <v>74</v>
      </c>
      <c r="BI441">
        <v>8</v>
      </c>
      <c r="BJ441" t="s">
        <v>5390</v>
      </c>
      <c r="BK441" t="s">
        <v>103</v>
      </c>
      <c r="BL441" t="s">
        <v>5390</v>
      </c>
      <c r="BM441" t="s">
        <v>8707</v>
      </c>
      <c r="BN441">
        <v>33509497</v>
      </c>
      <c r="BO441" t="s">
        <v>74</v>
      </c>
      <c r="BP441" t="s">
        <v>74</v>
      </c>
      <c r="BQ441" t="s">
        <v>74</v>
      </c>
      <c r="BR441" t="s">
        <v>106</v>
      </c>
      <c r="BS441" t="s">
        <v>8708</v>
      </c>
      <c r="BT441" t="str">
        <f>HYPERLINK("https%3A%2F%2Fwww.webofscience.com%2Fwos%2Fwoscc%2Ffull-record%2FWOS:000614712500002","View Full Record in Web of Science")</f>
        <v>View Full Record in Web of Science</v>
      </c>
    </row>
    <row r="442" spans="1:72" x14ac:dyDescent="0.15">
      <c r="A442" t="s">
        <v>72</v>
      </c>
      <c r="B442" t="s">
        <v>8709</v>
      </c>
      <c r="C442" t="s">
        <v>74</v>
      </c>
      <c r="D442" t="s">
        <v>74</v>
      </c>
      <c r="E442" t="s">
        <v>74</v>
      </c>
      <c r="F442" t="s">
        <v>8710</v>
      </c>
      <c r="G442" t="s">
        <v>74</v>
      </c>
      <c r="H442" t="s">
        <v>74</v>
      </c>
      <c r="I442" t="s">
        <v>8711</v>
      </c>
      <c r="J442" t="s">
        <v>8712</v>
      </c>
      <c r="K442" t="s">
        <v>74</v>
      </c>
      <c r="L442" t="s">
        <v>74</v>
      </c>
      <c r="M442" t="s">
        <v>78</v>
      </c>
      <c r="N442" t="s">
        <v>79</v>
      </c>
      <c r="O442" t="s">
        <v>74</v>
      </c>
      <c r="P442" t="s">
        <v>74</v>
      </c>
      <c r="Q442" t="s">
        <v>74</v>
      </c>
      <c r="R442" t="s">
        <v>74</v>
      </c>
      <c r="S442" t="s">
        <v>74</v>
      </c>
      <c r="T442" t="s">
        <v>74</v>
      </c>
      <c r="U442" t="s">
        <v>74</v>
      </c>
      <c r="V442" t="s">
        <v>8713</v>
      </c>
      <c r="W442" t="s">
        <v>8714</v>
      </c>
      <c r="X442" t="s">
        <v>8715</v>
      </c>
      <c r="Y442" t="s">
        <v>8716</v>
      </c>
      <c r="Z442" t="s">
        <v>8717</v>
      </c>
      <c r="AA442" t="s">
        <v>8718</v>
      </c>
      <c r="AB442" t="s">
        <v>8719</v>
      </c>
      <c r="AC442" t="s">
        <v>8720</v>
      </c>
      <c r="AD442" t="s">
        <v>8720</v>
      </c>
      <c r="AE442" t="s">
        <v>8721</v>
      </c>
      <c r="AF442" t="s">
        <v>74</v>
      </c>
      <c r="AG442">
        <v>95</v>
      </c>
      <c r="AH442">
        <v>9</v>
      </c>
      <c r="AI442">
        <v>9</v>
      </c>
      <c r="AJ442">
        <v>1</v>
      </c>
      <c r="AK442">
        <v>6</v>
      </c>
      <c r="AL442" t="s">
        <v>1291</v>
      </c>
      <c r="AM442" t="s">
        <v>629</v>
      </c>
      <c r="AN442" t="s">
        <v>1292</v>
      </c>
      <c r="AO442" t="s">
        <v>74</v>
      </c>
      <c r="AP442" t="s">
        <v>8722</v>
      </c>
      <c r="AQ442" t="s">
        <v>74</v>
      </c>
      <c r="AR442" t="s">
        <v>8723</v>
      </c>
      <c r="AS442" t="s">
        <v>8724</v>
      </c>
      <c r="AT442" t="s">
        <v>374</v>
      </c>
      <c r="AU442">
        <v>2021</v>
      </c>
      <c r="AV442">
        <v>22</v>
      </c>
      <c r="AW442">
        <v>1</v>
      </c>
      <c r="AX442" t="s">
        <v>74</v>
      </c>
      <c r="AY442" t="s">
        <v>74</v>
      </c>
      <c r="AZ442" t="s">
        <v>74</v>
      </c>
      <c r="BA442" t="s">
        <v>74</v>
      </c>
      <c r="BB442" t="s">
        <v>74</v>
      </c>
      <c r="BC442" t="s">
        <v>74</v>
      </c>
      <c r="BD442" t="s">
        <v>8725</v>
      </c>
      <c r="BE442" t="s">
        <v>8726</v>
      </c>
      <c r="BF442" t="str">
        <f>HYPERLINK("http://dx.doi.org/10.1029/2020GC009333","http://dx.doi.org/10.1029/2020GC009333")</f>
        <v>http://dx.doi.org/10.1029/2020GC009333</v>
      </c>
      <c r="BG442" t="s">
        <v>74</v>
      </c>
      <c r="BH442" t="s">
        <v>74</v>
      </c>
      <c r="BI442">
        <v>21</v>
      </c>
      <c r="BJ442" t="s">
        <v>426</v>
      </c>
      <c r="BK442" t="s">
        <v>103</v>
      </c>
      <c r="BL442" t="s">
        <v>426</v>
      </c>
      <c r="BM442" t="s">
        <v>8727</v>
      </c>
      <c r="BN442" t="s">
        <v>74</v>
      </c>
      <c r="BO442" t="s">
        <v>1708</v>
      </c>
      <c r="BP442" t="s">
        <v>74</v>
      </c>
      <c r="BQ442" t="s">
        <v>74</v>
      </c>
      <c r="BR442" t="s">
        <v>106</v>
      </c>
      <c r="BS442" t="s">
        <v>8728</v>
      </c>
      <c r="BT442" t="str">
        <f>HYPERLINK("https%3A%2F%2Fwww.webofscience.com%2Fwos%2Fwoscc%2Ffull-record%2FWOS:000614123600002","View Full Record in Web of Science")</f>
        <v>View Full Record in Web of Science</v>
      </c>
    </row>
    <row r="443" spans="1:72" x14ac:dyDescent="0.15">
      <c r="A443" t="s">
        <v>72</v>
      </c>
      <c r="B443" t="s">
        <v>8729</v>
      </c>
      <c r="C443" t="s">
        <v>74</v>
      </c>
      <c r="D443" t="s">
        <v>74</v>
      </c>
      <c r="E443" t="s">
        <v>74</v>
      </c>
      <c r="F443" t="s">
        <v>8730</v>
      </c>
      <c r="G443" t="s">
        <v>74</v>
      </c>
      <c r="H443" t="s">
        <v>74</v>
      </c>
      <c r="I443" t="s">
        <v>8731</v>
      </c>
      <c r="J443" t="s">
        <v>8712</v>
      </c>
      <c r="K443" t="s">
        <v>74</v>
      </c>
      <c r="L443" t="s">
        <v>74</v>
      </c>
      <c r="M443" t="s">
        <v>78</v>
      </c>
      <c r="N443" t="s">
        <v>79</v>
      </c>
      <c r="O443" t="s">
        <v>74</v>
      </c>
      <c r="P443" t="s">
        <v>74</v>
      </c>
      <c r="Q443" t="s">
        <v>74</v>
      </c>
      <c r="R443" t="s">
        <v>74</v>
      </c>
      <c r="S443" t="s">
        <v>74</v>
      </c>
      <c r="T443" t="s">
        <v>8732</v>
      </c>
      <c r="U443" t="s">
        <v>74</v>
      </c>
      <c r="V443" t="s">
        <v>8733</v>
      </c>
      <c r="W443" t="s">
        <v>8734</v>
      </c>
      <c r="X443" t="s">
        <v>8735</v>
      </c>
      <c r="Y443" t="s">
        <v>8736</v>
      </c>
      <c r="Z443" t="s">
        <v>846</v>
      </c>
      <c r="AA443" t="s">
        <v>8737</v>
      </c>
      <c r="AB443" t="s">
        <v>8738</v>
      </c>
      <c r="AC443" t="s">
        <v>8739</v>
      </c>
      <c r="AD443" t="s">
        <v>8740</v>
      </c>
      <c r="AE443" t="s">
        <v>8741</v>
      </c>
      <c r="AF443" t="s">
        <v>74</v>
      </c>
      <c r="AG443">
        <v>76</v>
      </c>
      <c r="AH443">
        <v>3</v>
      </c>
      <c r="AI443">
        <v>3</v>
      </c>
      <c r="AJ443">
        <v>1</v>
      </c>
      <c r="AK443">
        <v>18</v>
      </c>
      <c r="AL443" t="s">
        <v>1291</v>
      </c>
      <c r="AM443" t="s">
        <v>629</v>
      </c>
      <c r="AN443" t="s">
        <v>1292</v>
      </c>
      <c r="AO443" t="s">
        <v>74</v>
      </c>
      <c r="AP443" t="s">
        <v>8722</v>
      </c>
      <c r="AQ443" t="s">
        <v>74</v>
      </c>
      <c r="AR443" t="s">
        <v>8723</v>
      </c>
      <c r="AS443" t="s">
        <v>8724</v>
      </c>
      <c r="AT443" t="s">
        <v>374</v>
      </c>
      <c r="AU443">
        <v>2021</v>
      </c>
      <c r="AV443">
        <v>22</v>
      </c>
      <c r="AW443">
        <v>1</v>
      </c>
      <c r="AX443" t="s">
        <v>74</v>
      </c>
      <c r="AY443" t="s">
        <v>74</v>
      </c>
      <c r="AZ443" t="s">
        <v>74</v>
      </c>
      <c r="BA443" t="s">
        <v>74</v>
      </c>
      <c r="BB443" t="s">
        <v>74</v>
      </c>
      <c r="BC443" t="s">
        <v>74</v>
      </c>
      <c r="BD443" t="s">
        <v>8742</v>
      </c>
      <c r="BE443" t="s">
        <v>8743</v>
      </c>
      <c r="BF443" t="str">
        <f>HYPERLINK("http://dx.doi.org/10.1029/2020GC009485","http://dx.doi.org/10.1029/2020GC009485")</f>
        <v>http://dx.doi.org/10.1029/2020GC009485</v>
      </c>
      <c r="BG443" t="s">
        <v>74</v>
      </c>
      <c r="BH443" t="s">
        <v>74</v>
      </c>
      <c r="BI443">
        <v>21</v>
      </c>
      <c r="BJ443" t="s">
        <v>426</v>
      </c>
      <c r="BK443" t="s">
        <v>103</v>
      </c>
      <c r="BL443" t="s">
        <v>426</v>
      </c>
      <c r="BM443" t="s">
        <v>8727</v>
      </c>
      <c r="BN443" t="s">
        <v>74</v>
      </c>
      <c r="BO443" t="s">
        <v>3283</v>
      </c>
      <c r="BP443" t="s">
        <v>74</v>
      </c>
      <c r="BQ443" t="s">
        <v>74</v>
      </c>
      <c r="BR443" t="s">
        <v>106</v>
      </c>
      <c r="BS443" t="s">
        <v>8744</v>
      </c>
      <c r="BT443" t="str">
        <f>HYPERLINK("https%3A%2F%2Fwww.webofscience.com%2Fwos%2Fwoscc%2Ffull-record%2FWOS:000614123600005","View Full Record in Web of Science")</f>
        <v>View Full Record in Web of Science</v>
      </c>
    </row>
    <row r="444" spans="1:72" x14ac:dyDescent="0.15">
      <c r="A444" t="s">
        <v>72</v>
      </c>
      <c r="B444" t="s">
        <v>8745</v>
      </c>
      <c r="C444" t="s">
        <v>74</v>
      </c>
      <c r="D444" t="s">
        <v>74</v>
      </c>
      <c r="E444" t="s">
        <v>74</v>
      </c>
      <c r="F444" t="s">
        <v>8746</v>
      </c>
      <c r="G444" t="s">
        <v>74</v>
      </c>
      <c r="H444" t="s">
        <v>74</v>
      </c>
      <c r="I444" t="s">
        <v>8747</v>
      </c>
      <c r="J444" t="s">
        <v>8748</v>
      </c>
      <c r="K444" t="s">
        <v>74</v>
      </c>
      <c r="L444" t="s">
        <v>74</v>
      </c>
      <c r="M444" t="s">
        <v>78</v>
      </c>
      <c r="N444" t="s">
        <v>79</v>
      </c>
      <c r="O444" t="s">
        <v>74</v>
      </c>
      <c r="P444" t="s">
        <v>74</v>
      </c>
      <c r="Q444" t="s">
        <v>74</v>
      </c>
      <c r="R444" t="s">
        <v>74</v>
      </c>
      <c r="S444" t="s">
        <v>74</v>
      </c>
      <c r="T444" t="s">
        <v>8749</v>
      </c>
      <c r="U444" t="s">
        <v>8750</v>
      </c>
      <c r="V444" t="s">
        <v>8751</v>
      </c>
      <c r="W444" t="s">
        <v>8752</v>
      </c>
      <c r="X444" t="s">
        <v>8753</v>
      </c>
      <c r="Y444" t="s">
        <v>8754</v>
      </c>
      <c r="Z444" t="s">
        <v>8755</v>
      </c>
      <c r="AA444" t="s">
        <v>8756</v>
      </c>
      <c r="AB444" t="s">
        <v>8757</v>
      </c>
      <c r="AC444" t="s">
        <v>8758</v>
      </c>
      <c r="AD444" t="s">
        <v>8759</v>
      </c>
      <c r="AE444" t="s">
        <v>8760</v>
      </c>
      <c r="AF444" t="s">
        <v>74</v>
      </c>
      <c r="AG444">
        <v>72</v>
      </c>
      <c r="AH444">
        <v>1</v>
      </c>
      <c r="AI444">
        <v>2</v>
      </c>
      <c r="AJ444">
        <v>1</v>
      </c>
      <c r="AK444">
        <v>18</v>
      </c>
      <c r="AL444" t="s">
        <v>8761</v>
      </c>
      <c r="AM444" t="s">
        <v>8762</v>
      </c>
      <c r="AN444" t="s">
        <v>8763</v>
      </c>
      <c r="AO444" t="s">
        <v>8764</v>
      </c>
      <c r="AP444" t="s">
        <v>8765</v>
      </c>
      <c r="AQ444" t="s">
        <v>74</v>
      </c>
      <c r="AR444" t="s">
        <v>8766</v>
      </c>
      <c r="AS444" t="s">
        <v>8767</v>
      </c>
      <c r="AT444" t="s">
        <v>74</v>
      </c>
      <c r="AU444">
        <v>2021</v>
      </c>
      <c r="AV444">
        <v>96</v>
      </c>
      <c r="AW444">
        <v>1</v>
      </c>
      <c r="AX444" t="s">
        <v>74</v>
      </c>
      <c r="AY444" t="s">
        <v>74</v>
      </c>
      <c r="AZ444" t="s">
        <v>74</v>
      </c>
      <c r="BA444" t="s">
        <v>74</v>
      </c>
      <c r="BB444">
        <v>61</v>
      </c>
      <c r="BC444">
        <v>81</v>
      </c>
      <c r="BD444" t="s">
        <v>74</v>
      </c>
      <c r="BE444" t="s">
        <v>8768</v>
      </c>
      <c r="BF444" t="str">
        <f>HYPERLINK("http://dx.doi.org/10.3140/bull.geosci.1794","http://dx.doi.org/10.3140/bull.geosci.1794")</f>
        <v>http://dx.doi.org/10.3140/bull.geosci.1794</v>
      </c>
      <c r="BG444" t="s">
        <v>74</v>
      </c>
      <c r="BH444" t="s">
        <v>74</v>
      </c>
      <c r="BI444">
        <v>21</v>
      </c>
      <c r="BJ444" t="s">
        <v>8769</v>
      </c>
      <c r="BK444" t="s">
        <v>103</v>
      </c>
      <c r="BL444" t="s">
        <v>3076</v>
      </c>
      <c r="BM444" t="s">
        <v>8770</v>
      </c>
      <c r="BN444" t="s">
        <v>74</v>
      </c>
      <c r="BO444" t="s">
        <v>326</v>
      </c>
      <c r="BP444" t="s">
        <v>74</v>
      </c>
      <c r="BQ444" t="s">
        <v>74</v>
      </c>
      <c r="BR444" t="s">
        <v>106</v>
      </c>
      <c r="BS444" t="s">
        <v>8771</v>
      </c>
      <c r="BT444" t="str">
        <f>HYPERLINK("https%3A%2F%2Fwww.webofscience.com%2Fwos%2Fwoscc%2Ffull-record%2FWOS:000606671200005","View Full Record in Web of Science")</f>
        <v>View Full Record in Web of Science</v>
      </c>
    </row>
    <row r="445" spans="1:72" x14ac:dyDescent="0.15">
      <c r="A445" t="s">
        <v>72</v>
      </c>
      <c r="B445" t="s">
        <v>8772</v>
      </c>
      <c r="C445" t="s">
        <v>74</v>
      </c>
      <c r="D445" t="s">
        <v>74</v>
      </c>
      <c r="E445" t="s">
        <v>74</v>
      </c>
      <c r="F445" t="s">
        <v>8773</v>
      </c>
      <c r="G445" t="s">
        <v>74</v>
      </c>
      <c r="H445" t="s">
        <v>74</v>
      </c>
      <c r="I445" t="s">
        <v>8774</v>
      </c>
      <c r="J445" t="s">
        <v>8775</v>
      </c>
      <c r="K445" t="s">
        <v>74</v>
      </c>
      <c r="L445" t="s">
        <v>74</v>
      </c>
      <c r="M445" t="s">
        <v>78</v>
      </c>
      <c r="N445" t="s">
        <v>79</v>
      </c>
      <c r="O445" t="s">
        <v>74</v>
      </c>
      <c r="P445" t="s">
        <v>74</v>
      </c>
      <c r="Q445" t="s">
        <v>74</v>
      </c>
      <c r="R445" t="s">
        <v>74</v>
      </c>
      <c r="S445" t="s">
        <v>74</v>
      </c>
      <c r="T445" t="s">
        <v>8776</v>
      </c>
      <c r="U445" t="s">
        <v>8777</v>
      </c>
      <c r="V445" t="s">
        <v>8778</v>
      </c>
      <c r="W445" t="s">
        <v>8779</v>
      </c>
      <c r="X445" t="s">
        <v>8780</v>
      </c>
      <c r="Y445" t="s">
        <v>8781</v>
      </c>
      <c r="Z445" t="s">
        <v>8782</v>
      </c>
      <c r="AA445" t="s">
        <v>8783</v>
      </c>
      <c r="AB445" t="s">
        <v>8784</v>
      </c>
      <c r="AC445" t="s">
        <v>8785</v>
      </c>
      <c r="AD445" t="s">
        <v>8785</v>
      </c>
      <c r="AE445" t="s">
        <v>8786</v>
      </c>
      <c r="AF445" t="s">
        <v>74</v>
      </c>
      <c r="AG445">
        <v>39</v>
      </c>
      <c r="AH445">
        <v>4</v>
      </c>
      <c r="AI445">
        <v>5</v>
      </c>
      <c r="AJ445">
        <v>1</v>
      </c>
      <c r="AK445">
        <v>8</v>
      </c>
      <c r="AL445" t="s">
        <v>1291</v>
      </c>
      <c r="AM445" t="s">
        <v>629</v>
      </c>
      <c r="AN445" t="s">
        <v>1292</v>
      </c>
      <c r="AO445" t="s">
        <v>74</v>
      </c>
      <c r="AP445" t="s">
        <v>8787</v>
      </c>
      <c r="AQ445" t="s">
        <v>74</v>
      </c>
      <c r="AR445" t="s">
        <v>8788</v>
      </c>
      <c r="AS445" t="s">
        <v>8789</v>
      </c>
      <c r="AT445" t="s">
        <v>374</v>
      </c>
      <c r="AU445">
        <v>2021</v>
      </c>
      <c r="AV445">
        <v>8</v>
      </c>
      <c r="AW445">
        <v>1</v>
      </c>
      <c r="AX445" t="s">
        <v>74</v>
      </c>
      <c r="AY445" t="s">
        <v>74</v>
      </c>
      <c r="AZ445" t="s">
        <v>74</v>
      </c>
      <c r="BA445" t="s">
        <v>74</v>
      </c>
      <c r="BB445" t="s">
        <v>74</v>
      </c>
      <c r="BC445" t="s">
        <v>74</v>
      </c>
      <c r="BD445" t="s">
        <v>8790</v>
      </c>
      <c r="BE445" t="s">
        <v>8791</v>
      </c>
      <c r="BF445" t="str">
        <f>HYPERLINK("http://dx.doi.org/10.1029/2020EA001310","http://dx.doi.org/10.1029/2020EA001310")</f>
        <v>http://dx.doi.org/10.1029/2020EA001310</v>
      </c>
      <c r="BG445" t="s">
        <v>74</v>
      </c>
      <c r="BH445" t="s">
        <v>74</v>
      </c>
      <c r="BI445">
        <v>10</v>
      </c>
      <c r="BJ445" t="s">
        <v>6715</v>
      </c>
      <c r="BK445" t="s">
        <v>103</v>
      </c>
      <c r="BL445" t="s">
        <v>6717</v>
      </c>
      <c r="BM445" t="s">
        <v>8792</v>
      </c>
      <c r="BN445" t="s">
        <v>74</v>
      </c>
      <c r="BO445" t="s">
        <v>326</v>
      </c>
      <c r="BP445" t="s">
        <v>74</v>
      </c>
      <c r="BQ445" t="s">
        <v>74</v>
      </c>
      <c r="BR445" t="s">
        <v>106</v>
      </c>
      <c r="BS445" t="s">
        <v>8793</v>
      </c>
      <c r="BT445" t="str">
        <f>HYPERLINK("https%3A%2F%2Fwww.webofscience.com%2Fwos%2Fwoscc%2Ffull-record%2FWOS:000613334500009","View Full Record in Web of Science")</f>
        <v>View Full Record in Web of Science</v>
      </c>
    </row>
    <row r="446" spans="1:72" x14ac:dyDescent="0.15">
      <c r="A446" t="s">
        <v>72</v>
      </c>
      <c r="B446" t="s">
        <v>8794</v>
      </c>
      <c r="C446" t="s">
        <v>74</v>
      </c>
      <c r="D446" t="s">
        <v>74</v>
      </c>
      <c r="E446" t="s">
        <v>74</v>
      </c>
      <c r="F446" t="s">
        <v>8795</v>
      </c>
      <c r="G446" t="s">
        <v>74</v>
      </c>
      <c r="H446" t="s">
        <v>74</v>
      </c>
      <c r="I446" t="s">
        <v>8796</v>
      </c>
      <c r="J446" t="s">
        <v>8797</v>
      </c>
      <c r="K446" t="s">
        <v>74</v>
      </c>
      <c r="L446" t="s">
        <v>74</v>
      </c>
      <c r="M446" t="s">
        <v>78</v>
      </c>
      <c r="N446" t="s">
        <v>79</v>
      </c>
      <c r="O446" t="s">
        <v>74</v>
      </c>
      <c r="P446" t="s">
        <v>74</v>
      </c>
      <c r="Q446" t="s">
        <v>74</v>
      </c>
      <c r="R446" t="s">
        <v>74</v>
      </c>
      <c r="S446" t="s">
        <v>74</v>
      </c>
      <c r="T446" t="s">
        <v>8798</v>
      </c>
      <c r="U446" t="s">
        <v>8799</v>
      </c>
      <c r="V446" t="s">
        <v>8800</v>
      </c>
      <c r="W446" t="s">
        <v>8801</v>
      </c>
      <c r="X446" t="s">
        <v>8802</v>
      </c>
      <c r="Y446" t="s">
        <v>8803</v>
      </c>
      <c r="Z446" t="s">
        <v>8804</v>
      </c>
      <c r="AA446" t="s">
        <v>8805</v>
      </c>
      <c r="AB446" t="s">
        <v>8806</v>
      </c>
      <c r="AC446" t="s">
        <v>8807</v>
      </c>
      <c r="AD446" t="s">
        <v>8808</v>
      </c>
      <c r="AE446" t="s">
        <v>8809</v>
      </c>
      <c r="AF446" t="s">
        <v>74</v>
      </c>
      <c r="AG446">
        <v>107</v>
      </c>
      <c r="AH446">
        <v>2</v>
      </c>
      <c r="AI446">
        <v>2</v>
      </c>
      <c r="AJ446">
        <v>0</v>
      </c>
      <c r="AK446">
        <v>9</v>
      </c>
      <c r="AL446" t="s">
        <v>1291</v>
      </c>
      <c r="AM446" t="s">
        <v>629</v>
      </c>
      <c r="AN446" t="s">
        <v>1292</v>
      </c>
      <c r="AO446" t="s">
        <v>8810</v>
      </c>
      <c r="AP446" t="s">
        <v>8811</v>
      </c>
      <c r="AQ446" t="s">
        <v>74</v>
      </c>
      <c r="AR446" t="s">
        <v>8812</v>
      </c>
      <c r="AS446" t="s">
        <v>8813</v>
      </c>
      <c r="AT446" t="s">
        <v>374</v>
      </c>
      <c r="AU446">
        <v>2021</v>
      </c>
      <c r="AV446">
        <v>36</v>
      </c>
      <c r="AW446">
        <v>1</v>
      </c>
      <c r="AX446" t="s">
        <v>74</v>
      </c>
      <c r="AY446" t="s">
        <v>74</v>
      </c>
      <c r="AZ446" t="s">
        <v>74</v>
      </c>
      <c r="BA446" t="s">
        <v>74</v>
      </c>
      <c r="BB446" t="s">
        <v>74</v>
      </c>
      <c r="BC446" t="s">
        <v>74</v>
      </c>
      <c r="BD446" t="s">
        <v>8814</v>
      </c>
      <c r="BE446" t="s">
        <v>8815</v>
      </c>
      <c r="BF446" t="str">
        <f>HYPERLINK("http://dx.doi.org/10.1029/2019PA003845","http://dx.doi.org/10.1029/2019PA003845")</f>
        <v>http://dx.doi.org/10.1029/2019PA003845</v>
      </c>
      <c r="BG446" t="s">
        <v>74</v>
      </c>
      <c r="BH446" t="s">
        <v>74</v>
      </c>
      <c r="BI446">
        <v>24</v>
      </c>
      <c r="BJ446" t="s">
        <v>8816</v>
      </c>
      <c r="BK446" t="s">
        <v>103</v>
      </c>
      <c r="BL446" t="s">
        <v>8817</v>
      </c>
      <c r="BM446" t="s">
        <v>8818</v>
      </c>
      <c r="BN446" t="s">
        <v>74</v>
      </c>
      <c r="BO446" t="s">
        <v>6026</v>
      </c>
      <c r="BP446" t="s">
        <v>74</v>
      </c>
      <c r="BQ446" t="s">
        <v>74</v>
      </c>
      <c r="BR446" t="s">
        <v>106</v>
      </c>
      <c r="BS446" t="s">
        <v>8819</v>
      </c>
      <c r="BT446" t="str">
        <f>HYPERLINK("https%3A%2F%2Fwww.webofscience.com%2Fwos%2Fwoscc%2Ffull-record%2FWOS:000613332600005","View Full Record in Web of Science")</f>
        <v>View Full Record in Web of Science</v>
      </c>
    </row>
    <row r="447" spans="1:72" x14ac:dyDescent="0.15">
      <c r="A447" t="s">
        <v>72</v>
      </c>
      <c r="B447" t="s">
        <v>8820</v>
      </c>
      <c r="C447" t="s">
        <v>74</v>
      </c>
      <c r="D447" t="s">
        <v>74</v>
      </c>
      <c r="E447" t="s">
        <v>74</v>
      </c>
      <c r="F447" t="s">
        <v>8821</v>
      </c>
      <c r="G447" t="s">
        <v>74</v>
      </c>
      <c r="H447" t="s">
        <v>74</v>
      </c>
      <c r="I447" t="s">
        <v>8822</v>
      </c>
      <c r="J447" t="s">
        <v>6072</v>
      </c>
      <c r="K447" t="s">
        <v>74</v>
      </c>
      <c r="L447" t="s">
        <v>74</v>
      </c>
      <c r="M447" t="s">
        <v>78</v>
      </c>
      <c r="N447" t="s">
        <v>79</v>
      </c>
      <c r="O447" t="s">
        <v>74</v>
      </c>
      <c r="P447" t="s">
        <v>74</v>
      </c>
      <c r="Q447" t="s">
        <v>74</v>
      </c>
      <c r="R447" t="s">
        <v>74</v>
      </c>
      <c r="S447" t="s">
        <v>74</v>
      </c>
      <c r="T447" t="s">
        <v>8823</v>
      </c>
      <c r="U447" t="s">
        <v>8824</v>
      </c>
      <c r="V447" t="s">
        <v>8825</v>
      </c>
      <c r="W447" t="s">
        <v>8826</v>
      </c>
      <c r="X447" t="s">
        <v>8827</v>
      </c>
      <c r="Y447" t="s">
        <v>8828</v>
      </c>
      <c r="Z447" t="s">
        <v>8829</v>
      </c>
      <c r="AA447" t="s">
        <v>8830</v>
      </c>
      <c r="AB447" t="s">
        <v>8831</v>
      </c>
      <c r="AC447" t="s">
        <v>74</v>
      </c>
      <c r="AD447" t="s">
        <v>74</v>
      </c>
      <c r="AE447" t="s">
        <v>74</v>
      </c>
      <c r="AF447" t="s">
        <v>74</v>
      </c>
      <c r="AG447">
        <v>99</v>
      </c>
      <c r="AH447">
        <v>5</v>
      </c>
      <c r="AI447">
        <v>5</v>
      </c>
      <c r="AJ447">
        <v>0</v>
      </c>
      <c r="AK447">
        <v>4</v>
      </c>
      <c r="AL447" t="s">
        <v>2630</v>
      </c>
      <c r="AM447" t="s">
        <v>2631</v>
      </c>
      <c r="AN447" t="s">
        <v>2632</v>
      </c>
      <c r="AO447" t="s">
        <v>6085</v>
      </c>
      <c r="AP447" t="s">
        <v>74</v>
      </c>
      <c r="AQ447" t="s">
        <v>74</v>
      </c>
      <c r="AR447" t="s">
        <v>6086</v>
      </c>
      <c r="AS447" t="s">
        <v>6087</v>
      </c>
      <c r="AT447" t="s">
        <v>6088</v>
      </c>
      <c r="AU447">
        <v>2021</v>
      </c>
      <c r="AV447">
        <v>88</v>
      </c>
      <c r="AW447">
        <v>1</v>
      </c>
      <c r="AX447" t="s">
        <v>74</v>
      </c>
      <c r="AY447" t="s">
        <v>74</v>
      </c>
      <c r="AZ447" t="s">
        <v>74</v>
      </c>
      <c r="BA447" t="s">
        <v>74</v>
      </c>
      <c r="BB447">
        <v>117</v>
      </c>
      <c r="BC447">
        <v>131</v>
      </c>
      <c r="BD447" t="s">
        <v>74</v>
      </c>
      <c r="BE447" t="s">
        <v>8832</v>
      </c>
      <c r="BF447" t="str">
        <f>HYPERLINK("http://dx.doi.org/10.1080/24750263.2020.1854877","http://dx.doi.org/10.1080/24750263.2020.1854877")</f>
        <v>http://dx.doi.org/10.1080/24750263.2020.1854877</v>
      </c>
      <c r="BG447" t="s">
        <v>74</v>
      </c>
      <c r="BH447" t="s">
        <v>74</v>
      </c>
      <c r="BI447">
        <v>15</v>
      </c>
      <c r="BJ447" t="s">
        <v>1028</v>
      </c>
      <c r="BK447" t="s">
        <v>103</v>
      </c>
      <c r="BL447" t="s">
        <v>1028</v>
      </c>
      <c r="BM447" t="s">
        <v>8833</v>
      </c>
      <c r="BN447" t="s">
        <v>74</v>
      </c>
      <c r="BO447" t="s">
        <v>326</v>
      </c>
      <c r="BP447" t="s">
        <v>74</v>
      </c>
      <c r="BQ447" t="s">
        <v>74</v>
      </c>
      <c r="BR447" t="s">
        <v>106</v>
      </c>
      <c r="BS447" t="s">
        <v>8834</v>
      </c>
      <c r="BT447" t="str">
        <f>HYPERLINK("https%3A%2F%2Fwww.webofscience.com%2Fwos%2Fwoscc%2Ffull-record%2FWOS:000612958500001","View Full Record in Web of Science")</f>
        <v>View Full Record in Web of Science</v>
      </c>
    </row>
    <row r="448" spans="1:72" x14ac:dyDescent="0.15">
      <c r="A448" t="s">
        <v>72</v>
      </c>
      <c r="B448" t="s">
        <v>8835</v>
      </c>
      <c r="C448" t="s">
        <v>74</v>
      </c>
      <c r="D448" t="s">
        <v>74</v>
      </c>
      <c r="E448" t="s">
        <v>74</v>
      </c>
      <c r="F448" t="s">
        <v>8836</v>
      </c>
      <c r="G448" t="s">
        <v>74</v>
      </c>
      <c r="H448" t="s">
        <v>74</v>
      </c>
      <c r="I448" t="s">
        <v>8837</v>
      </c>
      <c r="J448" t="s">
        <v>2825</v>
      </c>
      <c r="K448" t="s">
        <v>74</v>
      </c>
      <c r="L448" t="s">
        <v>74</v>
      </c>
      <c r="M448" t="s">
        <v>78</v>
      </c>
      <c r="N448" t="s">
        <v>79</v>
      </c>
      <c r="O448" t="s">
        <v>74</v>
      </c>
      <c r="P448" t="s">
        <v>74</v>
      </c>
      <c r="Q448" t="s">
        <v>74</v>
      </c>
      <c r="R448" t="s">
        <v>74</v>
      </c>
      <c r="S448" t="s">
        <v>74</v>
      </c>
      <c r="T448" t="s">
        <v>8838</v>
      </c>
      <c r="U448" t="s">
        <v>8839</v>
      </c>
      <c r="V448" t="s">
        <v>8840</v>
      </c>
      <c r="W448" t="s">
        <v>8841</v>
      </c>
      <c r="X448" t="s">
        <v>8842</v>
      </c>
      <c r="Y448" t="s">
        <v>8843</v>
      </c>
      <c r="Z448" t="s">
        <v>8844</v>
      </c>
      <c r="AA448" t="s">
        <v>8845</v>
      </c>
      <c r="AB448" t="s">
        <v>8846</v>
      </c>
      <c r="AC448" t="s">
        <v>8847</v>
      </c>
      <c r="AD448" t="s">
        <v>8848</v>
      </c>
      <c r="AE448" t="s">
        <v>8849</v>
      </c>
      <c r="AF448" t="s">
        <v>74</v>
      </c>
      <c r="AG448">
        <v>70</v>
      </c>
      <c r="AH448">
        <v>17</v>
      </c>
      <c r="AI448">
        <v>17</v>
      </c>
      <c r="AJ448">
        <v>0</v>
      </c>
      <c r="AK448">
        <v>6</v>
      </c>
      <c r="AL448" t="s">
        <v>418</v>
      </c>
      <c r="AM448" t="s">
        <v>178</v>
      </c>
      <c r="AN448" t="s">
        <v>419</v>
      </c>
      <c r="AO448" t="s">
        <v>2835</v>
      </c>
      <c r="AP448" t="s">
        <v>2836</v>
      </c>
      <c r="AQ448" t="s">
        <v>74</v>
      </c>
      <c r="AR448" t="s">
        <v>2837</v>
      </c>
      <c r="AS448" t="s">
        <v>2838</v>
      </c>
      <c r="AT448" t="s">
        <v>374</v>
      </c>
      <c r="AU448">
        <v>2021</v>
      </c>
      <c r="AV448">
        <v>212</v>
      </c>
      <c r="AW448" t="s">
        <v>74</v>
      </c>
      <c r="AX448" t="s">
        <v>74</v>
      </c>
      <c r="AY448" t="s">
        <v>74</v>
      </c>
      <c r="AZ448" t="s">
        <v>74</v>
      </c>
      <c r="BA448" t="s">
        <v>74</v>
      </c>
      <c r="BB448" t="s">
        <v>74</v>
      </c>
      <c r="BC448" t="s">
        <v>74</v>
      </c>
      <c r="BD448">
        <v>105510</v>
      </c>
      <c r="BE448" t="s">
        <v>8850</v>
      </c>
      <c r="BF448" t="str">
        <f>HYPERLINK("http://dx.doi.org/10.1016/j.jastp.2020.105510","http://dx.doi.org/10.1016/j.jastp.2020.105510")</f>
        <v>http://dx.doi.org/10.1016/j.jastp.2020.105510</v>
      </c>
      <c r="BG448" t="s">
        <v>74</v>
      </c>
      <c r="BH448" t="s">
        <v>74</v>
      </c>
      <c r="BI448">
        <v>22</v>
      </c>
      <c r="BJ448" t="s">
        <v>2840</v>
      </c>
      <c r="BK448" t="s">
        <v>103</v>
      </c>
      <c r="BL448" t="s">
        <v>2840</v>
      </c>
      <c r="BM448" t="s">
        <v>8851</v>
      </c>
      <c r="BN448" t="s">
        <v>74</v>
      </c>
      <c r="BO448" t="s">
        <v>1755</v>
      </c>
      <c r="BP448" t="s">
        <v>74</v>
      </c>
      <c r="BQ448" t="s">
        <v>74</v>
      </c>
      <c r="BR448" t="s">
        <v>106</v>
      </c>
      <c r="BS448" t="s">
        <v>8852</v>
      </c>
      <c r="BT448" t="str">
        <f>HYPERLINK("https%3A%2F%2Fwww.webofscience.com%2Fwos%2Fwoscc%2Ffull-record%2FWOS:000609032000002","View Full Record in Web of Science")</f>
        <v>View Full Record in Web of Science</v>
      </c>
    </row>
    <row r="449" spans="1:72" x14ac:dyDescent="0.15">
      <c r="A449" t="s">
        <v>72</v>
      </c>
      <c r="B449" t="s">
        <v>8853</v>
      </c>
      <c r="C449" t="s">
        <v>74</v>
      </c>
      <c r="D449" t="s">
        <v>74</v>
      </c>
      <c r="E449" t="s">
        <v>74</v>
      </c>
      <c r="F449" t="s">
        <v>8854</v>
      </c>
      <c r="G449" t="s">
        <v>74</v>
      </c>
      <c r="H449" t="s">
        <v>74</v>
      </c>
      <c r="I449" t="s">
        <v>8855</v>
      </c>
      <c r="J449" t="s">
        <v>2825</v>
      </c>
      <c r="K449" t="s">
        <v>74</v>
      </c>
      <c r="L449" t="s">
        <v>74</v>
      </c>
      <c r="M449" t="s">
        <v>78</v>
      </c>
      <c r="N449" t="s">
        <v>79</v>
      </c>
      <c r="O449" t="s">
        <v>74</v>
      </c>
      <c r="P449" t="s">
        <v>74</v>
      </c>
      <c r="Q449" t="s">
        <v>74</v>
      </c>
      <c r="R449" t="s">
        <v>74</v>
      </c>
      <c r="S449" t="s">
        <v>74</v>
      </c>
      <c r="T449" t="s">
        <v>8856</v>
      </c>
      <c r="U449" t="s">
        <v>8857</v>
      </c>
      <c r="V449" t="s">
        <v>8858</v>
      </c>
      <c r="W449" t="s">
        <v>8859</v>
      </c>
      <c r="X449" t="s">
        <v>8860</v>
      </c>
      <c r="Y449" t="s">
        <v>8861</v>
      </c>
      <c r="Z449" t="s">
        <v>8862</v>
      </c>
      <c r="AA449" t="s">
        <v>8863</v>
      </c>
      <c r="AB449" t="s">
        <v>8864</v>
      </c>
      <c r="AC449" t="s">
        <v>8865</v>
      </c>
      <c r="AD449" t="s">
        <v>8866</v>
      </c>
      <c r="AE449" t="s">
        <v>8867</v>
      </c>
      <c r="AF449" t="s">
        <v>74</v>
      </c>
      <c r="AG449">
        <v>23</v>
      </c>
      <c r="AH449">
        <v>14</v>
      </c>
      <c r="AI449">
        <v>15</v>
      </c>
      <c r="AJ449">
        <v>1</v>
      </c>
      <c r="AK449">
        <v>3</v>
      </c>
      <c r="AL449" t="s">
        <v>418</v>
      </c>
      <c r="AM449" t="s">
        <v>178</v>
      </c>
      <c r="AN449" t="s">
        <v>419</v>
      </c>
      <c r="AO449" t="s">
        <v>2835</v>
      </c>
      <c r="AP449" t="s">
        <v>2836</v>
      </c>
      <c r="AQ449" t="s">
        <v>74</v>
      </c>
      <c r="AR449" t="s">
        <v>2837</v>
      </c>
      <c r="AS449" t="s">
        <v>2838</v>
      </c>
      <c r="AT449" t="s">
        <v>374</v>
      </c>
      <c r="AU449">
        <v>2021</v>
      </c>
      <c r="AV449">
        <v>212</v>
      </c>
      <c r="AW449" t="s">
        <v>74</v>
      </c>
      <c r="AX449" t="s">
        <v>74</v>
      </c>
      <c r="AY449" t="s">
        <v>74</v>
      </c>
      <c r="AZ449" t="s">
        <v>74</v>
      </c>
      <c r="BA449" t="s">
        <v>74</v>
      </c>
      <c r="BB449" t="s">
        <v>74</v>
      </c>
      <c r="BC449" t="s">
        <v>74</v>
      </c>
      <c r="BD449">
        <v>105514</v>
      </c>
      <c r="BE449" t="s">
        <v>8868</v>
      </c>
      <c r="BF449" t="str">
        <f>HYPERLINK("http://dx.doi.org/10.1016/j.jastp.2020.105514","http://dx.doi.org/10.1016/j.jastp.2020.105514")</f>
        <v>http://dx.doi.org/10.1016/j.jastp.2020.105514</v>
      </c>
      <c r="BG449" t="s">
        <v>74</v>
      </c>
      <c r="BH449" t="s">
        <v>74</v>
      </c>
      <c r="BI449">
        <v>7</v>
      </c>
      <c r="BJ449" t="s">
        <v>2840</v>
      </c>
      <c r="BK449" t="s">
        <v>103</v>
      </c>
      <c r="BL449" t="s">
        <v>2840</v>
      </c>
      <c r="BM449" t="s">
        <v>8869</v>
      </c>
      <c r="BN449" t="s">
        <v>74</v>
      </c>
      <c r="BO449" t="s">
        <v>218</v>
      </c>
      <c r="BP449" t="s">
        <v>74</v>
      </c>
      <c r="BQ449" t="s">
        <v>74</v>
      </c>
      <c r="BR449" t="s">
        <v>106</v>
      </c>
      <c r="BS449" t="s">
        <v>8870</v>
      </c>
      <c r="BT449" t="str">
        <f>HYPERLINK("https%3A%2F%2Fwww.webofscience.com%2Fwos%2Fwoscc%2Ffull-record%2FWOS:000609032800001","View Full Record in Web of Science")</f>
        <v>View Full Record in Web of Science</v>
      </c>
    </row>
    <row r="450" spans="1:72" x14ac:dyDescent="0.15">
      <c r="A450" t="s">
        <v>72</v>
      </c>
      <c r="B450" t="s">
        <v>8871</v>
      </c>
      <c r="C450" t="s">
        <v>74</v>
      </c>
      <c r="D450" t="s">
        <v>74</v>
      </c>
      <c r="E450" t="s">
        <v>74</v>
      </c>
      <c r="F450" t="s">
        <v>8872</v>
      </c>
      <c r="G450" t="s">
        <v>74</v>
      </c>
      <c r="H450" t="s">
        <v>74</v>
      </c>
      <c r="I450" t="s">
        <v>8873</v>
      </c>
      <c r="J450" t="s">
        <v>8874</v>
      </c>
      <c r="K450" t="s">
        <v>74</v>
      </c>
      <c r="L450" t="s">
        <v>74</v>
      </c>
      <c r="M450" t="s">
        <v>78</v>
      </c>
      <c r="N450" t="s">
        <v>79</v>
      </c>
      <c r="O450" t="s">
        <v>74</v>
      </c>
      <c r="P450" t="s">
        <v>74</v>
      </c>
      <c r="Q450" t="s">
        <v>74</v>
      </c>
      <c r="R450" t="s">
        <v>74</v>
      </c>
      <c r="S450" t="s">
        <v>74</v>
      </c>
      <c r="T450" t="s">
        <v>8875</v>
      </c>
      <c r="U450" t="s">
        <v>8876</v>
      </c>
      <c r="V450" t="s">
        <v>8877</v>
      </c>
      <c r="W450" t="s">
        <v>8878</v>
      </c>
      <c r="X450" t="s">
        <v>8879</v>
      </c>
      <c r="Y450" t="s">
        <v>8880</v>
      </c>
      <c r="Z450" t="s">
        <v>8881</v>
      </c>
      <c r="AA450" t="s">
        <v>8882</v>
      </c>
      <c r="AB450" t="s">
        <v>8883</v>
      </c>
      <c r="AC450" t="s">
        <v>8884</v>
      </c>
      <c r="AD450" t="s">
        <v>8885</v>
      </c>
      <c r="AE450" t="s">
        <v>8886</v>
      </c>
      <c r="AF450" t="s">
        <v>74</v>
      </c>
      <c r="AG450">
        <v>71</v>
      </c>
      <c r="AH450">
        <v>3</v>
      </c>
      <c r="AI450">
        <v>3</v>
      </c>
      <c r="AJ450">
        <v>0</v>
      </c>
      <c r="AK450">
        <v>15</v>
      </c>
      <c r="AL450" t="s">
        <v>8526</v>
      </c>
      <c r="AM450" t="s">
        <v>2921</v>
      </c>
      <c r="AN450" t="s">
        <v>8527</v>
      </c>
      <c r="AO450" t="s">
        <v>74</v>
      </c>
      <c r="AP450" t="s">
        <v>8887</v>
      </c>
      <c r="AQ450" t="s">
        <v>74</v>
      </c>
      <c r="AR450" t="s">
        <v>8888</v>
      </c>
      <c r="AS450" t="s">
        <v>8889</v>
      </c>
      <c r="AT450" t="s">
        <v>374</v>
      </c>
      <c r="AU450">
        <v>2021</v>
      </c>
      <c r="AV450">
        <v>13</v>
      </c>
      <c r="AW450">
        <v>2</v>
      </c>
      <c r="AX450" t="s">
        <v>74</v>
      </c>
      <c r="AY450" t="s">
        <v>74</v>
      </c>
      <c r="AZ450" t="s">
        <v>74</v>
      </c>
      <c r="BA450" t="s">
        <v>74</v>
      </c>
      <c r="BB450" t="s">
        <v>74</v>
      </c>
      <c r="BC450" t="s">
        <v>74</v>
      </c>
      <c r="BD450">
        <v>180</v>
      </c>
      <c r="BE450" t="s">
        <v>8890</v>
      </c>
      <c r="BF450" t="str">
        <f>HYPERLINK("http://dx.doi.org/10.3390/w13020180","http://dx.doi.org/10.3390/w13020180")</f>
        <v>http://dx.doi.org/10.3390/w13020180</v>
      </c>
      <c r="BG450" t="s">
        <v>74</v>
      </c>
      <c r="BH450" t="s">
        <v>74</v>
      </c>
      <c r="BI450">
        <v>18</v>
      </c>
      <c r="BJ450" t="s">
        <v>8891</v>
      </c>
      <c r="BK450" t="s">
        <v>103</v>
      </c>
      <c r="BL450" t="s">
        <v>8892</v>
      </c>
      <c r="BM450" t="s">
        <v>8893</v>
      </c>
      <c r="BN450" t="s">
        <v>74</v>
      </c>
      <c r="BO450" t="s">
        <v>326</v>
      </c>
      <c r="BP450" t="s">
        <v>74</v>
      </c>
      <c r="BQ450" t="s">
        <v>74</v>
      </c>
      <c r="BR450" t="s">
        <v>106</v>
      </c>
      <c r="BS450" t="s">
        <v>8894</v>
      </c>
      <c r="BT450" t="str">
        <f>HYPERLINK("https%3A%2F%2Fwww.webofscience.com%2Fwos%2Fwoscc%2Ffull-record%2FWOS:000611784400001","View Full Record in Web of Science")</f>
        <v>View Full Record in Web of Science</v>
      </c>
    </row>
    <row r="451" spans="1:72" x14ac:dyDescent="0.15">
      <c r="A451" t="s">
        <v>72</v>
      </c>
      <c r="B451" t="s">
        <v>8895</v>
      </c>
      <c r="C451" t="s">
        <v>74</v>
      </c>
      <c r="D451" t="s">
        <v>74</v>
      </c>
      <c r="E451" t="s">
        <v>74</v>
      </c>
      <c r="F451" t="s">
        <v>8896</v>
      </c>
      <c r="G451" t="s">
        <v>74</v>
      </c>
      <c r="H451" t="s">
        <v>74</v>
      </c>
      <c r="I451" t="s">
        <v>8897</v>
      </c>
      <c r="J451" t="s">
        <v>8517</v>
      </c>
      <c r="K451" t="s">
        <v>74</v>
      </c>
      <c r="L451" t="s">
        <v>74</v>
      </c>
      <c r="M451" t="s">
        <v>78</v>
      </c>
      <c r="N451" t="s">
        <v>79</v>
      </c>
      <c r="O451" t="s">
        <v>74</v>
      </c>
      <c r="P451" t="s">
        <v>74</v>
      </c>
      <c r="Q451" t="s">
        <v>74</v>
      </c>
      <c r="R451" t="s">
        <v>74</v>
      </c>
      <c r="S451" t="s">
        <v>74</v>
      </c>
      <c r="T451" t="s">
        <v>8898</v>
      </c>
      <c r="U451" t="s">
        <v>8899</v>
      </c>
      <c r="V451" t="s">
        <v>8900</v>
      </c>
      <c r="W451" t="s">
        <v>8901</v>
      </c>
      <c r="X451" t="s">
        <v>8902</v>
      </c>
      <c r="Y451" t="s">
        <v>8903</v>
      </c>
      <c r="Z451" t="s">
        <v>8904</v>
      </c>
      <c r="AA451" t="s">
        <v>8905</v>
      </c>
      <c r="AB451" t="s">
        <v>8906</v>
      </c>
      <c r="AC451" t="s">
        <v>8907</v>
      </c>
      <c r="AD451" t="s">
        <v>8908</v>
      </c>
      <c r="AE451" t="s">
        <v>8909</v>
      </c>
      <c r="AF451" t="s">
        <v>74</v>
      </c>
      <c r="AG451">
        <v>47</v>
      </c>
      <c r="AH451">
        <v>9</v>
      </c>
      <c r="AI451">
        <v>10</v>
      </c>
      <c r="AJ451">
        <v>5</v>
      </c>
      <c r="AK451">
        <v>16</v>
      </c>
      <c r="AL451" t="s">
        <v>8526</v>
      </c>
      <c r="AM451" t="s">
        <v>2921</v>
      </c>
      <c r="AN451" t="s">
        <v>8527</v>
      </c>
      <c r="AO451" t="s">
        <v>74</v>
      </c>
      <c r="AP451" t="s">
        <v>8528</v>
      </c>
      <c r="AQ451" t="s">
        <v>74</v>
      </c>
      <c r="AR451" t="s">
        <v>8529</v>
      </c>
      <c r="AS451" t="s">
        <v>8530</v>
      </c>
      <c r="AT451" t="s">
        <v>374</v>
      </c>
      <c r="AU451">
        <v>2021</v>
      </c>
      <c r="AV451">
        <v>13</v>
      </c>
      <c r="AW451">
        <v>2</v>
      </c>
      <c r="AX451" t="s">
        <v>74</v>
      </c>
      <c r="AY451" t="s">
        <v>74</v>
      </c>
      <c r="AZ451" t="s">
        <v>74</v>
      </c>
      <c r="BA451" t="s">
        <v>74</v>
      </c>
      <c r="BB451" t="s">
        <v>74</v>
      </c>
      <c r="BC451" t="s">
        <v>74</v>
      </c>
      <c r="BD451">
        <v>315</v>
      </c>
      <c r="BE451" t="s">
        <v>8910</v>
      </c>
      <c r="BF451" t="str">
        <f>HYPERLINK("http://dx.doi.org/10.3390/rs13020315","http://dx.doi.org/10.3390/rs13020315")</f>
        <v>http://dx.doi.org/10.3390/rs13020315</v>
      </c>
      <c r="BG451" t="s">
        <v>74</v>
      </c>
      <c r="BH451" t="s">
        <v>74</v>
      </c>
      <c r="BI451">
        <v>16</v>
      </c>
      <c r="BJ451" t="s">
        <v>8532</v>
      </c>
      <c r="BK451" t="s">
        <v>103</v>
      </c>
      <c r="BL451" t="s">
        <v>8533</v>
      </c>
      <c r="BM451" t="s">
        <v>8911</v>
      </c>
      <c r="BN451" t="s">
        <v>74</v>
      </c>
      <c r="BO451" t="s">
        <v>326</v>
      </c>
      <c r="BP451" t="s">
        <v>74</v>
      </c>
      <c r="BQ451" t="s">
        <v>74</v>
      </c>
      <c r="BR451" t="s">
        <v>106</v>
      </c>
      <c r="BS451" t="s">
        <v>8912</v>
      </c>
      <c r="BT451" t="str">
        <f>HYPERLINK("https%3A%2F%2Fwww.webofscience.com%2Fwos%2Fwoscc%2Ffull-record%2FWOS:000611555100001","View Full Record in Web of Science")</f>
        <v>View Full Record in Web of Science</v>
      </c>
    </row>
    <row r="452" spans="1:72" x14ac:dyDescent="0.15">
      <c r="A452" t="s">
        <v>72</v>
      </c>
      <c r="B452" t="s">
        <v>8913</v>
      </c>
      <c r="C452" t="s">
        <v>74</v>
      </c>
      <c r="D452" t="s">
        <v>74</v>
      </c>
      <c r="E452" t="s">
        <v>74</v>
      </c>
      <c r="F452" t="s">
        <v>8914</v>
      </c>
      <c r="G452" t="s">
        <v>74</v>
      </c>
      <c r="H452" t="s">
        <v>74</v>
      </c>
      <c r="I452" t="s">
        <v>8915</v>
      </c>
      <c r="J452" t="s">
        <v>8916</v>
      </c>
      <c r="K452" t="s">
        <v>74</v>
      </c>
      <c r="L452" t="s">
        <v>74</v>
      </c>
      <c r="M452" t="s">
        <v>78</v>
      </c>
      <c r="N452" t="s">
        <v>79</v>
      </c>
      <c r="O452" t="s">
        <v>74</v>
      </c>
      <c r="P452" t="s">
        <v>74</v>
      </c>
      <c r="Q452" t="s">
        <v>74</v>
      </c>
      <c r="R452" t="s">
        <v>74</v>
      </c>
      <c r="S452" t="s">
        <v>74</v>
      </c>
      <c r="T452" t="s">
        <v>74</v>
      </c>
      <c r="U452" t="s">
        <v>8917</v>
      </c>
      <c r="V452" t="s">
        <v>8918</v>
      </c>
      <c r="W452" t="s">
        <v>8919</v>
      </c>
      <c r="X452" t="s">
        <v>8920</v>
      </c>
      <c r="Y452" t="s">
        <v>8921</v>
      </c>
      <c r="Z452" t="s">
        <v>8922</v>
      </c>
      <c r="AA452" t="s">
        <v>74</v>
      </c>
      <c r="AB452" t="s">
        <v>8923</v>
      </c>
      <c r="AC452" t="s">
        <v>8924</v>
      </c>
      <c r="AD452" t="s">
        <v>8925</v>
      </c>
      <c r="AE452" t="s">
        <v>8926</v>
      </c>
      <c r="AF452" t="s">
        <v>74</v>
      </c>
      <c r="AG452">
        <v>128</v>
      </c>
      <c r="AH452">
        <v>19</v>
      </c>
      <c r="AI452">
        <v>21</v>
      </c>
      <c r="AJ452">
        <v>0</v>
      </c>
      <c r="AK452">
        <v>11</v>
      </c>
      <c r="AL452" t="s">
        <v>8927</v>
      </c>
      <c r="AM452" t="s">
        <v>629</v>
      </c>
      <c r="AN452" t="s">
        <v>8928</v>
      </c>
      <c r="AO452" t="s">
        <v>8929</v>
      </c>
      <c r="AP452" t="s">
        <v>74</v>
      </c>
      <c r="AQ452" t="s">
        <v>74</v>
      </c>
      <c r="AR452" t="s">
        <v>8930</v>
      </c>
      <c r="AS452" t="s">
        <v>8931</v>
      </c>
      <c r="AT452" t="s">
        <v>374</v>
      </c>
      <c r="AU452">
        <v>2021</v>
      </c>
      <c r="AV452">
        <v>7</v>
      </c>
      <c r="AW452">
        <v>3</v>
      </c>
      <c r="AX452" t="s">
        <v>74</v>
      </c>
      <c r="AY452" t="s">
        <v>74</v>
      </c>
      <c r="AZ452" t="s">
        <v>74</v>
      </c>
      <c r="BA452" t="s">
        <v>74</v>
      </c>
      <c r="BB452" t="s">
        <v>74</v>
      </c>
      <c r="BC452" t="s">
        <v>74</v>
      </c>
      <c r="BD452" t="s">
        <v>8932</v>
      </c>
      <c r="BE452" t="s">
        <v>8933</v>
      </c>
      <c r="BF452" t="str">
        <f>HYPERLINK("http://dx.doi.org/10.1126/sciadv.abb6291","http://dx.doi.org/10.1126/sciadv.abb6291")</f>
        <v>http://dx.doi.org/10.1126/sciadv.abb6291</v>
      </c>
      <c r="BG452" t="s">
        <v>74</v>
      </c>
      <c r="BH452" t="s">
        <v>74</v>
      </c>
      <c r="BI452">
        <v>12</v>
      </c>
      <c r="BJ452" t="s">
        <v>534</v>
      </c>
      <c r="BK452" t="s">
        <v>103</v>
      </c>
      <c r="BL452" t="s">
        <v>535</v>
      </c>
      <c r="BM452" t="s">
        <v>8934</v>
      </c>
      <c r="BN452">
        <v>33523870</v>
      </c>
      <c r="BO452" t="s">
        <v>561</v>
      </c>
      <c r="BP452" t="s">
        <v>74</v>
      </c>
      <c r="BQ452" t="s">
        <v>74</v>
      </c>
      <c r="BR452" t="s">
        <v>106</v>
      </c>
      <c r="BS452" t="s">
        <v>8935</v>
      </c>
      <c r="BT452" t="str">
        <f>HYPERLINK("https%3A%2F%2Fwww.webofscience.com%2Fwos%2Fwoscc%2Ffull-record%2FWOS:000608481000008","View Full Record in Web of Science")</f>
        <v>View Full Record in Web of Science</v>
      </c>
    </row>
    <row r="453" spans="1:72" x14ac:dyDescent="0.15">
      <c r="A453" t="s">
        <v>72</v>
      </c>
      <c r="B453" t="s">
        <v>8936</v>
      </c>
      <c r="C453" t="s">
        <v>74</v>
      </c>
      <c r="D453" t="s">
        <v>74</v>
      </c>
      <c r="E453" t="s">
        <v>74</v>
      </c>
      <c r="F453" t="s">
        <v>8937</v>
      </c>
      <c r="G453" t="s">
        <v>74</v>
      </c>
      <c r="H453" t="s">
        <v>74</v>
      </c>
      <c r="I453" t="s">
        <v>8938</v>
      </c>
      <c r="J453" t="s">
        <v>8939</v>
      </c>
      <c r="K453" t="s">
        <v>74</v>
      </c>
      <c r="L453" t="s">
        <v>74</v>
      </c>
      <c r="M453" t="s">
        <v>78</v>
      </c>
      <c r="N453" t="s">
        <v>79</v>
      </c>
      <c r="O453" t="s">
        <v>74</v>
      </c>
      <c r="P453" t="s">
        <v>74</v>
      </c>
      <c r="Q453" t="s">
        <v>74</v>
      </c>
      <c r="R453" t="s">
        <v>74</v>
      </c>
      <c r="S453" t="s">
        <v>74</v>
      </c>
      <c r="T453" t="s">
        <v>8940</v>
      </c>
      <c r="U453" t="s">
        <v>8941</v>
      </c>
      <c r="V453" t="s">
        <v>8942</v>
      </c>
      <c r="W453" t="s">
        <v>8943</v>
      </c>
      <c r="X453" t="s">
        <v>8944</v>
      </c>
      <c r="Y453" t="s">
        <v>8945</v>
      </c>
      <c r="Z453" t="s">
        <v>8946</v>
      </c>
      <c r="AA453" t="s">
        <v>8947</v>
      </c>
      <c r="AB453" t="s">
        <v>8948</v>
      </c>
      <c r="AC453" t="s">
        <v>74</v>
      </c>
      <c r="AD453" t="s">
        <v>74</v>
      </c>
      <c r="AE453" t="s">
        <v>74</v>
      </c>
      <c r="AF453" t="s">
        <v>74</v>
      </c>
      <c r="AG453">
        <v>55</v>
      </c>
      <c r="AH453">
        <v>2</v>
      </c>
      <c r="AI453">
        <v>2</v>
      </c>
      <c r="AJ453">
        <v>0</v>
      </c>
      <c r="AK453">
        <v>10</v>
      </c>
      <c r="AL453" t="s">
        <v>8526</v>
      </c>
      <c r="AM453" t="s">
        <v>2921</v>
      </c>
      <c r="AN453" t="s">
        <v>8527</v>
      </c>
      <c r="AO453" t="s">
        <v>74</v>
      </c>
      <c r="AP453" t="s">
        <v>8949</v>
      </c>
      <c r="AQ453" t="s">
        <v>74</v>
      </c>
      <c r="AR453" t="s">
        <v>8950</v>
      </c>
      <c r="AS453" t="s">
        <v>8951</v>
      </c>
      <c r="AT453" t="s">
        <v>374</v>
      </c>
      <c r="AU453">
        <v>2021</v>
      </c>
      <c r="AV453">
        <v>13</v>
      </c>
      <c r="AW453">
        <v>2</v>
      </c>
      <c r="AX453" t="s">
        <v>74</v>
      </c>
      <c r="AY453" t="s">
        <v>74</v>
      </c>
      <c r="AZ453" t="s">
        <v>74</v>
      </c>
      <c r="BA453" t="s">
        <v>74</v>
      </c>
      <c r="BB453" t="s">
        <v>74</v>
      </c>
      <c r="BC453" t="s">
        <v>74</v>
      </c>
      <c r="BD453">
        <v>811</v>
      </c>
      <c r="BE453" t="s">
        <v>8952</v>
      </c>
      <c r="BF453" t="str">
        <f>HYPERLINK("http://dx.doi.org/10.3390/su13020811","http://dx.doi.org/10.3390/su13020811")</f>
        <v>http://dx.doi.org/10.3390/su13020811</v>
      </c>
      <c r="BG453" t="s">
        <v>74</v>
      </c>
      <c r="BH453" t="s">
        <v>74</v>
      </c>
      <c r="BI453">
        <v>16</v>
      </c>
      <c r="BJ453" t="s">
        <v>270</v>
      </c>
      <c r="BK453" t="s">
        <v>271</v>
      </c>
      <c r="BL453" t="s">
        <v>272</v>
      </c>
      <c r="BM453" t="s">
        <v>8953</v>
      </c>
      <c r="BN453" t="s">
        <v>74</v>
      </c>
      <c r="BO453" t="s">
        <v>1105</v>
      </c>
      <c r="BP453" t="s">
        <v>74</v>
      </c>
      <c r="BQ453" t="s">
        <v>74</v>
      </c>
      <c r="BR453" t="s">
        <v>106</v>
      </c>
      <c r="BS453" t="s">
        <v>8954</v>
      </c>
      <c r="BT453" t="str">
        <f>HYPERLINK("https%3A%2F%2Fwww.webofscience.com%2Fwos%2Fwoscc%2Ffull-record%2FWOS:000611746000001","View Full Record in Web of Science")</f>
        <v>View Full Record in Web of Science</v>
      </c>
    </row>
    <row r="454" spans="1:72" x14ac:dyDescent="0.15">
      <c r="A454" t="s">
        <v>72</v>
      </c>
      <c r="B454" t="s">
        <v>8955</v>
      </c>
      <c r="C454" t="s">
        <v>74</v>
      </c>
      <c r="D454" t="s">
        <v>74</v>
      </c>
      <c r="E454" t="s">
        <v>74</v>
      </c>
      <c r="F454" t="s">
        <v>8956</v>
      </c>
      <c r="G454" t="s">
        <v>74</v>
      </c>
      <c r="H454" t="s">
        <v>74</v>
      </c>
      <c r="I454" t="s">
        <v>8957</v>
      </c>
      <c r="J454" t="s">
        <v>8958</v>
      </c>
      <c r="K454" t="s">
        <v>74</v>
      </c>
      <c r="L454" t="s">
        <v>74</v>
      </c>
      <c r="M454" t="s">
        <v>78</v>
      </c>
      <c r="N454" t="s">
        <v>79</v>
      </c>
      <c r="O454" t="s">
        <v>74</v>
      </c>
      <c r="P454" t="s">
        <v>74</v>
      </c>
      <c r="Q454" t="s">
        <v>74</v>
      </c>
      <c r="R454" t="s">
        <v>74</v>
      </c>
      <c r="S454" t="s">
        <v>74</v>
      </c>
      <c r="T454" t="s">
        <v>8959</v>
      </c>
      <c r="U454" t="s">
        <v>74</v>
      </c>
      <c r="V454" t="s">
        <v>8960</v>
      </c>
      <c r="W454" t="s">
        <v>8961</v>
      </c>
      <c r="X454" t="s">
        <v>8962</v>
      </c>
      <c r="Y454" t="s">
        <v>8963</v>
      </c>
      <c r="Z454" t="s">
        <v>8964</v>
      </c>
      <c r="AA454" t="s">
        <v>74</v>
      </c>
      <c r="AB454" t="s">
        <v>8965</v>
      </c>
      <c r="AC454" t="s">
        <v>8966</v>
      </c>
      <c r="AD454" t="s">
        <v>8967</v>
      </c>
      <c r="AE454" t="s">
        <v>8968</v>
      </c>
      <c r="AF454" t="s">
        <v>74</v>
      </c>
      <c r="AG454">
        <v>28</v>
      </c>
      <c r="AH454">
        <v>4</v>
      </c>
      <c r="AI454">
        <v>4</v>
      </c>
      <c r="AJ454">
        <v>3</v>
      </c>
      <c r="AK454">
        <v>16</v>
      </c>
      <c r="AL454" t="s">
        <v>8526</v>
      </c>
      <c r="AM454" t="s">
        <v>2921</v>
      </c>
      <c r="AN454" t="s">
        <v>8527</v>
      </c>
      <c r="AO454" t="s">
        <v>74</v>
      </c>
      <c r="AP454" t="s">
        <v>8969</v>
      </c>
      <c r="AQ454" t="s">
        <v>74</v>
      </c>
      <c r="AR454" t="s">
        <v>8970</v>
      </c>
      <c r="AS454" t="s">
        <v>8971</v>
      </c>
      <c r="AT454" t="s">
        <v>374</v>
      </c>
      <c r="AU454">
        <v>2021</v>
      </c>
      <c r="AV454">
        <v>12</v>
      </c>
      <c r="AW454">
        <v>1</v>
      </c>
      <c r="AX454" t="s">
        <v>74</v>
      </c>
      <c r="AY454" t="s">
        <v>74</v>
      </c>
      <c r="AZ454" t="s">
        <v>74</v>
      </c>
      <c r="BA454" t="s">
        <v>74</v>
      </c>
      <c r="BB454" t="s">
        <v>74</v>
      </c>
      <c r="BC454" t="s">
        <v>74</v>
      </c>
      <c r="BD454">
        <v>122</v>
      </c>
      <c r="BE454" t="s">
        <v>8972</v>
      </c>
      <c r="BF454" t="str">
        <f>HYPERLINK("http://dx.doi.org/10.3390/atmos12010122","http://dx.doi.org/10.3390/atmos12010122")</f>
        <v>http://dx.doi.org/10.3390/atmos12010122</v>
      </c>
      <c r="BG454" t="s">
        <v>74</v>
      </c>
      <c r="BH454" t="s">
        <v>74</v>
      </c>
      <c r="BI454">
        <v>10</v>
      </c>
      <c r="BJ454" t="s">
        <v>132</v>
      </c>
      <c r="BK454" t="s">
        <v>103</v>
      </c>
      <c r="BL454" t="s">
        <v>133</v>
      </c>
      <c r="BM454" t="s">
        <v>8973</v>
      </c>
      <c r="BN454" t="s">
        <v>74</v>
      </c>
      <c r="BO454" t="s">
        <v>326</v>
      </c>
      <c r="BP454" t="s">
        <v>74</v>
      </c>
      <c r="BQ454" t="s">
        <v>74</v>
      </c>
      <c r="BR454" t="s">
        <v>106</v>
      </c>
      <c r="BS454" t="s">
        <v>8974</v>
      </c>
      <c r="BT454" t="str">
        <f>HYPERLINK("https%3A%2F%2Fwww.webofscience.com%2Fwos%2Fwoscc%2Ffull-record%2FWOS:000609734600001","View Full Record in Web of Science")</f>
        <v>View Full Record in Web of Science</v>
      </c>
    </row>
    <row r="455" spans="1:72" x14ac:dyDescent="0.15">
      <c r="A455" t="s">
        <v>72</v>
      </c>
      <c r="B455" t="s">
        <v>8975</v>
      </c>
      <c r="C455" t="s">
        <v>74</v>
      </c>
      <c r="D455" t="s">
        <v>74</v>
      </c>
      <c r="E455" t="s">
        <v>74</v>
      </c>
      <c r="F455" t="s">
        <v>8976</v>
      </c>
      <c r="G455" t="s">
        <v>74</v>
      </c>
      <c r="H455" t="s">
        <v>74</v>
      </c>
      <c r="I455" t="s">
        <v>8977</v>
      </c>
      <c r="J455" t="s">
        <v>8978</v>
      </c>
      <c r="K455" t="s">
        <v>74</v>
      </c>
      <c r="L455" t="s">
        <v>74</v>
      </c>
      <c r="M455" t="s">
        <v>78</v>
      </c>
      <c r="N455" t="s">
        <v>79</v>
      </c>
      <c r="O455" t="s">
        <v>74</v>
      </c>
      <c r="P455" t="s">
        <v>74</v>
      </c>
      <c r="Q455" t="s">
        <v>74</v>
      </c>
      <c r="R455" t="s">
        <v>74</v>
      </c>
      <c r="S455" t="s">
        <v>74</v>
      </c>
      <c r="T455" t="s">
        <v>8979</v>
      </c>
      <c r="U455" t="s">
        <v>8980</v>
      </c>
      <c r="V455" t="s">
        <v>8981</v>
      </c>
      <c r="W455" t="s">
        <v>8982</v>
      </c>
      <c r="X455" t="s">
        <v>8983</v>
      </c>
      <c r="Y455" t="s">
        <v>8984</v>
      </c>
      <c r="Z455" t="s">
        <v>8985</v>
      </c>
      <c r="AA455" t="s">
        <v>8986</v>
      </c>
      <c r="AB455" t="s">
        <v>8987</v>
      </c>
      <c r="AC455" t="s">
        <v>8988</v>
      </c>
      <c r="AD455" t="s">
        <v>8989</v>
      </c>
      <c r="AE455" t="s">
        <v>8990</v>
      </c>
      <c r="AF455" t="s">
        <v>74</v>
      </c>
      <c r="AG455">
        <v>46</v>
      </c>
      <c r="AH455">
        <v>15</v>
      </c>
      <c r="AI455">
        <v>15</v>
      </c>
      <c r="AJ455">
        <v>3</v>
      </c>
      <c r="AK455">
        <v>13</v>
      </c>
      <c r="AL455" t="s">
        <v>8526</v>
      </c>
      <c r="AM455" t="s">
        <v>2921</v>
      </c>
      <c r="AN455" t="s">
        <v>8527</v>
      </c>
      <c r="AO455" t="s">
        <v>74</v>
      </c>
      <c r="AP455" t="s">
        <v>8991</v>
      </c>
      <c r="AQ455" t="s">
        <v>74</v>
      </c>
      <c r="AR455" t="s">
        <v>8992</v>
      </c>
      <c r="AS455" t="s">
        <v>8993</v>
      </c>
      <c r="AT455" t="s">
        <v>374</v>
      </c>
      <c r="AU455">
        <v>2021</v>
      </c>
      <c r="AV455">
        <v>12</v>
      </c>
      <c r="AW455">
        <v>1</v>
      </c>
      <c r="AX455" t="s">
        <v>74</v>
      </c>
      <c r="AY455" t="s">
        <v>74</v>
      </c>
      <c r="AZ455" t="s">
        <v>74</v>
      </c>
      <c r="BA455" t="s">
        <v>74</v>
      </c>
      <c r="BB455" t="s">
        <v>74</v>
      </c>
      <c r="BC455" t="s">
        <v>74</v>
      </c>
      <c r="BD455">
        <v>44</v>
      </c>
      <c r="BE455" t="s">
        <v>8994</v>
      </c>
      <c r="BF455" t="str">
        <f>HYPERLINK("http://dx.doi.org/10.3390/genes12010044","http://dx.doi.org/10.3390/genes12010044")</f>
        <v>http://dx.doi.org/10.3390/genes12010044</v>
      </c>
      <c r="BG455" t="s">
        <v>74</v>
      </c>
      <c r="BH455" t="s">
        <v>74</v>
      </c>
      <c r="BI455">
        <v>19</v>
      </c>
      <c r="BJ455" t="s">
        <v>2637</v>
      </c>
      <c r="BK455" t="s">
        <v>103</v>
      </c>
      <c r="BL455" t="s">
        <v>2637</v>
      </c>
      <c r="BM455" t="s">
        <v>8995</v>
      </c>
      <c r="BN455">
        <v>33396901</v>
      </c>
      <c r="BO455" t="s">
        <v>3030</v>
      </c>
      <c r="BP455" t="s">
        <v>74</v>
      </c>
      <c r="BQ455" t="s">
        <v>74</v>
      </c>
      <c r="BR455" t="s">
        <v>106</v>
      </c>
      <c r="BS455" t="s">
        <v>8996</v>
      </c>
      <c r="BT455" t="str">
        <f>HYPERLINK("https%3A%2F%2Fwww.webofscience.com%2Fwos%2Fwoscc%2Ffull-record%2FWOS:000610263700001","View Full Record in Web of Science")</f>
        <v>View Full Record in Web of Science</v>
      </c>
    </row>
    <row r="456" spans="1:72" x14ac:dyDescent="0.15">
      <c r="A456" t="s">
        <v>72</v>
      </c>
      <c r="B456" t="s">
        <v>8997</v>
      </c>
      <c r="C456" t="s">
        <v>74</v>
      </c>
      <c r="D456" t="s">
        <v>74</v>
      </c>
      <c r="E456" t="s">
        <v>74</v>
      </c>
      <c r="F456" t="s">
        <v>8998</v>
      </c>
      <c r="G456" t="s">
        <v>74</v>
      </c>
      <c r="H456" t="s">
        <v>74</v>
      </c>
      <c r="I456" t="s">
        <v>8999</v>
      </c>
      <c r="J456" t="s">
        <v>8978</v>
      </c>
      <c r="K456" t="s">
        <v>74</v>
      </c>
      <c r="L456" t="s">
        <v>74</v>
      </c>
      <c r="M456" t="s">
        <v>78</v>
      </c>
      <c r="N456" t="s">
        <v>79</v>
      </c>
      <c r="O456" t="s">
        <v>74</v>
      </c>
      <c r="P456" t="s">
        <v>74</v>
      </c>
      <c r="Q456" t="s">
        <v>74</v>
      </c>
      <c r="R456" t="s">
        <v>74</v>
      </c>
      <c r="S456" t="s">
        <v>74</v>
      </c>
      <c r="T456" t="s">
        <v>9000</v>
      </c>
      <c r="U456" t="s">
        <v>9001</v>
      </c>
      <c r="V456" t="s">
        <v>9002</v>
      </c>
      <c r="W456" t="s">
        <v>9003</v>
      </c>
      <c r="X456" t="s">
        <v>9004</v>
      </c>
      <c r="Y456" t="s">
        <v>9005</v>
      </c>
      <c r="Z456" t="s">
        <v>9006</v>
      </c>
      <c r="AA456" t="s">
        <v>9007</v>
      </c>
      <c r="AB456" t="s">
        <v>9008</v>
      </c>
      <c r="AC456" t="s">
        <v>9009</v>
      </c>
      <c r="AD456" t="s">
        <v>9010</v>
      </c>
      <c r="AE456" t="s">
        <v>9011</v>
      </c>
      <c r="AF456" t="s">
        <v>74</v>
      </c>
      <c r="AG456">
        <v>88</v>
      </c>
      <c r="AH456">
        <v>2</v>
      </c>
      <c r="AI456">
        <v>2</v>
      </c>
      <c r="AJ456">
        <v>1</v>
      </c>
      <c r="AK456">
        <v>9</v>
      </c>
      <c r="AL456" t="s">
        <v>8526</v>
      </c>
      <c r="AM456" t="s">
        <v>2921</v>
      </c>
      <c r="AN456" t="s">
        <v>8527</v>
      </c>
      <c r="AO456" t="s">
        <v>74</v>
      </c>
      <c r="AP456" t="s">
        <v>8991</v>
      </c>
      <c r="AQ456" t="s">
        <v>74</v>
      </c>
      <c r="AR456" t="s">
        <v>8992</v>
      </c>
      <c r="AS456" t="s">
        <v>8993</v>
      </c>
      <c r="AT456" t="s">
        <v>374</v>
      </c>
      <c r="AU456">
        <v>2021</v>
      </c>
      <c r="AV456">
        <v>12</v>
      </c>
      <c r="AW456">
        <v>1</v>
      </c>
      <c r="AX456" t="s">
        <v>74</v>
      </c>
      <c r="AY456" t="s">
        <v>74</v>
      </c>
      <c r="AZ456" t="s">
        <v>74</v>
      </c>
      <c r="BA456" t="s">
        <v>74</v>
      </c>
      <c r="BB456" t="s">
        <v>74</v>
      </c>
      <c r="BC456" t="s">
        <v>74</v>
      </c>
      <c r="BD456">
        <v>5</v>
      </c>
      <c r="BE456" t="s">
        <v>9012</v>
      </c>
      <c r="BF456" t="str">
        <f>HYPERLINK("http://dx.doi.org/10.3390/genes12010005","http://dx.doi.org/10.3390/genes12010005")</f>
        <v>http://dx.doi.org/10.3390/genes12010005</v>
      </c>
      <c r="BG456" t="s">
        <v>74</v>
      </c>
      <c r="BH456" t="s">
        <v>74</v>
      </c>
      <c r="BI456">
        <v>20</v>
      </c>
      <c r="BJ456" t="s">
        <v>2637</v>
      </c>
      <c r="BK456" t="s">
        <v>103</v>
      </c>
      <c r="BL456" t="s">
        <v>2637</v>
      </c>
      <c r="BM456" t="s">
        <v>9013</v>
      </c>
      <c r="BN456">
        <v>33374534</v>
      </c>
      <c r="BO456" t="s">
        <v>246</v>
      </c>
      <c r="BP456" t="s">
        <v>74</v>
      </c>
      <c r="BQ456" t="s">
        <v>74</v>
      </c>
      <c r="BR456" t="s">
        <v>106</v>
      </c>
      <c r="BS456" t="s">
        <v>9014</v>
      </c>
      <c r="BT456" t="str">
        <f>HYPERLINK("https%3A%2F%2Fwww.webofscience.com%2Fwos%2Fwoscc%2Ffull-record%2FWOS:000610245300001","View Full Record in Web of Science")</f>
        <v>View Full Record in Web of Science</v>
      </c>
    </row>
    <row r="457" spans="1:72" x14ac:dyDescent="0.15">
      <c r="A457" t="s">
        <v>72</v>
      </c>
      <c r="B457" t="s">
        <v>9015</v>
      </c>
      <c r="C457" t="s">
        <v>74</v>
      </c>
      <c r="D457" t="s">
        <v>74</v>
      </c>
      <c r="E457" t="s">
        <v>74</v>
      </c>
      <c r="F457" t="s">
        <v>9016</v>
      </c>
      <c r="G457" t="s">
        <v>74</v>
      </c>
      <c r="H457" t="s">
        <v>74</v>
      </c>
      <c r="I457" t="s">
        <v>9017</v>
      </c>
      <c r="J457" t="s">
        <v>9018</v>
      </c>
      <c r="K457" t="s">
        <v>74</v>
      </c>
      <c r="L457" t="s">
        <v>74</v>
      </c>
      <c r="M457" t="s">
        <v>78</v>
      </c>
      <c r="N457" t="s">
        <v>79</v>
      </c>
      <c r="O457" t="s">
        <v>74</v>
      </c>
      <c r="P457" t="s">
        <v>74</v>
      </c>
      <c r="Q457" t="s">
        <v>74</v>
      </c>
      <c r="R457" t="s">
        <v>74</v>
      </c>
      <c r="S457" t="s">
        <v>74</v>
      </c>
      <c r="T457" t="s">
        <v>9019</v>
      </c>
      <c r="U457" t="s">
        <v>74</v>
      </c>
      <c r="V457" t="s">
        <v>9020</v>
      </c>
      <c r="W457" t="s">
        <v>9021</v>
      </c>
      <c r="X457" t="s">
        <v>9022</v>
      </c>
      <c r="Y457" t="s">
        <v>9023</v>
      </c>
      <c r="Z457" t="s">
        <v>9024</v>
      </c>
      <c r="AA457" t="s">
        <v>74</v>
      </c>
      <c r="AB457" t="s">
        <v>9025</v>
      </c>
      <c r="AC457" t="s">
        <v>9026</v>
      </c>
      <c r="AD457" t="s">
        <v>9027</v>
      </c>
      <c r="AE457" t="s">
        <v>9028</v>
      </c>
      <c r="AF457" t="s">
        <v>74</v>
      </c>
      <c r="AG457">
        <v>70</v>
      </c>
      <c r="AH457">
        <v>1</v>
      </c>
      <c r="AI457">
        <v>1</v>
      </c>
      <c r="AJ457">
        <v>0</v>
      </c>
      <c r="AK457">
        <v>6</v>
      </c>
      <c r="AL457" t="s">
        <v>8526</v>
      </c>
      <c r="AM457" t="s">
        <v>2921</v>
      </c>
      <c r="AN457" t="s">
        <v>8527</v>
      </c>
      <c r="AO457" t="s">
        <v>74</v>
      </c>
      <c r="AP457" t="s">
        <v>9029</v>
      </c>
      <c r="AQ457" t="s">
        <v>74</v>
      </c>
      <c r="AR457" t="s">
        <v>9018</v>
      </c>
      <c r="AS457" t="s">
        <v>9030</v>
      </c>
      <c r="AT457" t="s">
        <v>374</v>
      </c>
      <c r="AU457">
        <v>2021</v>
      </c>
      <c r="AV457">
        <v>11</v>
      </c>
      <c r="AW457">
        <v>1</v>
      </c>
      <c r="AX457" t="s">
        <v>74</v>
      </c>
      <c r="AY457" t="s">
        <v>74</v>
      </c>
      <c r="AZ457" t="s">
        <v>74</v>
      </c>
      <c r="BA457" t="s">
        <v>74</v>
      </c>
      <c r="BB457" t="s">
        <v>74</v>
      </c>
      <c r="BC457" t="s">
        <v>74</v>
      </c>
      <c r="BD457">
        <v>11</v>
      </c>
      <c r="BE457" t="s">
        <v>9031</v>
      </c>
      <c r="BF457" t="str">
        <f>HYPERLINK("http://dx.doi.org/10.3390/geosciences11010011","http://dx.doi.org/10.3390/geosciences11010011")</f>
        <v>http://dx.doi.org/10.3390/geosciences11010011</v>
      </c>
      <c r="BG457" t="s">
        <v>74</v>
      </c>
      <c r="BH457" t="s">
        <v>74</v>
      </c>
      <c r="BI457">
        <v>19</v>
      </c>
      <c r="BJ457" t="s">
        <v>401</v>
      </c>
      <c r="BK457" t="s">
        <v>3050</v>
      </c>
      <c r="BL457" t="s">
        <v>402</v>
      </c>
      <c r="BM457" t="s">
        <v>9032</v>
      </c>
      <c r="BN457" t="s">
        <v>74</v>
      </c>
      <c r="BO457" t="s">
        <v>1105</v>
      </c>
      <c r="BP457" t="s">
        <v>74</v>
      </c>
      <c r="BQ457" t="s">
        <v>74</v>
      </c>
      <c r="BR457" t="s">
        <v>106</v>
      </c>
      <c r="BS457" t="s">
        <v>9033</v>
      </c>
      <c r="BT457" t="str">
        <f>HYPERLINK("https%3A%2F%2Fwww.webofscience.com%2Fwos%2Fwoscc%2Ffull-record%2FWOS:000610270900001","View Full Record in Web of Science")</f>
        <v>View Full Record in Web of Science</v>
      </c>
    </row>
    <row r="458" spans="1:72" x14ac:dyDescent="0.15">
      <c r="A458" t="s">
        <v>72</v>
      </c>
      <c r="B458" t="s">
        <v>9034</v>
      </c>
      <c r="C458" t="s">
        <v>74</v>
      </c>
      <c r="D458" t="s">
        <v>74</v>
      </c>
      <c r="E458" t="s">
        <v>74</v>
      </c>
      <c r="F458" t="s">
        <v>9035</v>
      </c>
      <c r="G458" t="s">
        <v>74</v>
      </c>
      <c r="H458" t="s">
        <v>74</v>
      </c>
      <c r="I458" t="s">
        <v>9036</v>
      </c>
      <c r="J458" t="s">
        <v>9037</v>
      </c>
      <c r="K458" t="s">
        <v>74</v>
      </c>
      <c r="L458" t="s">
        <v>74</v>
      </c>
      <c r="M458" t="s">
        <v>78</v>
      </c>
      <c r="N458" t="s">
        <v>79</v>
      </c>
      <c r="O458" t="s">
        <v>74</v>
      </c>
      <c r="P458" t="s">
        <v>74</v>
      </c>
      <c r="Q458" t="s">
        <v>74</v>
      </c>
      <c r="R458" t="s">
        <v>74</v>
      </c>
      <c r="S458" t="s">
        <v>74</v>
      </c>
      <c r="T458" t="s">
        <v>74</v>
      </c>
      <c r="U458" t="s">
        <v>74</v>
      </c>
      <c r="V458" t="s">
        <v>9038</v>
      </c>
      <c r="W458" t="s">
        <v>9039</v>
      </c>
      <c r="X458" t="s">
        <v>9040</v>
      </c>
      <c r="Y458" t="s">
        <v>9041</v>
      </c>
      <c r="Z458" t="s">
        <v>9042</v>
      </c>
      <c r="AA458" t="s">
        <v>9043</v>
      </c>
      <c r="AB458" t="s">
        <v>9044</v>
      </c>
      <c r="AC458" t="s">
        <v>9045</v>
      </c>
      <c r="AD458" t="s">
        <v>9046</v>
      </c>
      <c r="AE458" t="s">
        <v>9047</v>
      </c>
      <c r="AF458" t="s">
        <v>74</v>
      </c>
      <c r="AG458">
        <v>8</v>
      </c>
      <c r="AH458">
        <v>0</v>
      </c>
      <c r="AI458">
        <v>0</v>
      </c>
      <c r="AJ458">
        <v>0</v>
      </c>
      <c r="AK458">
        <v>4</v>
      </c>
      <c r="AL458" t="s">
        <v>9048</v>
      </c>
      <c r="AM458" t="s">
        <v>9049</v>
      </c>
      <c r="AN458" t="s">
        <v>9050</v>
      </c>
      <c r="AO458" t="s">
        <v>9051</v>
      </c>
      <c r="AP458" t="s">
        <v>9052</v>
      </c>
      <c r="AQ458" t="s">
        <v>74</v>
      </c>
      <c r="AR458" t="s">
        <v>9053</v>
      </c>
      <c r="AS458" t="s">
        <v>9054</v>
      </c>
      <c r="AT458" t="s">
        <v>374</v>
      </c>
      <c r="AU458">
        <v>2021</v>
      </c>
      <c r="AV458">
        <v>41</v>
      </c>
      <c r="AW458">
        <v>1</v>
      </c>
      <c r="AX458" t="s">
        <v>74</v>
      </c>
      <c r="AY458" t="s">
        <v>74</v>
      </c>
      <c r="AZ458" t="s">
        <v>74</v>
      </c>
      <c r="BA458" t="s">
        <v>74</v>
      </c>
      <c r="BB458">
        <v>35</v>
      </c>
      <c r="BC458">
        <v>41</v>
      </c>
      <c r="BD458" t="s">
        <v>74</v>
      </c>
      <c r="BE458" t="s">
        <v>9055</v>
      </c>
      <c r="BF458" t="str">
        <f>HYPERLINK("http://dx.doi.org/10.1109/MCG.2020.3044228","http://dx.doi.org/10.1109/MCG.2020.3044228")</f>
        <v>http://dx.doi.org/10.1109/MCG.2020.3044228</v>
      </c>
      <c r="BG458" t="s">
        <v>74</v>
      </c>
      <c r="BH458" t="s">
        <v>74</v>
      </c>
      <c r="BI458">
        <v>7</v>
      </c>
      <c r="BJ458" t="s">
        <v>9056</v>
      </c>
      <c r="BK458" t="s">
        <v>103</v>
      </c>
      <c r="BL458" t="s">
        <v>4707</v>
      </c>
      <c r="BM458" t="s">
        <v>9057</v>
      </c>
      <c r="BN458">
        <v>33444128</v>
      </c>
      <c r="BO458" t="s">
        <v>1755</v>
      </c>
      <c r="BP458" t="s">
        <v>74</v>
      </c>
      <c r="BQ458" t="s">
        <v>74</v>
      </c>
      <c r="BR458" t="s">
        <v>106</v>
      </c>
      <c r="BS458" t="s">
        <v>9058</v>
      </c>
      <c r="BT458" t="str">
        <f>HYPERLINK("https%3A%2F%2Fwww.webofscience.com%2Fwos%2Fwoscc%2Ffull-record%2FWOS:000608688900006","View Full Record in Web of Science")</f>
        <v>View Full Record in Web of Science</v>
      </c>
    </row>
    <row r="459" spans="1:72" x14ac:dyDescent="0.15">
      <c r="A459" t="s">
        <v>72</v>
      </c>
      <c r="B459" t="s">
        <v>9059</v>
      </c>
      <c r="C459" t="s">
        <v>74</v>
      </c>
      <c r="D459" t="s">
        <v>74</v>
      </c>
      <c r="E459" t="s">
        <v>74</v>
      </c>
      <c r="F459" t="s">
        <v>9060</v>
      </c>
      <c r="G459" t="s">
        <v>74</v>
      </c>
      <c r="H459" t="s">
        <v>74</v>
      </c>
      <c r="I459" t="s">
        <v>9061</v>
      </c>
      <c r="J459" t="s">
        <v>3451</v>
      </c>
      <c r="K459" t="s">
        <v>74</v>
      </c>
      <c r="L459" t="s">
        <v>74</v>
      </c>
      <c r="M459" t="s">
        <v>78</v>
      </c>
      <c r="N459" t="s">
        <v>79</v>
      </c>
      <c r="O459" t="s">
        <v>74</v>
      </c>
      <c r="P459" t="s">
        <v>74</v>
      </c>
      <c r="Q459" t="s">
        <v>74</v>
      </c>
      <c r="R459" t="s">
        <v>74</v>
      </c>
      <c r="S459" t="s">
        <v>74</v>
      </c>
      <c r="T459" t="s">
        <v>9062</v>
      </c>
      <c r="U459" t="s">
        <v>9063</v>
      </c>
      <c r="V459" t="s">
        <v>9064</v>
      </c>
      <c r="W459" t="s">
        <v>9065</v>
      </c>
      <c r="X459" t="s">
        <v>9066</v>
      </c>
      <c r="Y459" t="s">
        <v>9067</v>
      </c>
      <c r="Z459" t="s">
        <v>9068</v>
      </c>
      <c r="AA459" t="s">
        <v>74</v>
      </c>
      <c r="AB459" t="s">
        <v>74</v>
      </c>
      <c r="AC459" t="s">
        <v>9069</v>
      </c>
      <c r="AD459" t="s">
        <v>9070</v>
      </c>
      <c r="AE459" t="s">
        <v>9071</v>
      </c>
      <c r="AF459" t="s">
        <v>74</v>
      </c>
      <c r="AG459">
        <v>46</v>
      </c>
      <c r="AH459">
        <v>37</v>
      </c>
      <c r="AI459">
        <v>40</v>
      </c>
      <c r="AJ459">
        <v>8</v>
      </c>
      <c r="AK459">
        <v>58</v>
      </c>
      <c r="AL459" t="s">
        <v>92</v>
      </c>
      <c r="AM459" t="s">
        <v>93</v>
      </c>
      <c r="AN459" t="s">
        <v>94</v>
      </c>
      <c r="AO459" t="s">
        <v>3464</v>
      </c>
      <c r="AP459" t="s">
        <v>3465</v>
      </c>
      <c r="AQ459" t="s">
        <v>74</v>
      </c>
      <c r="AR459" t="s">
        <v>3466</v>
      </c>
      <c r="AS459" t="s">
        <v>3467</v>
      </c>
      <c r="AT459" t="s">
        <v>374</v>
      </c>
      <c r="AU459">
        <v>2021</v>
      </c>
      <c r="AV459">
        <v>171</v>
      </c>
      <c r="AW459" t="s">
        <v>74</v>
      </c>
      <c r="AX459" t="s">
        <v>74</v>
      </c>
      <c r="AY459" t="s">
        <v>74</v>
      </c>
      <c r="AZ459" t="s">
        <v>74</v>
      </c>
      <c r="BA459" t="s">
        <v>74</v>
      </c>
      <c r="BB459">
        <v>1</v>
      </c>
      <c r="BC459">
        <v>17</v>
      </c>
      <c r="BD459" t="s">
        <v>74</v>
      </c>
      <c r="BE459" t="s">
        <v>9072</v>
      </c>
      <c r="BF459" t="str">
        <f>HYPERLINK("http://dx.doi.org/10.1016/j.isprsjprs.2020.10.019","http://dx.doi.org/10.1016/j.isprsjprs.2020.10.019")</f>
        <v>http://dx.doi.org/10.1016/j.isprsjprs.2020.10.019</v>
      </c>
      <c r="BG459" t="s">
        <v>74</v>
      </c>
      <c r="BH459" t="s">
        <v>74</v>
      </c>
      <c r="BI459">
        <v>17</v>
      </c>
      <c r="BJ459" t="s">
        <v>3469</v>
      </c>
      <c r="BK459" t="s">
        <v>103</v>
      </c>
      <c r="BL459" t="s">
        <v>3470</v>
      </c>
      <c r="BM459" t="s">
        <v>9073</v>
      </c>
      <c r="BN459" t="s">
        <v>74</v>
      </c>
      <c r="BO459" t="s">
        <v>74</v>
      </c>
      <c r="BP459" t="s">
        <v>74</v>
      </c>
      <c r="BQ459" t="s">
        <v>74</v>
      </c>
      <c r="BR459" t="s">
        <v>106</v>
      </c>
      <c r="BS459" t="s">
        <v>9074</v>
      </c>
      <c r="BT459" t="str">
        <f>HYPERLINK("https%3A%2F%2Fwww.webofscience.com%2Fwos%2Fwoscc%2Ffull-record%2FWOS:000604406500001","View Full Record in Web of Science")</f>
        <v>View Full Record in Web of Science</v>
      </c>
    </row>
    <row r="460" spans="1:72" x14ac:dyDescent="0.15">
      <c r="A460" t="s">
        <v>72</v>
      </c>
      <c r="B460" t="s">
        <v>9075</v>
      </c>
      <c r="C460" t="s">
        <v>74</v>
      </c>
      <c r="D460" t="s">
        <v>74</v>
      </c>
      <c r="E460" t="s">
        <v>74</v>
      </c>
      <c r="F460" t="s">
        <v>9076</v>
      </c>
      <c r="G460" t="s">
        <v>74</v>
      </c>
      <c r="H460" t="s">
        <v>74</v>
      </c>
      <c r="I460" t="s">
        <v>9077</v>
      </c>
      <c r="J460" t="s">
        <v>9078</v>
      </c>
      <c r="K460" t="s">
        <v>74</v>
      </c>
      <c r="L460" t="s">
        <v>74</v>
      </c>
      <c r="M460" t="s">
        <v>78</v>
      </c>
      <c r="N460" t="s">
        <v>79</v>
      </c>
      <c r="O460" t="s">
        <v>74</v>
      </c>
      <c r="P460" t="s">
        <v>74</v>
      </c>
      <c r="Q460" t="s">
        <v>74</v>
      </c>
      <c r="R460" t="s">
        <v>74</v>
      </c>
      <c r="S460" t="s">
        <v>74</v>
      </c>
      <c r="T460" t="s">
        <v>9079</v>
      </c>
      <c r="U460" t="s">
        <v>74</v>
      </c>
      <c r="V460" t="s">
        <v>9080</v>
      </c>
      <c r="W460" t="s">
        <v>9081</v>
      </c>
      <c r="X460" t="s">
        <v>9082</v>
      </c>
      <c r="Y460" t="s">
        <v>9083</v>
      </c>
      <c r="Z460" t="s">
        <v>9084</v>
      </c>
      <c r="AA460" t="s">
        <v>9085</v>
      </c>
      <c r="AB460" t="s">
        <v>9086</v>
      </c>
      <c r="AC460" t="s">
        <v>9087</v>
      </c>
      <c r="AD460" t="s">
        <v>9088</v>
      </c>
      <c r="AE460" t="s">
        <v>9089</v>
      </c>
      <c r="AF460" t="s">
        <v>74</v>
      </c>
      <c r="AG460">
        <v>22</v>
      </c>
      <c r="AH460">
        <v>14</v>
      </c>
      <c r="AI460">
        <v>14</v>
      </c>
      <c r="AJ460">
        <v>3</v>
      </c>
      <c r="AK460">
        <v>12</v>
      </c>
      <c r="AL460" t="s">
        <v>8526</v>
      </c>
      <c r="AM460" t="s">
        <v>2921</v>
      </c>
      <c r="AN460" t="s">
        <v>8527</v>
      </c>
      <c r="AO460" t="s">
        <v>74</v>
      </c>
      <c r="AP460" t="s">
        <v>9090</v>
      </c>
      <c r="AQ460" t="s">
        <v>74</v>
      </c>
      <c r="AR460" t="s">
        <v>9091</v>
      </c>
      <c r="AS460" t="s">
        <v>9092</v>
      </c>
      <c r="AT460" t="s">
        <v>374</v>
      </c>
      <c r="AU460">
        <v>2021</v>
      </c>
      <c r="AV460">
        <v>9</v>
      </c>
      <c r="AW460">
        <v>1</v>
      </c>
      <c r="AX460" t="s">
        <v>74</v>
      </c>
      <c r="AY460" t="s">
        <v>74</v>
      </c>
      <c r="AZ460" t="s">
        <v>74</v>
      </c>
      <c r="BA460" t="s">
        <v>74</v>
      </c>
      <c r="BB460" t="s">
        <v>74</v>
      </c>
      <c r="BC460" t="s">
        <v>74</v>
      </c>
      <c r="BD460">
        <v>64</v>
      </c>
      <c r="BE460" t="s">
        <v>9093</v>
      </c>
      <c r="BF460" t="str">
        <f>HYPERLINK("http://dx.doi.org/10.3390/jmse9010064","http://dx.doi.org/10.3390/jmse9010064")</f>
        <v>http://dx.doi.org/10.3390/jmse9010064</v>
      </c>
      <c r="BG460" t="s">
        <v>74</v>
      </c>
      <c r="BH460" t="s">
        <v>74</v>
      </c>
      <c r="BI460">
        <v>12</v>
      </c>
      <c r="BJ460" t="s">
        <v>9094</v>
      </c>
      <c r="BK460" t="s">
        <v>103</v>
      </c>
      <c r="BL460" t="s">
        <v>377</v>
      </c>
      <c r="BM460" t="s">
        <v>9095</v>
      </c>
      <c r="BN460" t="s">
        <v>74</v>
      </c>
      <c r="BO460" t="s">
        <v>326</v>
      </c>
      <c r="BP460" t="s">
        <v>74</v>
      </c>
      <c r="BQ460" t="s">
        <v>74</v>
      </c>
      <c r="BR460" t="s">
        <v>106</v>
      </c>
      <c r="BS460" t="s">
        <v>9096</v>
      </c>
      <c r="BT460" t="str">
        <f>HYPERLINK("https%3A%2F%2Fwww.webofscience.com%2Fwos%2Fwoscc%2Ffull-record%2FWOS:000610341100001","View Full Record in Web of Science")</f>
        <v>View Full Record in Web of Science</v>
      </c>
    </row>
    <row r="461" spans="1:72" x14ac:dyDescent="0.15">
      <c r="A461" t="s">
        <v>72</v>
      </c>
      <c r="B461" t="s">
        <v>9097</v>
      </c>
      <c r="C461" t="s">
        <v>74</v>
      </c>
      <c r="D461" t="s">
        <v>74</v>
      </c>
      <c r="E461" t="s">
        <v>74</v>
      </c>
      <c r="F461" t="s">
        <v>9098</v>
      </c>
      <c r="G461" t="s">
        <v>74</v>
      </c>
      <c r="H461" t="s">
        <v>74</v>
      </c>
      <c r="I461" t="s">
        <v>9099</v>
      </c>
      <c r="J461" t="s">
        <v>9100</v>
      </c>
      <c r="K461" t="s">
        <v>74</v>
      </c>
      <c r="L461" t="s">
        <v>74</v>
      </c>
      <c r="M461" t="s">
        <v>78</v>
      </c>
      <c r="N461" t="s">
        <v>79</v>
      </c>
      <c r="O461" t="s">
        <v>74</v>
      </c>
      <c r="P461" t="s">
        <v>74</v>
      </c>
      <c r="Q461" t="s">
        <v>74</v>
      </c>
      <c r="R461" t="s">
        <v>74</v>
      </c>
      <c r="S461" t="s">
        <v>74</v>
      </c>
      <c r="T461" t="s">
        <v>9101</v>
      </c>
      <c r="U461" t="s">
        <v>9102</v>
      </c>
      <c r="V461" t="s">
        <v>9103</v>
      </c>
      <c r="W461" t="s">
        <v>9104</v>
      </c>
      <c r="X461" t="s">
        <v>9105</v>
      </c>
      <c r="Y461" t="s">
        <v>9106</v>
      </c>
      <c r="Z461" t="s">
        <v>9107</v>
      </c>
      <c r="AA461" t="s">
        <v>9108</v>
      </c>
      <c r="AB461" t="s">
        <v>9109</v>
      </c>
      <c r="AC461" t="s">
        <v>9110</v>
      </c>
      <c r="AD461" t="s">
        <v>9111</v>
      </c>
      <c r="AE461" t="s">
        <v>9112</v>
      </c>
      <c r="AF461" t="s">
        <v>74</v>
      </c>
      <c r="AG461">
        <v>83</v>
      </c>
      <c r="AH461">
        <v>10</v>
      </c>
      <c r="AI461">
        <v>10</v>
      </c>
      <c r="AJ461">
        <v>4</v>
      </c>
      <c r="AK461">
        <v>33</v>
      </c>
      <c r="AL461" t="s">
        <v>8526</v>
      </c>
      <c r="AM461" t="s">
        <v>2921</v>
      </c>
      <c r="AN461" t="s">
        <v>8527</v>
      </c>
      <c r="AO461" t="s">
        <v>74</v>
      </c>
      <c r="AP461" t="s">
        <v>9113</v>
      </c>
      <c r="AQ461" t="s">
        <v>74</v>
      </c>
      <c r="AR461" t="s">
        <v>9100</v>
      </c>
      <c r="AS461" t="s">
        <v>9114</v>
      </c>
      <c r="AT461" t="s">
        <v>374</v>
      </c>
      <c r="AU461">
        <v>2021</v>
      </c>
      <c r="AV461">
        <v>9</v>
      </c>
      <c r="AW461">
        <v>1</v>
      </c>
      <c r="AX461" t="s">
        <v>74</v>
      </c>
      <c r="AY461" t="s">
        <v>74</v>
      </c>
      <c r="AZ461" t="s">
        <v>74</v>
      </c>
      <c r="BA461" t="s">
        <v>74</v>
      </c>
      <c r="BB461" t="s">
        <v>74</v>
      </c>
      <c r="BC461" t="s">
        <v>74</v>
      </c>
      <c r="BD461">
        <v>88</v>
      </c>
      <c r="BE461" t="s">
        <v>9115</v>
      </c>
      <c r="BF461" t="str">
        <f>HYPERLINK("http://dx.doi.org/10.3390/microorganisms9010088","http://dx.doi.org/10.3390/microorganisms9010088")</f>
        <v>http://dx.doi.org/10.3390/microorganisms9010088</v>
      </c>
      <c r="BG461" t="s">
        <v>74</v>
      </c>
      <c r="BH461" t="s">
        <v>74</v>
      </c>
      <c r="BI461">
        <v>18</v>
      </c>
      <c r="BJ461" t="s">
        <v>3581</v>
      </c>
      <c r="BK461" t="s">
        <v>103</v>
      </c>
      <c r="BL461" t="s">
        <v>3581</v>
      </c>
      <c r="BM461" t="s">
        <v>9116</v>
      </c>
      <c r="BN461">
        <v>33401391</v>
      </c>
      <c r="BO461" t="s">
        <v>246</v>
      </c>
      <c r="BP461" t="s">
        <v>74</v>
      </c>
      <c r="BQ461" t="s">
        <v>74</v>
      </c>
      <c r="BR461" t="s">
        <v>106</v>
      </c>
      <c r="BS461" t="s">
        <v>9117</v>
      </c>
      <c r="BT461" t="str">
        <f>HYPERLINK("https%3A%2F%2Fwww.webofscience.com%2Fwos%2Fwoscc%2Ffull-record%2FWOS:000610585700001","View Full Record in Web of Science")</f>
        <v>View Full Record in Web of Science</v>
      </c>
    </row>
    <row r="462" spans="1:72" x14ac:dyDescent="0.15">
      <c r="A462" t="s">
        <v>72</v>
      </c>
      <c r="B462" t="s">
        <v>9118</v>
      </c>
      <c r="C462" t="s">
        <v>74</v>
      </c>
      <c r="D462" t="s">
        <v>74</v>
      </c>
      <c r="E462" t="s">
        <v>74</v>
      </c>
      <c r="F462" t="s">
        <v>9119</v>
      </c>
      <c r="G462" t="s">
        <v>74</v>
      </c>
      <c r="H462" t="s">
        <v>74</v>
      </c>
      <c r="I462" t="s">
        <v>9120</v>
      </c>
      <c r="J462" t="s">
        <v>9121</v>
      </c>
      <c r="K462" t="s">
        <v>74</v>
      </c>
      <c r="L462" t="s">
        <v>74</v>
      </c>
      <c r="M462" t="s">
        <v>78</v>
      </c>
      <c r="N462" t="s">
        <v>79</v>
      </c>
      <c r="O462" t="s">
        <v>74</v>
      </c>
      <c r="P462" t="s">
        <v>74</v>
      </c>
      <c r="Q462" t="s">
        <v>74</v>
      </c>
      <c r="R462" t="s">
        <v>74</v>
      </c>
      <c r="S462" t="s">
        <v>74</v>
      </c>
      <c r="T462" t="s">
        <v>9122</v>
      </c>
      <c r="U462" t="s">
        <v>9123</v>
      </c>
      <c r="V462" t="s">
        <v>9124</v>
      </c>
      <c r="W462" t="s">
        <v>9125</v>
      </c>
      <c r="X462" t="s">
        <v>9126</v>
      </c>
      <c r="Y462" t="s">
        <v>9127</v>
      </c>
      <c r="Z462" t="s">
        <v>9128</v>
      </c>
      <c r="AA462" t="s">
        <v>9129</v>
      </c>
      <c r="AB462" t="s">
        <v>9130</v>
      </c>
      <c r="AC462" t="s">
        <v>9131</v>
      </c>
      <c r="AD462" t="s">
        <v>9132</v>
      </c>
      <c r="AE462" t="s">
        <v>9133</v>
      </c>
      <c r="AF462" t="s">
        <v>74</v>
      </c>
      <c r="AG462">
        <v>51</v>
      </c>
      <c r="AH462">
        <v>4</v>
      </c>
      <c r="AI462">
        <v>4</v>
      </c>
      <c r="AJ462">
        <v>3</v>
      </c>
      <c r="AK462">
        <v>10</v>
      </c>
      <c r="AL462" t="s">
        <v>8526</v>
      </c>
      <c r="AM462" t="s">
        <v>2921</v>
      </c>
      <c r="AN462" t="s">
        <v>8527</v>
      </c>
      <c r="AO462" t="s">
        <v>74</v>
      </c>
      <c r="AP462" t="s">
        <v>9134</v>
      </c>
      <c r="AQ462" t="s">
        <v>74</v>
      </c>
      <c r="AR462" t="s">
        <v>9135</v>
      </c>
      <c r="AS462" t="s">
        <v>9136</v>
      </c>
      <c r="AT462" t="s">
        <v>374</v>
      </c>
      <c r="AU462">
        <v>2021</v>
      </c>
      <c r="AV462">
        <v>11</v>
      </c>
      <c r="AW462">
        <v>1</v>
      </c>
      <c r="AX462" t="s">
        <v>74</v>
      </c>
      <c r="AY462" t="s">
        <v>74</v>
      </c>
      <c r="AZ462" t="s">
        <v>74</v>
      </c>
      <c r="BA462" t="s">
        <v>74</v>
      </c>
      <c r="BB462" t="s">
        <v>74</v>
      </c>
      <c r="BC462" t="s">
        <v>74</v>
      </c>
      <c r="BD462">
        <v>72</v>
      </c>
      <c r="BE462" t="s">
        <v>9137</v>
      </c>
      <c r="BF462" t="str">
        <f>HYPERLINK("http://dx.doi.org/10.3390/min11010072","http://dx.doi.org/10.3390/min11010072")</f>
        <v>http://dx.doi.org/10.3390/min11010072</v>
      </c>
      <c r="BG462" t="s">
        <v>74</v>
      </c>
      <c r="BH462" t="s">
        <v>74</v>
      </c>
      <c r="BI462">
        <v>12</v>
      </c>
      <c r="BJ462" t="s">
        <v>9138</v>
      </c>
      <c r="BK462" t="s">
        <v>103</v>
      </c>
      <c r="BL462" t="s">
        <v>9138</v>
      </c>
      <c r="BM462" t="s">
        <v>9139</v>
      </c>
      <c r="BN462" t="s">
        <v>74</v>
      </c>
      <c r="BO462" t="s">
        <v>326</v>
      </c>
      <c r="BP462" t="s">
        <v>74</v>
      </c>
      <c r="BQ462" t="s">
        <v>74</v>
      </c>
      <c r="BR462" t="s">
        <v>106</v>
      </c>
      <c r="BS462" t="s">
        <v>9140</v>
      </c>
      <c r="BT462" t="str">
        <f>HYPERLINK("https%3A%2F%2Fwww.webofscience.com%2Fwos%2Fwoscc%2Ffull-record%2FWOS:000610604000001","View Full Record in Web of Science")</f>
        <v>View Full Record in Web of Science</v>
      </c>
    </row>
    <row r="463" spans="1:72" x14ac:dyDescent="0.15">
      <c r="A463" t="s">
        <v>72</v>
      </c>
      <c r="B463" t="s">
        <v>9141</v>
      </c>
      <c r="C463" t="s">
        <v>74</v>
      </c>
      <c r="D463" t="s">
        <v>74</v>
      </c>
      <c r="E463" t="s">
        <v>74</v>
      </c>
      <c r="F463" t="s">
        <v>9142</v>
      </c>
      <c r="G463" t="s">
        <v>74</v>
      </c>
      <c r="H463" t="s">
        <v>74</v>
      </c>
      <c r="I463" t="s">
        <v>9143</v>
      </c>
      <c r="J463" t="s">
        <v>8517</v>
      </c>
      <c r="K463" t="s">
        <v>74</v>
      </c>
      <c r="L463" t="s">
        <v>74</v>
      </c>
      <c r="M463" t="s">
        <v>78</v>
      </c>
      <c r="N463" t="s">
        <v>79</v>
      </c>
      <c r="O463" t="s">
        <v>74</v>
      </c>
      <c r="P463" t="s">
        <v>74</v>
      </c>
      <c r="Q463" t="s">
        <v>74</v>
      </c>
      <c r="R463" t="s">
        <v>74</v>
      </c>
      <c r="S463" t="s">
        <v>74</v>
      </c>
      <c r="T463" t="s">
        <v>9144</v>
      </c>
      <c r="U463" t="s">
        <v>9145</v>
      </c>
      <c r="V463" t="s">
        <v>9146</v>
      </c>
      <c r="W463" t="s">
        <v>9147</v>
      </c>
      <c r="X463" t="s">
        <v>9148</v>
      </c>
      <c r="Y463" t="s">
        <v>9149</v>
      </c>
      <c r="Z463" t="s">
        <v>9150</v>
      </c>
      <c r="AA463" t="s">
        <v>9151</v>
      </c>
      <c r="AB463" t="s">
        <v>9152</v>
      </c>
      <c r="AC463" t="s">
        <v>9153</v>
      </c>
      <c r="AD463" t="s">
        <v>9154</v>
      </c>
      <c r="AE463" t="s">
        <v>9155</v>
      </c>
      <c r="AF463" t="s">
        <v>74</v>
      </c>
      <c r="AG463">
        <v>69</v>
      </c>
      <c r="AH463">
        <v>9</v>
      </c>
      <c r="AI463">
        <v>9</v>
      </c>
      <c r="AJ463">
        <v>1</v>
      </c>
      <c r="AK463">
        <v>20</v>
      </c>
      <c r="AL463" t="s">
        <v>8526</v>
      </c>
      <c r="AM463" t="s">
        <v>2921</v>
      </c>
      <c r="AN463" t="s">
        <v>8527</v>
      </c>
      <c r="AO463" t="s">
        <v>74</v>
      </c>
      <c r="AP463" t="s">
        <v>8528</v>
      </c>
      <c r="AQ463" t="s">
        <v>74</v>
      </c>
      <c r="AR463" t="s">
        <v>8529</v>
      </c>
      <c r="AS463" t="s">
        <v>8530</v>
      </c>
      <c r="AT463" t="s">
        <v>374</v>
      </c>
      <c r="AU463">
        <v>2021</v>
      </c>
      <c r="AV463">
        <v>13</v>
      </c>
      <c r="AW463">
        <v>2</v>
      </c>
      <c r="AX463" t="s">
        <v>74</v>
      </c>
      <c r="AY463" t="s">
        <v>74</v>
      </c>
      <c r="AZ463" t="s">
        <v>74</v>
      </c>
      <c r="BA463" t="s">
        <v>74</v>
      </c>
      <c r="BB463" t="s">
        <v>74</v>
      </c>
      <c r="BC463" t="s">
        <v>74</v>
      </c>
      <c r="BD463">
        <v>166</v>
      </c>
      <c r="BE463" t="s">
        <v>9156</v>
      </c>
      <c r="BF463" t="str">
        <f>HYPERLINK("http://dx.doi.org/10.3390/rs13020166","http://dx.doi.org/10.3390/rs13020166")</f>
        <v>http://dx.doi.org/10.3390/rs13020166</v>
      </c>
      <c r="BG463" t="s">
        <v>74</v>
      </c>
      <c r="BH463" t="s">
        <v>74</v>
      </c>
      <c r="BI463">
        <v>26</v>
      </c>
      <c r="BJ463" t="s">
        <v>8532</v>
      </c>
      <c r="BK463" t="s">
        <v>103</v>
      </c>
      <c r="BL463" t="s">
        <v>8533</v>
      </c>
      <c r="BM463" t="s">
        <v>9157</v>
      </c>
      <c r="BN463" t="s">
        <v>74</v>
      </c>
      <c r="BO463" t="s">
        <v>561</v>
      </c>
      <c r="BP463" t="s">
        <v>74</v>
      </c>
      <c r="BQ463" t="s">
        <v>74</v>
      </c>
      <c r="BR463" t="s">
        <v>106</v>
      </c>
      <c r="BS463" t="s">
        <v>9158</v>
      </c>
      <c r="BT463" t="str">
        <f>HYPERLINK("https%3A%2F%2Fwww.webofscience.com%2Fwos%2Fwoscc%2Ffull-record%2FWOS:000611556600001","View Full Record in Web of Science")</f>
        <v>View Full Record in Web of Science</v>
      </c>
    </row>
    <row r="464" spans="1:72" x14ac:dyDescent="0.15">
      <c r="A464" t="s">
        <v>72</v>
      </c>
      <c r="B464" t="s">
        <v>9159</v>
      </c>
      <c r="C464" t="s">
        <v>74</v>
      </c>
      <c r="D464" t="s">
        <v>74</v>
      </c>
      <c r="E464" t="s">
        <v>74</v>
      </c>
      <c r="F464" t="s">
        <v>9160</v>
      </c>
      <c r="G464" t="s">
        <v>74</v>
      </c>
      <c r="H464" t="s">
        <v>74</v>
      </c>
      <c r="I464" t="s">
        <v>9161</v>
      </c>
      <c r="J464" t="s">
        <v>9162</v>
      </c>
      <c r="K464" t="s">
        <v>74</v>
      </c>
      <c r="L464" t="s">
        <v>74</v>
      </c>
      <c r="M464" t="s">
        <v>78</v>
      </c>
      <c r="N464" t="s">
        <v>79</v>
      </c>
      <c r="O464" t="s">
        <v>74</v>
      </c>
      <c r="P464" t="s">
        <v>74</v>
      </c>
      <c r="Q464" t="s">
        <v>74</v>
      </c>
      <c r="R464" t="s">
        <v>74</v>
      </c>
      <c r="S464" t="s">
        <v>74</v>
      </c>
      <c r="T464" t="s">
        <v>9163</v>
      </c>
      <c r="U464" t="s">
        <v>9164</v>
      </c>
      <c r="V464" t="s">
        <v>9165</v>
      </c>
      <c r="W464" t="s">
        <v>9166</v>
      </c>
      <c r="X464" t="s">
        <v>1681</v>
      </c>
      <c r="Y464" t="s">
        <v>9167</v>
      </c>
      <c r="Z464" t="s">
        <v>9168</v>
      </c>
      <c r="AA464" t="s">
        <v>74</v>
      </c>
      <c r="AB464" t="s">
        <v>9169</v>
      </c>
      <c r="AC464" t="s">
        <v>9170</v>
      </c>
      <c r="AD464" t="s">
        <v>9170</v>
      </c>
      <c r="AE464" t="s">
        <v>9171</v>
      </c>
      <c r="AF464" t="s">
        <v>74</v>
      </c>
      <c r="AG464">
        <v>66</v>
      </c>
      <c r="AH464">
        <v>3</v>
      </c>
      <c r="AI464">
        <v>3</v>
      </c>
      <c r="AJ464">
        <v>0</v>
      </c>
      <c r="AK464">
        <v>6</v>
      </c>
      <c r="AL464" t="s">
        <v>418</v>
      </c>
      <c r="AM464" t="s">
        <v>178</v>
      </c>
      <c r="AN464" t="s">
        <v>419</v>
      </c>
      <c r="AO464" t="s">
        <v>9172</v>
      </c>
      <c r="AP464" t="s">
        <v>9173</v>
      </c>
      <c r="AQ464" t="s">
        <v>74</v>
      </c>
      <c r="AR464" t="s">
        <v>9174</v>
      </c>
      <c r="AS464" t="s">
        <v>9175</v>
      </c>
      <c r="AT464" t="s">
        <v>6088</v>
      </c>
      <c r="AU464">
        <v>2021</v>
      </c>
      <c r="AV464">
        <v>212</v>
      </c>
      <c r="AW464" t="s">
        <v>74</v>
      </c>
      <c r="AX464" t="s">
        <v>74</v>
      </c>
      <c r="AY464" t="s">
        <v>74</v>
      </c>
      <c r="AZ464" t="s">
        <v>74</v>
      </c>
      <c r="BA464" t="s">
        <v>74</v>
      </c>
      <c r="BB464" t="s">
        <v>74</v>
      </c>
      <c r="BC464" t="s">
        <v>74</v>
      </c>
      <c r="BD464">
        <v>104309</v>
      </c>
      <c r="BE464" t="s">
        <v>9176</v>
      </c>
      <c r="BF464" t="str">
        <f>HYPERLINK("http://dx.doi.org/10.1016/j.csr.2020.104309","http://dx.doi.org/10.1016/j.csr.2020.104309")</f>
        <v>http://dx.doi.org/10.1016/j.csr.2020.104309</v>
      </c>
      <c r="BG464" t="s">
        <v>74</v>
      </c>
      <c r="BH464" t="s">
        <v>74</v>
      </c>
      <c r="BI464">
        <v>15</v>
      </c>
      <c r="BJ464" t="s">
        <v>2250</v>
      </c>
      <c r="BK464" t="s">
        <v>103</v>
      </c>
      <c r="BL464" t="s">
        <v>2250</v>
      </c>
      <c r="BM464" t="s">
        <v>9177</v>
      </c>
      <c r="BN464" t="s">
        <v>74</v>
      </c>
      <c r="BO464" t="s">
        <v>74</v>
      </c>
      <c r="BP464" t="s">
        <v>74</v>
      </c>
      <c r="BQ464" t="s">
        <v>74</v>
      </c>
      <c r="BR464" t="s">
        <v>106</v>
      </c>
      <c r="BS464" t="s">
        <v>9178</v>
      </c>
      <c r="BT464" t="str">
        <f>HYPERLINK("https%3A%2F%2Fwww.webofscience.com%2Fwos%2Fwoscc%2Ffull-record%2FWOS:000605480900003","View Full Record in Web of Science")</f>
        <v>View Full Record in Web of Science</v>
      </c>
    </row>
    <row r="465" spans="1:72" x14ac:dyDescent="0.15">
      <c r="A465" t="s">
        <v>72</v>
      </c>
      <c r="B465" t="s">
        <v>9179</v>
      </c>
      <c r="C465" t="s">
        <v>74</v>
      </c>
      <c r="D465" t="s">
        <v>74</v>
      </c>
      <c r="E465" t="s">
        <v>74</v>
      </c>
      <c r="F465" t="s">
        <v>9180</v>
      </c>
      <c r="G465" t="s">
        <v>74</v>
      </c>
      <c r="H465" t="s">
        <v>74</v>
      </c>
      <c r="I465" t="s">
        <v>9181</v>
      </c>
      <c r="J465" t="s">
        <v>9182</v>
      </c>
      <c r="K465" t="s">
        <v>74</v>
      </c>
      <c r="L465" t="s">
        <v>74</v>
      </c>
      <c r="M465" t="s">
        <v>78</v>
      </c>
      <c r="N465" t="s">
        <v>141</v>
      </c>
      <c r="O465" t="s">
        <v>74</v>
      </c>
      <c r="P465" t="s">
        <v>74</v>
      </c>
      <c r="Q465" t="s">
        <v>74</v>
      </c>
      <c r="R465" t="s">
        <v>74</v>
      </c>
      <c r="S465" t="s">
        <v>74</v>
      </c>
      <c r="T465" t="s">
        <v>9183</v>
      </c>
      <c r="U465" t="s">
        <v>9184</v>
      </c>
      <c r="V465" t="s">
        <v>9185</v>
      </c>
      <c r="W465" t="s">
        <v>9186</v>
      </c>
      <c r="X465" t="s">
        <v>4500</v>
      </c>
      <c r="Y465" t="s">
        <v>9187</v>
      </c>
      <c r="Z465" t="s">
        <v>9188</v>
      </c>
      <c r="AA465" t="s">
        <v>9189</v>
      </c>
      <c r="AB465" t="s">
        <v>9190</v>
      </c>
      <c r="AC465" t="s">
        <v>74</v>
      </c>
      <c r="AD465" t="s">
        <v>74</v>
      </c>
      <c r="AE465" t="s">
        <v>74</v>
      </c>
      <c r="AF465" t="s">
        <v>74</v>
      </c>
      <c r="AG465">
        <v>84</v>
      </c>
      <c r="AH465">
        <v>8</v>
      </c>
      <c r="AI465">
        <v>8</v>
      </c>
      <c r="AJ465">
        <v>1</v>
      </c>
      <c r="AK465">
        <v>16</v>
      </c>
      <c r="AL465" t="s">
        <v>177</v>
      </c>
      <c r="AM465" t="s">
        <v>178</v>
      </c>
      <c r="AN465" t="s">
        <v>179</v>
      </c>
      <c r="AO465" t="s">
        <v>9191</v>
      </c>
      <c r="AP465" t="s">
        <v>9192</v>
      </c>
      <c r="AQ465" t="s">
        <v>74</v>
      </c>
      <c r="AR465" t="s">
        <v>9193</v>
      </c>
      <c r="AS465" t="s">
        <v>9194</v>
      </c>
      <c r="AT465" t="s">
        <v>374</v>
      </c>
      <c r="AU465">
        <v>2021</v>
      </c>
      <c r="AV465">
        <v>115</v>
      </c>
      <c r="AW465" t="s">
        <v>74</v>
      </c>
      <c r="AX465" t="s">
        <v>74</v>
      </c>
      <c r="AY465" t="s">
        <v>74</v>
      </c>
      <c r="AZ465" t="s">
        <v>74</v>
      </c>
      <c r="BA465" t="s">
        <v>74</v>
      </c>
      <c r="BB465">
        <v>143</v>
      </c>
      <c r="BC465">
        <v>150</v>
      </c>
      <c r="BD465" t="s">
        <v>74</v>
      </c>
      <c r="BE465" t="s">
        <v>9195</v>
      </c>
      <c r="BF465" t="str">
        <f>HYPERLINK("http://dx.doi.org/10.1016/j.envsci.2020.10.005","http://dx.doi.org/10.1016/j.envsci.2020.10.005")</f>
        <v>http://dx.doi.org/10.1016/j.envsci.2020.10.005</v>
      </c>
      <c r="BG465" t="s">
        <v>74</v>
      </c>
      <c r="BH465" t="s">
        <v>74</v>
      </c>
      <c r="BI465">
        <v>8</v>
      </c>
      <c r="BJ465" t="s">
        <v>102</v>
      </c>
      <c r="BK465" t="s">
        <v>271</v>
      </c>
      <c r="BL465" t="s">
        <v>104</v>
      </c>
      <c r="BM465" t="s">
        <v>9196</v>
      </c>
      <c r="BN465" t="s">
        <v>74</v>
      </c>
      <c r="BO465" t="s">
        <v>74</v>
      </c>
      <c r="BP465" t="s">
        <v>74</v>
      </c>
      <c r="BQ465" t="s">
        <v>74</v>
      </c>
      <c r="BR465" t="s">
        <v>106</v>
      </c>
      <c r="BS465" t="s">
        <v>9197</v>
      </c>
      <c r="BT465" t="str">
        <f>HYPERLINK("https%3A%2F%2Fwww.webofscience.com%2Fwos%2Fwoscc%2Ffull-record%2FWOS:000607302000017","View Full Record in Web of Science")</f>
        <v>View Full Record in Web of Science</v>
      </c>
    </row>
    <row r="466" spans="1:72" x14ac:dyDescent="0.15">
      <c r="A466" t="s">
        <v>72</v>
      </c>
      <c r="B466" t="s">
        <v>9198</v>
      </c>
      <c r="C466" t="s">
        <v>74</v>
      </c>
      <c r="D466" t="s">
        <v>74</v>
      </c>
      <c r="E466" t="s">
        <v>74</v>
      </c>
      <c r="F466" t="s">
        <v>9199</v>
      </c>
      <c r="G466" t="s">
        <v>74</v>
      </c>
      <c r="H466" t="s">
        <v>74</v>
      </c>
      <c r="I466" t="s">
        <v>9200</v>
      </c>
      <c r="J466" t="s">
        <v>9201</v>
      </c>
      <c r="K466" t="s">
        <v>74</v>
      </c>
      <c r="L466" t="s">
        <v>74</v>
      </c>
      <c r="M466" t="s">
        <v>78</v>
      </c>
      <c r="N466" t="s">
        <v>79</v>
      </c>
      <c r="O466" t="s">
        <v>74</v>
      </c>
      <c r="P466" t="s">
        <v>74</v>
      </c>
      <c r="Q466" t="s">
        <v>74</v>
      </c>
      <c r="R466" t="s">
        <v>74</v>
      </c>
      <c r="S466" t="s">
        <v>74</v>
      </c>
      <c r="T466" t="s">
        <v>9202</v>
      </c>
      <c r="U466" t="s">
        <v>9203</v>
      </c>
      <c r="V466" t="s">
        <v>9204</v>
      </c>
      <c r="W466" t="s">
        <v>9205</v>
      </c>
      <c r="X466" t="s">
        <v>9206</v>
      </c>
      <c r="Y466" t="s">
        <v>9207</v>
      </c>
      <c r="Z466" t="s">
        <v>9208</v>
      </c>
      <c r="AA466" t="s">
        <v>9209</v>
      </c>
      <c r="AB466" t="s">
        <v>9210</v>
      </c>
      <c r="AC466" t="s">
        <v>9211</v>
      </c>
      <c r="AD466" t="s">
        <v>9212</v>
      </c>
      <c r="AE466" t="s">
        <v>9213</v>
      </c>
      <c r="AF466" t="s">
        <v>74</v>
      </c>
      <c r="AG466">
        <v>61</v>
      </c>
      <c r="AH466">
        <v>5</v>
      </c>
      <c r="AI466">
        <v>5</v>
      </c>
      <c r="AJ466">
        <v>2</v>
      </c>
      <c r="AK466">
        <v>18</v>
      </c>
      <c r="AL466" t="s">
        <v>177</v>
      </c>
      <c r="AM466" t="s">
        <v>9214</v>
      </c>
      <c r="AN466" t="s">
        <v>9215</v>
      </c>
      <c r="AO466" t="s">
        <v>9216</v>
      </c>
      <c r="AP466" t="s">
        <v>9217</v>
      </c>
      <c r="AQ466" t="s">
        <v>74</v>
      </c>
      <c r="AR466" t="s">
        <v>9201</v>
      </c>
      <c r="AS466" t="s">
        <v>9218</v>
      </c>
      <c r="AT466" t="s">
        <v>374</v>
      </c>
      <c r="AU466">
        <v>2021</v>
      </c>
      <c r="AV466">
        <v>125</v>
      </c>
      <c r="AW466" t="s">
        <v>74</v>
      </c>
      <c r="AX466" t="s">
        <v>74</v>
      </c>
      <c r="AY466" t="s">
        <v>74</v>
      </c>
      <c r="AZ466" t="s">
        <v>74</v>
      </c>
      <c r="BA466" t="s">
        <v>74</v>
      </c>
      <c r="BB466" t="s">
        <v>74</v>
      </c>
      <c r="BC466" t="s">
        <v>74</v>
      </c>
      <c r="BD466">
        <v>102662</v>
      </c>
      <c r="BE466" t="s">
        <v>9219</v>
      </c>
      <c r="BF466" t="str">
        <f>HYPERLINK("http://dx.doi.org/10.1016/j.futures.2020.102662","http://dx.doi.org/10.1016/j.futures.2020.102662")</f>
        <v>http://dx.doi.org/10.1016/j.futures.2020.102662</v>
      </c>
      <c r="BG466" t="s">
        <v>74</v>
      </c>
      <c r="BH466" t="s">
        <v>74</v>
      </c>
      <c r="BI466">
        <v>12</v>
      </c>
      <c r="BJ466" t="s">
        <v>9220</v>
      </c>
      <c r="BK466" t="s">
        <v>2733</v>
      </c>
      <c r="BL466" t="s">
        <v>9221</v>
      </c>
      <c r="BM466" t="s">
        <v>9222</v>
      </c>
      <c r="BN466" t="s">
        <v>74</v>
      </c>
      <c r="BO466" t="s">
        <v>74</v>
      </c>
      <c r="BP466" t="s">
        <v>74</v>
      </c>
      <c r="BQ466" t="s">
        <v>74</v>
      </c>
      <c r="BR466" t="s">
        <v>106</v>
      </c>
      <c r="BS466" t="s">
        <v>9223</v>
      </c>
      <c r="BT466" t="str">
        <f>HYPERLINK("https%3A%2F%2Fwww.webofscience.com%2Fwos%2Fwoscc%2Ffull-record%2FWOS:000605615800006","View Full Record in Web of Science")</f>
        <v>View Full Record in Web of Science</v>
      </c>
    </row>
    <row r="467" spans="1:72" x14ac:dyDescent="0.15">
      <c r="A467" t="s">
        <v>72</v>
      </c>
      <c r="B467" t="s">
        <v>9224</v>
      </c>
      <c r="C467" t="s">
        <v>74</v>
      </c>
      <c r="D467" t="s">
        <v>74</v>
      </c>
      <c r="E467" t="s">
        <v>74</v>
      </c>
      <c r="F467" t="s">
        <v>9225</v>
      </c>
      <c r="G467" t="s">
        <v>74</v>
      </c>
      <c r="H467" t="s">
        <v>74</v>
      </c>
      <c r="I467" t="s">
        <v>9226</v>
      </c>
      <c r="J467" t="s">
        <v>9227</v>
      </c>
      <c r="K467" t="s">
        <v>74</v>
      </c>
      <c r="L467" t="s">
        <v>74</v>
      </c>
      <c r="M467" t="s">
        <v>78</v>
      </c>
      <c r="N467" t="s">
        <v>141</v>
      </c>
      <c r="O467" t="s">
        <v>74</v>
      </c>
      <c r="P467" t="s">
        <v>74</v>
      </c>
      <c r="Q467" t="s">
        <v>74</v>
      </c>
      <c r="R467" t="s">
        <v>74</v>
      </c>
      <c r="S467" t="s">
        <v>74</v>
      </c>
      <c r="T467" t="s">
        <v>9228</v>
      </c>
      <c r="U467" t="s">
        <v>9229</v>
      </c>
      <c r="V467" t="s">
        <v>9230</v>
      </c>
      <c r="W467" t="s">
        <v>9231</v>
      </c>
      <c r="X467" t="s">
        <v>9232</v>
      </c>
      <c r="Y467" t="s">
        <v>9233</v>
      </c>
      <c r="Z467" t="s">
        <v>9234</v>
      </c>
      <c r="AA467" t="s">
        <v>9235</v>
      </c>
      <c r="AB467" t="s">
        <v>9236</v>
      </c>
      <c r="AC467" t="s">
        <v>9237</v>
      </c>
      <c r="AD467" t="s">
        <v>9238</v>
      </c>
      <c r="AE467" t="s">
        <v>9239</v>
      </c>
      <c r="AF467" t="s">
        <v>74</v>
      </c>
      <c r="AG467">
        <v>155</v>
      </c>
      <c r="AH467">
        <v>17</v>
      </c>
      <c r="AI467">
        <v>19</v>
      </c>
      <c r="AJ467">
        <v>1</v>
      </c>
      <c r="AK467">
        <v>25</v>
      </c>
      <c r="AL467" t="s">
        <v>92</v>
      </c>
      <c r="AM467" t="s">
        <v>93</v>
      </c>
      <c r="AN467" t="s">
        <v>94</v>
      </c>
      <c r="AO467" t="s">
        <v>9240</v>
      </c>
      <c r="AP467" t="s">
        <v>9241</v>
      </c>
      <c r="AQ467" t="s">
        <v>74</v>
      </c>
      <c r="AR467" t="s">
        <v>9242</v>
      </c>
      <c r="AS467" t="s">
        <v>9243</v>
      </c>
      <c r="AT467" t="s">
        <v>374</v>
      </c>
      <c r="AU467">
        <v>2021</v>
      </c>
      <c r="AV467">
        <v>196</v>
      </c>
      <c r="AW467" t="s">
        <v>74</v>
      </c>
      <c r="AX467" t="s">
        <v>74</v>
      </c>
      <c r="AY467" t="s">
        <v>74</v>
      </c>
      <c r="AZ467" t="s">
        <v>74</v>
      </c>
      <c r="BA467" t="s">
        <v>74</v>
      </c>
      <c r="BB467" t="s">
        <v>74</v>
      </c>
      <c r="BC467" t="s">
        <v>74</v>
      </c>
      <c r="BD467">
        <v>103372</v>
      </c>
      <c r="BE467" t="s">
        <v>9244</v>
      </c>
      <c r="BF467" t="str">
        <f>HYPERLINK("http://dx.doi.org/10.1016/j.gloplacha.2020.103372","http://dx.doi.org/10.1016/j.gloplacha.2020.103372")</f>
        <v>http://dx.doi.org/10.1016/j.gloplacha.2020.103372</v>
      </c>
      <c r="BG467" t="s">
        <v>74</v>
      </c>
      <c r="BH467" t="s">
        <v>74</v>
      </c>
      <c r="BI467">
        <v>17</v>
      </c>
      <c r="BJ467" t="s">
        <v>156</v>
      </c>
      <c r="BK467" t="s">
        <v>103</v>
      </c>
      <c r="BL467" t="s">
        <v>157</v>
      </c>
      <c r="BM467" t="s">
        <v>9245</v>
      </c>
      <c r="BN467" t="s">
        <v>74</v>
      </c>
      <c r="BO467" t="s">
        <v>759</v>
      </c>
      <c r="BP467" t="s">
        <v>74</v>
      </c>
      <c r="BQ467" t="s">
        <v>74</v>
      </c>
      <c r="BR467" t="s">
        <v>106</v>
      </c>
      <c r="BS467" t="s">
        <v>9246</v>
      </c>
      <c r="BT467" t="str">
        <f>HYPERLINK("https%3A%2F%2Fwww.webofscience.com%2Fwos%2Fwoscc%2Ffull-record%2FWOS:000607220500003","View Full Record in Web of Science")</f>
        <v>View Full Record in Web of Science</v>
      </c>
    </row>
    <row r="468" spans="1:72" x14ac:dyDescent="0.15">
      <c r="A468" t="s">
        <v>72</v>
      </c>
      <c r="B468" t="s">
        <v>9247</v>
      </c>
      <c r="C468" t="s">
        <v>74</v>
      </c>
      <c r="D468" t="s">
        <v>74</v>
      </c>
      <c r="E468" t="s">
        <v>74</v>
      </c>
      <c r="F468" t="s">
        <v>9248</v>
      </c>
      <c r="G468" t="s">
        <v>74</v>
      </c>
      <c r="H468" t="s">
        <v>74</v>
      </c>
      <c r="I468" t="s">
        <v>9249</v>
      </c>
      <c r="J468" t="s">
        <v>7790</v>
      </c>
      <c r="K468" t="s">
        <v>74</v>
      </c>
      <c r="L468" t="s">
        <v>74</v>
      </c>
      <c r="M468" t="s">
        <v>78</v>
      </c>
      <c r="N468" t="s">
        <v>79</v>
      </c>
      <c r="O468" t="s">
        <v>74</v>
      </c>
      <c r="P468" t="s">
        <v>74</v>
      </c>
      <c r="Q468" t="s">
        <v>74</v>
      </c>
      <c r="R468" t="s">
        <v>74</v>
      </c>
      <c r="S468" t="s">
        <v>74</v>
      </c>
      <c r="T468" t="s">
        <v>9250</v>
      </c>
      <c r="U468" t="s">
        <v>74</v>
      </c>
      <c r="V468" t="s">
        <v>9251</v>
      </c>
      <c r="W468" t="s">
        <v>9252</v>
      </c>
      <c r="X468" t="s">
        <v>9253</v>
      </c>
      <c r="Y468" t="s">
        <v>9254</v>
      </c>
      <c r="Z468" t="s">
        <v>9255</v>
      </c>
      <c r="AA468" t="s">
        <v>9256</v>
      </c>
      <c r="AB468" t="s">
        <v>9257</v>
      </c>
      <c r="AC468" t="s">
        <v>9258</v>
      </c>
      <c r="AD468" t="s">
        <v>9259</v>
      </c>
      <c r="AE468" t="s">
        <v>9260</v>
      </c>
      <c r="AF468" t="s">
        <v>74</v>
      </c>
      <c r="AG468">
        <v>34</v>
      </c>
      <c r="AH468">
        <v>5</v>
      </c>
      <c r="AI468">
        <v>6</v>
      </c>
      <c r="AJ468">
        <v>5</v>
      </c>
      <c r="AK468">
        <v>22</v>
      </c>
      <c r="AL468" t="s">
        <v>5603</v>
      </c>
      <c r="AM468" t="s">
        <v>5604</v>
      </c>
      <c r="AN468" t="s">
        <v>5605</v>
      </c>
      <c r="AO468" t="s">
        <v>7800</v>
      </c>
      <c r="AP468" t="s">
        <v>74</v>
      </c>
      <c r="AQ468" t="s">
        <v>74</v>
      </c>
      <c r="AR468" t="s">
        <v>7790</v>
      </c>
      <c r="AS468" t="s">
        <v>7801</v>
      </c>
      <c r="AT468" t="s">
        <v>74</v>
      </c>
      <c r="AU468">
        <v>2021</v>
      </c>
      <c r="AV468">
        <v>9</v>
      </c>
      <c r="AW468" t="s">
        <v>74</v>
      </c>
      <c r="AX468" t="s">
        <v>74</v>
      </c>
      <c r="AY468" t="s">
        <v>74</v>
      </c>
      <c r="AZ468" t="s">
        <v>74</v>
      </c>
      <c r="BA468" t="s">
        <v>74</v>
      </c>
      <c r="BB468">
        <v>5749</v>
      </c>
      <c r="BC468">
        <v>5759</v>
      </c>
      <c r="BD468" t="s">
        <v>74</v>
      </c>
      <c r="BE468" t="s">
        <v>9261</v>
      </c>
      <c r="BF468" t="str">
        <f>HYPERLINK("http://dx.doi.org/10.1109/ACCESS.2020.3048709","http://dx.doi.org/10.1109/ACCESS.2020.3048709")</f>
        <v>http://dx.doi.org/10.1109/ACCESS.2020.3048709</v>
      </c>
      <c r="BG468" t="s">
        <v>74</v>
      </c>
      <c r="BH468" t="s">
        <v>74</v>
      </c>
      <c r="BI468">
        <v>11</v>
      </c>
      <c r="BJ468" t="s">
        <v>7803</v>
      </c>
      <c r="BK468" t="s">
        <v>103</v>
      </c>
      <c r="BL468" t="s">
        <v>7804</v>
      </c>
      <c r="BM468" t="s">
        <v>9262</v>
      </c>
      <c r="BN468" t="s">
        <v>74</v>
      </c>
      <c r="BO468" t="s">
        <v>326</v>
      </c>
      <c r="BP468" t="s">
        <v>74</v>
      </c>
      <c r="BQ468" t="s">
        <v>74</v>
      </c>
      <c r="BR468" t="s">
        <v>106</v>
      </c>
      <c r="BS468" t="s">
        <v>9263</v>
      </c>
      <c r="BT468" t="str">
        <f>HYPERLINK("https%3A%2F%2Fwww.webofscience.com%2Fwos%2Fwoscc%2Ffull-record%2FWOS:000608209100001","View Full Record in Web of Science")</f>
        <v>View Full Record in Web of Science</v>
      </c>
    </row>
    <row r="469" spans="1:72" x14ac:dyDescent="0.15">
      <c r="A469" t="s">
        <v>72</v>
      </c>
      <c r="B469" t="s">
        <v>9264</v>
      </c>
      <c r="C469" t="s">
        <v>74</v>
      </c>
      <c r="D469" t="s">
        <v>74</v>
      </c>
      <c r="E469" t="s">
        <v>74</v>
      </c>
      <c r="F469" t="s">
        <v>9265</v>
      </c>
      <c r="G469" t="s">
        <v>74</v>
      </c>
      <c r="H469" t="s">
        <v>74</v>
      </c>
      <c r="I469" t="s">
        <v>9266</v>
      </c>
      <c r="J469" t="s">
        <v>9267</v>
      </c>
      <c r="K469" t="s">
        <v>74</v>
      </c>
      <c r="L469" t="s">
        <v>74</v>
      </c>
      <c r="M469" t="s">
        <v>78</v>
      </c>
      <c r="N469" t="s">
        <v>79</v>
      </c>
      <c r="O469" t="s">
        <v>74</v>
      </c>
      <c r="P469" t="s">
        <v>74</v>
      </c>
      <c r="Q469" t="s">
        <v>74</v>
      </c>
      <c r="R469" t="s">
        <v>74</v>
      </c>
      <c r="S469" t="s">
        <v>74</v>
      </c>
      <c r="T469" t="s">
        <v>9268</v>
      </c>
      <c r="U469" t="s">
        <v>9269</v>
      </c>
      <c r="V469" t="s">
        <v>9270</v>
      </c>
      <c r="W469" t="s">
        <v>9271</v>
      </c>
      <c r="X469" t="s">
        <v>9272</v>
      </c>
      <c r="Y469" t="s">
        <v>9273</v>
      </c>
      <c r="Z469" t="s">
        <v>9274</v>
      </c>
      <c r="AA469" t="s">
        <v>9275</v>
      </c>
      <c r="AB469" t="s">
        <v>74</v>
      </c>
      <c r="AC469" t="s">
        <v>9276</v>
      </c>
      <c r="AD469" t="s">
        <v>9277</v>
      </c>
      <c r="AE469" t="s">
        <v>9278</v>
      </c>
      <c r="AF469" t="s">
        <v>74</v>
      </c>
      <c r="AG469">
        <v>83</v>
      </c>
      <c r="AH469">
        <v>12</v>
      </c>
      <c r="AI469">
        <v>12</v>
      </c>
      <c r="AJ469">
        <v>3</v>
      </c>
      <c r="AK469">
        <v>13</v>
      </c>
      <c r="AL469" t="s">
        <v>92</v>
      </c>
      <c r="AM469" t="s">
        <v>93</v>
      </c>
      <c r="AN469" t="s">
        <v>94</v>
      </c>
      <c r="AO469" t="s">
        <v>9279</v>
      </c>
      <c r="AP469" t="s">
        <v>9280</v>
      </c>
      <c r="AQ469" t="s">
        <v>74</v>
      </c>
      <c r="AR469" t="s">
        <v>9281</v>
      </c>
      <c r="AS469" t="s">
        <v>9282</v>
      </c>
      <c r="AT469" t="s">
        <v>374</v>
      </c>
      <c r="AU469">
        <v>2021</v>
      </c>
      <c r="AV469">
        <v>76</v>
      </c>
      <c r="AW469" t="s">
        <v>74</v>
      </c>
      <c r="AX469" t="s">
        <v>74</v>
      </c>
      <c r="AY469" t="s">
        <v>74</v>
      </c>
      <c r="AZ469" t="s">
        <v>74</v>
      </c>
      <c r="BA469" t="s">
        <v>74</v>
      </c>
      <c r="BB469" t="s">
        <v>74</v>
      </c>
      <c r="BC469" t="s">
        <v>74</v>
      </c>
      <c r="BD469">
        <v>104309</v>
      </c>
      <c r="BE469" t="s">
        <v>9283</v>
      </c>
      <c r="BF469" t="str">
        <f>HYPERLINK("http://dx.doi.org/10.1016/j.jff.2020.104309","http://dx.doi.org/10.1016/j.jff.2020.104309")</f>
        <v>http://dx.doi.org/10.1016/j.jff.2020.104309</v>
      </c>
      <c r="BG469" t="s">
        <v>74</v>
      </c>
      <c r="BH469" t="s">
        <v>74</v>
      </c>
      <c r="BI469">
        <v>15</v>
      </c>
      <c r="BJ469" t="s">
        <v>9284</v>
      </c>
      <c r="BK469" t="s">
        <v>103</v>
      </c>
      <c r="BL469" t="s">
        <v>9284</v>
      </c>
      <c r="BM469" t="s">
        <v>9285</v>
      </c>
      <c r="BN469" t="s">
        <v>74</v>
      </c>
      <c r="BO469" t="s">
        <v>326</v>
      </c>
      <c r="BP469" t="s">
        <v>74</v>
      </c>
      <c r="BQ469" t="s">
        <v>74</v>
      </c>
      <c r="BR469" t="s">
        <v>106</v>
      </c>
      <c r="BS469" t="s">
        <v>9286</v>
      </c>
      <c r="BT469" t="str">
        <f>HYPERLINK("https%3A%2F%2Fwww.webofscience.com%2Fwos%2Fwoscc%2Ffull-record%2FWOS:000606642200009","View Full Record in Web of Science")</f>
        <v>View Full Record in Web of Science</v>
      </c>
    </row>
    <row r="470" spans="1:72" x14ac:dyDescent="0.15">
      <c r="A470" t="s">
        <v>72</v>
      </c>
      <c r="B470" t="s">
        <v>9287</v>
      </c>
      <c r="C470" t="s">
        <v>74</v>
      </c>
      <c r="D470" t="s">
        <v>74</v>
      </c>
      <c r="E470" t="s">
        <v>74</v>
      </c>
      <c r="F470" t="s">
        <v>9288</v>
      </c>
      <c r="G470" t="s">
        <v>74</v>
      </c>
      <c r="H470" t="s">
        <v>74</v>
      </c>
      <c r="I470" t="s">
        <v>9289</v>
      </c>
      <c r="J470" t="s">
        <v>9290</v>
      </c>
      <c r="K470" t="s">
        <v>74</v>
      </c>
      <c r="L470" t="s">
        <v>74</v>
      </c>
      <c r="M470" t="s">
        <v>78</v>
      </c>
      <c r="N470" t="s">
        <v>79</v>
      </c>
      <c r="O470" t="s">
        <v>74</v>
      </c>
      <c r="P470" t="s">
        <v>74</v>
      </c>
      <c r="Q470" t="s">
        <v>74</v>
      </c>
      <c r="R470" t="s">
        <v>74</v>
      </c>
      <c r="S470" t="s">
        <v>74</v>
      </c>
      <c r="T470" t="s">
        <v>9291</v>
      </c>
      <c r="U470" t="s">
        <v>9292</v>
      </c>
      <c r="V470" t="s">
        <v>9293</v>
      </c>
      <c r="W470" t="s">
        <v>9294</v>
      </c>
      <c r="X470" t="s">
        <v>9295</v>
      </c>
      <c r="Y470" t="s">
        <v>9296</v>
      </c>
      <c r="Z470" t="s">
        <v>9297</v>
      </c>
      <c r="AA470" t="s">
        <v>74</v>
      </c>
      <c r="AB470" t="s">
        <v>74</v>
      </c>
      <c r="AC470" t="s">
        <v>9298</v>
      </c>
      <c r="AD470" t="s">
        <v>9299</v>
      </c>
      <c r="AE470" t="s">
        <v>9300</v>
      </c>
      <c r="AF470" t="s">
        <v>74</v>
      </c>
      <c r="AG470">
        <v>63</v>
      </c>
      <c r="AH470">
        <v>2</v>
      </c>
      <c r="AI470">
        <v>3</v>
      </c>
      <c r="AJ470">
        <v>0</v>
      </c>
      <c r="AK470">
        <v>4</v>
      </c>
      <c r="AL470" t="s">
        <v>418</v>
      </c>
      <c r="AM470" t="s">
        <v>178</v>
      </c>
      <c r="AN470" t="s">
        <v>419</v>
      </c>
      <c r="AO470" t="s">
        <v>9301</v>
      </c>
      <c r="AP470" t="s">
        <v>9302</v>
      </c>
      <c r="AQ470" t="s">
        <v>74</v>
      </c>
      <c r="AR470" t="s">
        <v>9303</v>
      </c>
      <c r="AS470" t="s">
        <v>9304</v>
      </c>
      <c r="AT470" t="s">
        <v>374</v>
      </c>
      <c r="AU470">
        <v>2021</v>
      </c>
      <c r="AV470">
        <v>105</v>
      </c>
      <c r="AW470" t="s">
        <v>74</v>
      </c>
      <c r="AX470" t="s">
        <v>74</v>
      </c>
      <c r="AY470" t="s">
        <v>74</v>
      </c>
      <c r="AZ470" t="s">
        <v>74</v>
      </c>
      <c r="BA470" t="s">
        <v>74</v>
      </c>
      <c r="BB470" t="s">
        <v>74</v>
      </c>
      <c r="BC470" t="s">
        <v>74</v>
      </c>
      <c r="BD470">
        <v>103017</v>
      </c>
      <c r="BE470" t="s">
        <v>9305</v>
      </c>
      <c r="BF470" t="str">
        <f>HYPERLINK("http://dx.doi.org/10.1016/j.jsames.2020.103017","http://dx.doi.org/10.1016/j.jsames.2020.103017")</f>
        <v>http://dx.doi.org/10.1016/j.jsames.2020.103017</v>
      </c>
      <c r="BG470" t="s">
        <v>74</v>
      </c>
      <c r="BH470" t="s">
        <v>74</v>
      </c>
      <c r="BI470">
        <v>19</v>
      </c>
      <c r="BJ470" t="s">
        <v>401</v>
      </c>
      <c r="BK470" t="s">
        <v>103</v>
      </c>
      <c r="BL470" t="s">
        <v>402</v>
      </c>
      <c r="BM470" t="s">
        <v>9306</v>
      </c>
      <c r="BN470" t="s">
        <v>74</v>
      </c>
      <c r="BO470" t="s">
        <v>74</v>
      </c>
      <c r="BP470" t="s">
        <v>74</v>
      </c>
      <c r="BQ470" t="s">
        <v>74</v>
      </c>
      <c r="BR470" t="s">
        <v>106</v>
      </c>
      <c r="BS470" t="s">
        <v>9307</v>
      </c>
      <c r="BT470" t="str">
        <f>HYPERLINK("https%3A%2F%2Fwww.webofscience.com%2Fwos%2Fwoscc%2Ffull-record%2FWOS:000606795000002","View Full Record in Web of Science")</f>
        <v>View Full Record in Web of Science</v>
      </c>
    </row>
    <row r="471" spans="1:72" x14ac:dyDescent="0.15">
      <c r="A471" t="s">
        <v>72</v>
      </c>
      <c r="B471" t="s">
        <v>9308</v>
      </c>
      <c r="C471" t="s">
        <v>74</v>
      </c>
      <c r="D471" t="s">
        <v>74</v>
      </c>
      <c r="E471" t="s">
        <v>74</v>
      </c>
      <c r="F471" t="s">
        <v>9309</v>
      </c>
      <c r="G471" t="s">
        <v>74</v>
      </c>
      <c r="H471" t="s">
        <v>74</v>
      </c>
      <c r="I471" t="s">
        <v>9310</v>
      </c>
      <c r="J471" t="s">
        <v>2437</v>
      </c>
      <c r="K471" t="s">
        <v>74</v>
      </c>
      <c r="L471" t="s">
        <v>74</v>
      </c>
      <c r="M471" t="s">
        <v>78</v>
      </c>
      <c r="N471" t="s">
        <v>79</v>
      </c>
      <c r="O471" t="s">
        <v>74</v>
      </c>
      <c r="P471" t="s">
        <v>74</v>
      </c>
      <c r="Q471" t="s">
        <v>74</v>
      </c>
      <c r="R471" t="s">
        <v>74</v>
      </c>
      <c r="S471" t="s">
        <v>74</v>
      </c>
      <c r="T471" t="s">
        <v>9311</v>
      </c>
      <c r="U471" t="s">
        <v>9312</v>
      </c>
      <c r="V471" t="s">
        <v>9313</v>
      </c>
      <c r="W471" t="s">
        <v>9314</v>
      </c>
      <c r="X471" t="s">
        <v>2039</v>
      </c>
      <c r="Y471" t="s">
        <v>9315</v>
      </c>
      <c r="Z471" t="s">
        <v>2041</v>
      </c>
      <c r="AA471" t="s">
        <v>9316</v>
      </c>
      <c r="AB471" t="s">
        <v>2042</v>
      </c>
      <c r="AC471" t="s">
        <v>9317</v>
      </c>
      <c r="AD471" t="s">
        <v>2044</v>
      </c>
      <c r="AE471" t="s">
        <v>9318</v>
      </c>
      <c r="AF471" t="s">
        <v>74</v>
      </c>
      <c r="AG471">
        <v>60</v>
      </c>
      <c r="AH471">
        <v>12</v>
      </c>
      <c r="AI471">
        <v>15</v>
      </c>
      <c r="AJ471">
        <v>8</v>
      </c>
      <c r="AK471">
        <v>66</v>
      </c>
      <c r="AL471" t="s">
        <v>177</v>
      </c>
      <c r="AM471" t="s">
        <v>178</v>
      </c>
      <c r="AN471" t="s">
        <v>179</v>
      </c>
      <c r="AO471" t="s">
        <v>2448</v>
      </c>
      <c r="AP471" t="s">
        <v>2449</v>
      </c>
      <c r="AQ471" t="s">
        <v>74</v>
      </c>
      <c r="AR471" t="s">
        <v>2450</v>
      </c>
      <c r="AS471" t="s">
        <v>2451</v>
      </c>
      <c r="AT471" t="s">
        <v>6088</v>
      </c>
      <c r="AU471">
        <v>2021</v>
      </c>
      <c r="AV471">
        <v>268</v>
      </c>
      <c r="AW471" t="s">
        <v>74</v>
      </c>
      <c r="AX471" t="s">
        <v>4669</v>
      </c>
      <c r="AY471" t="s">
        <v>74</v>
      </c>
      <c r="AZ471" t="s">
        <v>74</v>
      </c>
      <c r="BA471" t="s">
        <v>74</v>
      </c>
      <c r="BB471" t="s">
        <v>74</v>
      </c>
      <c r="BC471" t="s">
        <v>74</v>
      </c>
      <c r="BD471">
        <v>115848</v>
      </c>
      <c r="BE471" t="s">
        <v>9319</v>
      </c>
      <c r="BF471" t="str">
        <f>HYPERLINK("http://dx.doi.org/10.1016/j.envpol.2020.115848","http://dx.doi.org/10.1016/j.envpol.2020.115848")</f>
        <v>http://dx.doi.org/10.1016/j.envpol.2020.115848</v>
      </c>
      <c r="BG471" t="s">
        <v>74</v>
      </c>
      <c r="BH471" t="s">
        <v>74</v>
      </c>
      <c r="BI471">
        <v>11</v>
      </c>
      <c r="BJ471" t="s">
        <v>102</v>
      </c>
      <c r="BK471" t="s">
        <v>103</v>
      </c>
      <c r="BL471" t="s">
        <v>104</v>
      </c>
      <c r="BM471" t="s">
        <v>9320</v>
      </c>
      <c r="BN471">
        <v>33096389</v>
      </c>
      <c r="BO471" t="s">
        <v>74</v>
      </c>
      <c r="BP471" t="s">
        <v>74</v>
      </c>
      <c r="BQ471" t="s">
        <v>74</v>
      </c>
      <c r="BR471" t="s">
        <v>106</v>
      </c>
      <c r="BS471" t="s">
        <v>9321</v>
      </c>
      <c r="BT471" t="str">
        <f>HYPERLINK("https%3A%2F%2Fwww.webofscience.com%2Fwos%2Fwoscc%2Ffull-record%2FWOS:000600560400071","View Full Record in Web of Science")</f>
        <v>View Full Record in Web of Science</v>
      </c>
    </row>
    <row r="472" spans="1:72" x14ac:dyDescent="0.15">
      <c r="A472" t="s">
        <v>72</v>
      </c>
      <c r="B472" t="s">
        <v>9322</v>
      </c>
      <c r="C472" t="s">
        <v>74</v>
      </c>
      <c r="D472" t="s">
        <v>74</v>
      </c>
      <c r="E472" t="s">
        <v>74</v>
      </c>
      <c r="F472" t="s">
        <v>9323</v>
      </c>
      <c r="G472" t="s">
        <v>74</v>
      </c>
      <c r="H472" t="s">
        <v>74</v>
      </c>
      <c r="I472" t="s">
        <v>9324</v>
      </c>
      <c r="J472" t="s">
        <v>9325</v>
      </c>
      <c r="K472" t="s">
        <v>74</v>
      </c>
      <c r="L472" t="s">
        <v>74</v>
      </c>
      <c r="M472" t="s">
        <v>78</v>
      </c>
      <c r="N472" t="s">
        <v>79</v>
      </c>
      <c r="O472" t="s">
        <v>74</v>
      </c>
      <c r="P472" t="s">
        <v>74</v>
      </c>
      <c r="Q472" t="s">
        <v>74</v>
      </c>
      <c r="R472" t="s">
        <v>74</v>
      </c>
      <c r="S472" t="s">
        <v>74</v>
      </c>
      <c r="T472" t="s">
        <v>9326</v>
      </c>
      <c r="U472" t="s">
        <v>74</v>
      </c>
      <c r="V472" t="s">
        <v>9327</v>
      </c>
      <c r="W472" t="s">
        <v>9328</v>
      </c>
      <c r="X472" t="s">
        <v>9329</v>
      </c>
      <c r="Y472" t="s">
        <v>9330</v>
      </c>
      <c r="Z472" t="s">
        <v>74</v>
      </c>
      <c r="AA472" t="s">
        <v>74</v>
      </c>
      <c r="AB472" t="s">
        <v>74</v>
      </c>
      <c r="AC472" t="s">
        <v>74</v>
      </c>
      <c r="AD472" t="s">
        <v>74</v>
      </c>
      <c r="AE472" t="s">
        <v>74</v>
      </c>
      <c r="AF472" t="s">
        <v>74</v>
      </c>
      <c r="AG472">
        <v>8</v>
      </c>
      <c r="AH472">
        <v>0</v>
      </c>
      <c r="AI472">
        <v>0</v>
      </c>
      <c r="AJ472">
        <v>0</v>
      </c>
      <c r="AK472">
        <v>1</v>
      </c>
      <c r="AL472" t="s">
        <v>1210</v>
      </c>
      <c r="AM472" t="s">
        <v>473</v>
      </c>
      <c r="AN472" t="s">
        <v>1211</v>
      </c>
      <c r="AO472" t="s">
        <v>9331</v>
      </c>
      <c r="AP472" t="s">
        <v>9332</v>
      </c>
      <c r="AQ472" t="s">
        <v>74</v>
      </c>
      <c r="AR472" t="s">
        <v>9333</v>
      </c>
      <c r="AS472" t="s">
        <v>9334</v>
      </c>
      <c r="AT472" t="s">
        <v>374</v>
      </c>
      <c r="AU472">
        <v>2021</v>
      </c>
      <c r="AV472">
        <v>30</v>
      </c>
      <c r="AW472">
        <v>1</v>
      </c>
      <c r="AX472" t="s">
        <v>74</v>
      </c>
      <c r="AY472" t="s">
        <v>74</v>
      </c>
      <c r="AZ472" t="s">
        <v>74</v>
      </c>
      <c r="BA472" t="s">
        <v>74</v>
      </c>
      <c r="BB472">
        <v>136</v>
      </c>
      <c r="BC472">
        <v>145</v>
      </c>
      <c r="BD472" t="s">
        <v>9335</v>
      </c>
      <c r="BE472" t="s">
        <v>9336</v>
      </c>
      <c r="BF472" t="str">
        <f>HYPERLINK("http://dx.doi.org/10.1017/S0963180120000638","http://dx.doi.org/10.1017/S0963180120000638")</f>
        <v>http://dx.doi.org/10.1017/S0963180120000638</v>
      </c>
      <c r="BG472" t="s">
        <v>74</v>
      </c>
      <c r="BH472" t="s">
        <v>74</v>
      </c>
      <c r="BI472">
        <v>10</v>
      </c>
      <c r="BJ472" t="s">
        <v>9337</v>
      </c>
      <c r="BK472" t="s">
        <v>271</v>
      </c>
      <c r="BL472" t="s">
        <v>9338</v>
      </c>
      <c r="BM472" t="s">
        <v>9339</v>
      </c>
      <c r="BN472">
        <v>33371924</v>
      </c>
      <c r="BO472" t="s">
        <v>74</v>
      </c>
      <c r="BP472" t="s">
        <v>74</v>
      </c>
      <c r="BQ472" t="s">
        <v>74</v>
      </c>
      <c r="BR472" t="s">
        <v>106</v>
      </c>
      <c r="BS472" t="s">
        <v>9340</v>
      </c>
      <c r="BT472" t="str">
        <f>HYPERLINK("https%3A%2F%2Fwww.webofscience.com%2Fwos%2Fwoscc%2Ffull-record%2FWOS:000603360100014","View Full Record in Web of Science")</f>
        <v>View Full Record in Web of Science</v>
      </c>
    </row>
    <row r="473" spans="1:72" x14ac:dyDescent="0.15">
      <c r="A473" t="s">
        <v>72</v>
      </c>
      <c r="B473" t="s">
        <v>9341</v>
      </c>
      <c r="C473" t="s">
        <v>74</v>
      </c>
      <c r="D473" t="s">
        <v>74</v>
      </c>
      <c r="E473" t="s">
        <v>74</v>
      </c>
      <c r="F473" t="s">
        <v>9342</v>
      </c>
      <c r="G473" t="s">
        <v>74</v>
      </c>
      <c r="H473" t="s">
        <v>74</v>
      </c>
      <c r="I473" t="s">
        <v>9343</v>
      </c>
      <c r="J473" t="s">
        <v>9344</v>
      </c>
      <c r="K473" t="s">
        <v>74</v>
      </c>
      <c r="L473" t="s">
        <v>74</v>
      </c>
      <c r="M473" t="s">
        <v>78</v>
      </c>
      <c r="N473" t="s">
        <v>79</v>
      </c>
      <c r="O473" t="s">
        <v>74</v>
      </c>
      <c r="P473" t="s">
        <v>74</v>
      </c>
      <c r="Q473" t="s">
        <v>74</v>
      </c>
      <c r="R473" t="s">
        <v>74</v>
      </c>
      <c r="S473" t="s">
        <v>74</v>
      </c>
      <c r="T473" t="s">
        <v>9345</v>
      </c>
      <c r="U473" t="s">
        <v>9346</v>
      </c>
      <c r="V473" t="s">
        <v>9347</v>
      </c>
      <c r="W473" t="s">
        <v>9348</v>
      </c>
      <c r="X473" t="s">
        <v>9349</v>
      </c>
      <c r="Y473" t="s">
        <v>9350</v>
      </c>
      <c r="Z473" t="s">
        <v>9351</v>
      </c>
      <c r="AA473" t="s">
        <v>9352</v>
      </c>
      <c r="AB473" t="s">
        <v>9353</v>
      </c>
      <c r="AC473" t="s">
        <v>9354</v>
      </c>
      <c r="AD473" t="s">
        <v>9355</v>
      </c>
      <c r="AE473" t="s">
        <v>9356</v>
      </c>
      <c r="AF473" t="s">
        <v>74</v>
      </c>
      <c r="AG473">
        <v>47</v>
      </c>
      <c r="AH473">
        <v>3</v>
      </c>
      <c r="AI473">
        <v>4</v>
      </c>
      <c r="AJ473">
        <v>3</v>
      </c>
      <c r="AK473">
        <v>25</v>
      </c>
      <c r="AL473" t="s">
        <v>5603</v>
      </c>
      <c r="AM473" t="s">
        <v>5604</v>
      </c>
      <c r="AN473" t="s">
        <v>5605</v>
      </c>
      <c r="AO473" t="s">
        <v>9357</v>
      </c>
      <c r="AP473" t="s">
        <v>9358</v>
      </c>
      <c r="AQ473" t="s">
        <v>74</v>
      </c>
      <c r="AR473" t="s">
        <v>9359</v>
      </c>
      <c r="AS473" t="s">
        <v>9360</v>
      </c>
      <c r="AT473" t="s">
        <v>374</v>
      </c>
      <c r="AU473">
        <v>2021</v>
      </c>
      <c r="AV473">
        <v>59</v>
      </c>
      <c r="AW473">
        <v>1</v>
      </c>
      <c r="AX473" t="s">
        <v>74</v>
      </c>
      <c r="AY473" t="s">
        <v>74</v>
      </c>
      <c r="AZ473" t="s">
        <v>74</v>
      </c>
      <c r="BA473" t="s">
        <v>74</v>
      </c>
      <c r="BB473">
        <v>392</v>
      </c>
      <c r="BC473">
        <v>403</v>
      </c>
      <c r="BD473" t="s">
        <v>74</v>
      </c>
      <c r="BE473" t="s">
        <v>9361</v>
      </c>
      <c r="BF473" t="str">
        <f>HYPERLINK("http://dx.doi.org/10.1109/TGRS.2020.2989037","http://dx.doi.org/10.1109/TGRS.2020.2989037")</f>
        <v>http://dx.doi.org/10.1109/TGRS.2020.2989037</v>
      </c>
      <c r="BG473" t="s">
        <v>74</v>
      </c>
      <c r="BH473" t="s">
        <v>74</v>
      </c>
      <c r="BI473">
        <v>12</v>
      </c>
      <c r="BJ473" t="s">
        <v>9362</v>
      </c>
      <c r="BK473" t="s">
        <v>103</v>
      </c>
      <c r="BL473" t="s">
        <v>9363</v>
      </c>
      <c r="BM473" t="s">
        <v>9364</v>
      </c>
      <c r="BN473" t="s">
        <v>74</v>
      </c>
      <c r="BO473" t="s">
        <v>218</v>
      </c>
      <c r="BP473" t="s">
        <v>74</v>
      </c>
      <c r="BQ473" t="s">
        <v>74</v>
      </c>
      <c r="BR473" t="s">
        <v>106</v>
      </c>
      <c r="BS473" t="s">
        <v>9365</v>
      </c>
      <c r="BT473" t="str">
        <f>HYPERLINK("https%3A%2F%2Fwww.webofscience.com%2Fwos%2Fwoscc%2Ffull-record%2FWOS:000603079000030","View Full Record in Web of Science")</f>
        <v>View Full Record in Web of Science</v>
      </c>
    </row>
    <row r="474" spans="1:72" x14ac:dyDescent="0.15">
      <c r="A474" t="s">
        <v>72</v>
      </c>
      <c r="B474" t="s">
        <v>9366</v>
      </c>
      <c r="C474" t="s">
        <v>74</v>
      </c>
      <c r="D474" t="s">
        <v>74</v>
      </c>
      <c r="E474" t="s">
        <v>74</v>
      </c>
      <c r="F474" t="s">
        <v>9367</v>
      </c>
      <c r="G474" t="s">
        <v>74</v>
      </c>
      <c r="H474" t="s">
        <v>74</v>
      </c>
      <c r="I474" t="s">
        <v>9368</v>
      </c>
      <c r="J474" t="s">
        <v>9290</v>
      </c>
      <c r="K474" t="s">
        <v>74</v>
      </c>
      <c r="L474" t="s">
        <v>74</v>
      </c>
      <c r="M474" t="s">
        <v>78</v>
      </c>
      <c r="N474" t="s">
        <v>79</v>
      </c>
      <c r="O474" t="s">
        <v>74</v>
      </c>
      <c r="P474" t="s">
        <v>74</v>
      </c>
      <c r="Q474" t="s">
        <v>74</v>
      </c>
      <c r="R474" t="s">
        <v>74</v>
      </c>
      <c r="S474" t="s">
        <v>74</v>
      </c>
      <c r="T474" t="s">
        <v>9369</v>
      </c>
      <c r="U474" t="s">
        <v>9370</v>
      </c>
      <c r="V474" t="s">
        <v>9371</v>
      </c>
      <c r="W474" t="s">
        <v>9372</v>
      </c>
      <c r="X474" t="s">
        <v>9373</v>
      </c>
      <c r="Y474" t="s">
        <v>9374</v>
      </c>
      <c r="Z474" t="s">
        <v>9375</v>
      </c>
      <c r="AA474" t="s">
        <v>74</v>
      </c>
      <c r="AB474" t="s">
        <v>74</v>
      </c>
      <c r="AC474" t="s">
        <v>9376</v>
      </c>
      <c r="AD474" t="s">
        <v>9377</v>
      </c>
      <c r="AE474" t="s">
        <v>9378</v>
      </c>
      <c r="AF474" t="s">
        <v>74</v>
      </c>
      <c r="AG474">
        <v>63</v>
      </c>
      <c r="AH474">
        <v>2</v>
      </c>
      <c r="AI474">
        <v>2</v>
      </c>
      <c r="AJ474">
        <v>0</v>
      </c>
      <c r="AK474">
        <v>8</v>
      </c>
      <c r="AL474" t="s">
        <v>418</v>
      </c>
      <c r="AM474" t="s">
        <v>178</v>
      </c>
      <c r="AN474" t="s">
        <v>419</v>
      </c>
      <c r="AO474" t="s">
        <v>9301</v>
      </c>
      <c r="AP474" t="s">
        <v>9302</v>
      </c>
      <c r="AQ474" t="s">
        <v>74</v>
      </c>
      <c r="AR474" t="s">
        <v>9303</v>
      </c>
      <c r="AS474" t="s">
        <v>9304</v>
      </c>
      <c r="AT474" t="s">
        <v>374</v>
      </c>
      <c r="AU474">
        <v>2021</v>
      </c>
      <c r="AV474">
        <v>105</v>
      </c>
      <c r="AW474" t="s">
        <v>74</v>
      </c>
      <c r="AX474" t="s">
        <v>74</v>
      </c>
      <c r="AY474" t="s">
        <v>74</v>
      </c>
      <c r="AZ474" t="s">
        <v>74</v>
      </c>
      <c r="BA474" t="s">
        <v>74</v>
      </c>
      <c r="BB474" t="s">
        <v>74</v>
      </c>
      <c r="BC474" t="s">
        <v>74</v>
      </c>
      <c r="BD474">
        <v>103077</v>
      </c>
      <c r="BE474" t="s">
        <v>9379</v>
      </c>
      <c r="BF474" t="str">
        <f>HYPERLINK("http://dx.doi.org/10.1016/j.jsames.2020.103077","http://dx.doi.org/10.1016/j.jsames.2020.103077")</f>
        <v>http://dx.doi.org/10.1016/j.jsames.2020.103077</v>
      </c>
      <c r="BG474" t="s">
        <v>74</v>
      </c>
      <c r="BH474" t="s">
        <v>74</v>
      </c>
      <c r="BI474">
        <v>13</v>
      </c>
      <c r="BJ474" t="s">
        <v>401</v>
      </c>
      <c r="BK474" t="s">
        <v>103</v>
      </c>
      <c r="BL474" t="s">
        <v>402</v>
      </c>
      <c r="BM474" t="s">
        <v>9380</v>
      </c>
      <c r="BN474" t="s">
        <v>74</v>
      </c>
      <c r="BO474" t="s">
        <v>74</v>
      </c>
      <c r="BP474" t="s">
        <v>74</v>
      </c>
      <c r="BQ474" t="s">
        <v>74</v>
      </c>
      <c r="BR474" t="s">
        <v>106</v>
      </c>
      <c r="BS474" t="s">
        <v>9381</v>
      </c>
      <c r="BT474" t="str">
        <f>HYPERLINK("https%3A%2F%2Fwww.webofscience.com%2Fwos%2Fwoscc%2Ffull-record%2FWOS:000606799300001","View Full Record in Web of Science")</f>
        <v>View Full Record in Web of Science</v>
      </c>
    </row>
    <row r="475" spans="1:72" x14ac:dyDescent="0.15">
      <c r="A475" t="s">
        <v>72</v>
      </c>
      <c r="B475" t="s">
        <v>9382</v>
      </c>
      <c r="C475" t="s">
        <v>74</v>
      </c>
      <c r="D475" t="s">
        <v>74</v>
      </c>
      <c r="E475" t="s">
        <v>74</v>
      </c>
      <c r="F475" t="s">
        <v>9383</v>
      </c>
      <c r="G475" t="s">
        <v>74</v>
      </c>
      <c r="H475" t="s">
        <v>74</v>
      </c>
      <c r="I475" t="s">
        <v>9384</v>
      </c>
      <c r="J475" t="s">
        <v>8517</v>
      </c>
      <c r="K475" t="s">
        <v>74</v>
      </c>
      <c r="L475" t="s">
        <v>74</v>
      </c>
      <c r="M475" t="s">
        <v>78</v>
      </c>
      <c r="N475" t="s">
        <v>79</v>
      </c>
      <c r="O475" t="s">
        <v>74</v>
      </c>
      <c r="P475" t="s">
        <v>74</v>
      </c>
      <c r="Q475" t="s">
        <v>74</v>
      </c>
      <c r="R475" t="s">
        <v>74</v>
      </c>
      <c r="S475" t="s">
        <v>74</v>
      </c>
      <c r="T475" t="s">
        <v>9385</v>
      </c>
      <c r="U475" t="s">
        <v>9386</v>
      </c>
      <c r="V475" t="s">
        <v>9387</v>
      </c>
      <c r="W475" t="s">
        <v>9388</v>
      </c>
      <c r="X475" t="s">
        <v>9389</v>
      </c>
      <c r="Y475" t="s">
        <v>9390</v>
      </c>
      <c r="Z475" t="s">
        <v>9391</v>
      </c>
      <c r="AA475" t="s">
        <v>74</v>
      </c>
      <c r="AB475" t="s">
        <v>9392</v>
      </c>
      <c r="AC475" t="s">
        <v>9393</v>
      </c>
      <c r="AD475" t="s">
        <v>5797</v>
      </c>
      <c r="AE475" t="s">
        <v>9394</v>
      </c>
      <c r="AF475" t="s">
        <v>74</v>
      </c>
      <c r="AG475">
        <v>91</v>
      </c>
      <c r="AH475">
        <v>9</v>
      </c>
      <c r="AI475">
        <v>9</v>
      </c>
      <c r="AJ475">
        <v>1</v>
      </c>
      <c r="AK475">
        <v>9</v>
      </c>
      <c r="AL475" t="s">
        <v>8526</v>
      </c>
      <c r="AM475" t="s">
        <v>2921</v>
      </c>
      <c r="AN475" t="s">
        <v>8527</v>
      </c>
      <c r="AO475" t="s">
        <v>74</v>
      </c>
      <c r="AP475" t="s">
        <v>8528</v>
      </c>
      <c r="AQ475" t="s">
        <v>74</v>
      </c>
      <c r="AR475" t="s">
        <v>8529</v>
      </c>
      <c r="AS475" t="s">
        <v>8530</v>
      </c>
      <c r="AT475" t="s">
        <v>374</v>
      </c>
      <c r="AU475">
        <v>2021</v>
      </c>
      <c r="AV475">
        <v>13</v>
      </c>
      <c r="AW475">
        <v>1</v>
      </c>
      <c r="AX475" t="s">
        <v>74</v>
      </c>
      <c r="AY475" t="s">
        <v>74</v>
      </c>
      <c r="AZ475" t="s">
        <v>74</v>
      </c>
      <c r="BA475" t="s">
        <v>74</v>
      </c>
      <c r="BB475" t="s">
        <v>74</v>
      </c>
      <c r="BC475" t="s">
        <v>74</v>
      </c>
      <c r="BD475">
        <v>21</v>
      </c>
      <c r="BE475" t="s">
        <v>9395</v>
      </c>
      <c r="BF475" t="str">
        <f>HYPERLINK("http://dx.doi.org/10.3390/rs13010021","http://dx.doi.org/10.3390/rs13010021")</f>
        <v>http://dx.doi.org/10.3390/rs13010021</v>
      </c>
      <c r="BG475" t="s">
        <v>74</v>
      </c>
      <c r="BH475" t="s">
        <v>74</v>
      </c>
      <c r="BI475">
        <v>25</v>
      </c>
      <c r="BJ475" t="s">
        <v>8532</v>
      </c>
      <c r="BK475" t="s">
        <v>103</v>
      </c>
      <c r="BL475" t="s">
        <v>8533</v>
      </c>
      <c r="BM475" t="s">
        <v>9396</v>
      </c>
      <c r="BN475" t="s">
        <v>74</v>
      </c>
      <c r="BO475" t="s">
        <v>246</v>
      </c>
      <c r="BP475" t="s">
        <v>74</v>
      </c>
      <c r="BQ475" t="s">
        <v>74</v>
      </c>
      <c r="BR475" t="s">
        <v>106</v>
      </c>
      <c r="BS475" t="s">
        <v>9397</v>
      </c>
      <c r="BT475" t="str">
        <f>HYPERLINK("https%3A%2F%2Fwww.webofscience.com%2Fwos%2Fwoscc%2Ffull-record%2FWOS:000606086100001","View Full Record in Web of Science")</f>
        <v>View Full Record in Web of Science</v>
      </c>
    </row>
    <row r="476" spans="1:72" x14ac:dyDescent="0.15">
      <c r="A476" t="s">
        <v>72</v>
      </c>
      <c r="B476" t="s">
        <v>9398</v>
      </c>
      <c r="C476" t="s">
        <v>74</v>
      </c>
      <c r="D476" t="s">
        <v>74</v>
      </c>
      <c r="E476" t="s">
        <v>74</v>
      </c>
      <c r="F476" t="s">
        <v>9399</v>
      </c>
      <c r="G476" t="s">
        <v>74</v>
      </c>
      <c r="H476" t="s">
        <v>74</v>
      </c>
      <c r="I476" t="s">
        <v>9400</v>
      </c>
      <c r="J476" t="s">
        <v>8517</v>
      </c>
      <c r="K476" t="s">
        <v>74</v>
      </c>
      <c r="L476" t="s">
        <v>74</v>
      </c>
      <c r="M476" t="s">
        <v>78</v>
      </c>
      <c r="N476" t="s">
        <v>79</v>
      </c>
      <c r="O476" t="s">
        <v>74</v>
      </c>
      <c r="P476" t="s">
        <v>74</v>
      </c>
      <c r="Q476" t="s">
        <v>74</v>
      </c>
      <c r="R476" t="s">
        <v>74</v>
      </c>
      <c r="S476" t="s">
        <v>74</v>
      </c>
      <c r="T476" t="s">
        <v>9401</v>
      </c>
      <c r="U476" t="s">
        <v>9402</v>
      </c>
      <c r="V476" t="s">
        <v>9403</v>
      </c>
      <c r="W476" t="s">
        <v>9404</v>
      </c>
      <c r="X476" t="s">
        <v>9405</v>
      </c>
      <c r="Y476" t="s">
        <v>9406</v>
      </c>
      <c r="Z476" t="s">
        <v>9407</v>
      </c>
      <c r="AA476" t="s">
        <v>9408</v>
      </c>
      <c r="AB476" t="s">
        <v>9409</v>
      </c>
      <c r="AC476" t="s">
        <v>9410</v>
      </c>
      <c r="AD476" t="s">
        <v>9411</v>
      </c>
      <c r="AE476" t="s">
        <v>9412</v>
      </c>
      <c r="AF476" t="s">
        <v>74</v>
      </c>
      <c r="AG476">
        <v>117</v>
      </c>
      <c r="AH476">
        <v>23</v>
      </c>
      <c r="AI476">
        <v>24</v>
      </c>
      <c r="AJ476">
        <v>1</v>
      </c>
      <c r="AK476">
        <v>8</v>
      </c>
      <c r="AL476" t="s">
        <v>8526</v>
      </c>
      <c r="AM476" t="s">
        <v>2921</v>
      </c>
      <c r="AN476" t="s">
        <v>8527</v>
      </c>
      <c r="AO476" t="s">
        <v>74</v>
      </c>
      <c r="AP476" t="s">
        <v>8528</v>
      </c>
      <c r="AQ476" t="s">
        <v>74</v>
      </c>
      <c r="AR476" t="s">
        <v>8529</v>
      </c>
      <c r="AS476" t="s">
        <v>8530</v>
      </c>
      <c r="AT476" t="s">
        <v>374</v>
      </c>
      <c r="AU476">
        <v>2021</v>
      </c>
      <c r="AV476">
        <v>13</v>
      </c>
      <c r="AW476">
        <v>1</v>
      </c>
      <c r="AX476" t="s">
        <v>74</v>
      </c>
      <c r="AY476" t="s">
        <v>74</v>
      </c>
      <c r="AZ476" t="s">
        <v>74</v>
      </c>
      <c r="BA476" t="s">
        <v>74</v>
      </c>
      <c r="BB476" t="s">
        <v>74</v>
      </c>
      <c r="BC476" t="s">
        <v>74</v>
      </c>
      <c r="BD476">
        <v>38</v>
      </c>
      <c r="BE476" t="s">
        <v>9413</v>
      </c>
      <c r="BF476" t="str">
        <f>HYPERLINK("http://dx.doi.org/10.3390/rs13010038","http://dx.doi.org/10.3390/rs13010038")</f>
        <v>http://dx.doi.org/10.3390/rs13010038</v>
      </c>
      <c r="BG476" t="s">
        <v>74</v>
      </c>
      <c r="BH476" t="s">
        <v>74</v>
      </c>
      <c r="BI476">
        <v>37</v>
      </c>
      <c r="BJ476" t="s">
        <v>8532</v>
      </c>
      <c r="BK476" t="s">
        <v>103</v>
      </c>
      <c r="BL476" t="s">
        <v>8533</v>
      </c>
      <c r="BM476" t="s">
        <v>9414</v>
      </c>
      <c r="BN476" t="s">
        <v>74</v>
      </c>
      <c r="BO476" t="s">
        <v>159</v>
      </c>
      <c r="BP476" t="s">
        <v>74</v>
      </c>
      <c r="BQ476" t="s">
        <v>74</v>
      </c>
      <c r="BR476" t="s">
        <v>106</v>
      </c>
      <c r="BS476" t="s">
        <v>9415</v>
      </c>
      <c r="BT476" t="str">
        <f>HYPERLINK("https%3A%2F%2Fwww.webofscience.com%2Fwos%2Fwoscc%2Ffull-record%2FWOS:000606307100001","View Full Record in Web of Science")</f>
        <v>View Full Record in Web of Science</v>
      </c>
    </row>
    <row r="477" spans="1:72" x14ac:dyDescent="0.15">
      <c r="A477" t="s">
        <v>72</v>
      </c>
      <c r="B477" t="s">
        <v>9416</v>
      </c>
      <c r="C477" t="s">
        <v>74</v>
      </c>
      <c r="D477" t="s">
        <v>74</v>
      </c>
      <c r="E477" t="s">
        <v>74</v>
      </c>
      <c r="F477" t="s">
        <v>9417</v>
      </c>
      <c r="G477" t="s">
        <v>74</v>
      </c>
      <c r="H477" t="s">
        <v>74</v>
      </c>
      <c r="I477" t="s">
        <v>9418</v>
      </c>
      <c r="J477" t="s">
        <v>8517</v>
      </c>
      <c r="K477" t="s">
        <v>74</v>
      </c>
      <c r="L477" t="s">
        <v>74</v>
      </c>
      <c r="M477" t="s">
        <v>78</v>
      </c>
      <c r="N477" t="s">
        <v>79</v>
      </c>
      <c r="O477" t="s">
        <v>74</v>
      </c>
      <c r="P477" t="s">
        <v>74</v>
      </c>
      <c r="Q477" t="s">
        <v>74</v>
      </c>
      <c r="R477" t="s">
        <v>74</v>
      </c>
      <c r="S477" t="s">
        <v>74</v>
      </c>
      <c r="T477" t="s">
        <v>9419</v>
      </c>
      <c r="U477" t="s">
        <v>9420</v>
      </c>
      <c r="V477" t="s">
        <v>9421</v>
      </c>
      <c r="W477" t="s">
        <v>9422</v>
      </c>
      <c r="X477" t="s">
        <v>9423</v>
      </c>
      <c r="Y477" t="s">
        <v>9424</v>
      </c>
      <c r="Z477" t="s">
        <v>9425</v>
      </c>
      <c r="AA477" t="s">
        <v>9426</v>
      </c>
      <c r="AB477" t="s">
        <v>9427</v>
      </c>
      <c r="AC477" t="s">
        <v>9428</v>
      </c>
      <c r="AD477" t="s">
        <v>9428</v>
      </c>
      <c r="AE477" t="s">
        <v>9429</v>
      </c>
      <c r="AF477" t="s">
        <v>74</v>
      </c>
      <c r="AG477">
        <v>53</v>
      </c>
      <c r="AH477">
        <v>4</v>
      </c>
      <c r="AI477">
        <v>4</v>
      </c>
      <c r="AJ477">
        <v>1</v>
      </c>
      <c r="AK477">
        <v>6</v>
      </c>
      <c r="AL477" t="s">
        <v>8526</v>
      </c>
      <c r="AM477" t="s">
        <v>2921</v>
      </c>
      <c r="AN477" t="s">
        <v>8527</v>
      </c>
      <c r="AO477" t="s">
        <v>74</v>
      </c>
      <c r="AP477" t="s">
        <v>8528</v>
      </c>
      <c r="AQ477" t="s">
        <v>74</v>
      </c>
      <c r="AR477" t="s">
        <v>8529</v>
      </c>
      <c r="AS477" t="s">
        <v>8530</v>
      </c>
      <c r="AT477" t="s">
        <v>374</v>
      </c>
      <c r="AU477">
        <v>2021</v>
      </c>
      <c r="AV477">
        <v>13</v>
      </c>
      <c r="AW477">
        <v>1</v>
      </c>
      <c r="AX477" t="s">
        <v>74</v>
      </c>
      <c r="AY477" t="s">
        <v>74</v>
      </c>
      <c r="AZ477" t="s">
        <v>74</v>
      </c>
      <c r="BA477" t="s">
        <v>74</v>
      </c>
      <c r="BB477" t="s">
        <v>74</v>
      </c>
      <c r="BC477" t="s">
        <v>74</v>
      </c>
      <c r="BD477">
        <v>87</v>
      </c>
      <c r="BE477" t="s">
        <v>9430</v>
      </c>
      <c r="BF477" t="str">
        <f>HYPERLINK("http://dx.doi.org/10.3390/rs13010087","http://dx.doi.org/10.3390/rs13010087")</f>
        <v>http://dx.doi.org/10.3390/rs13010087</v>
      </c>
      <c r="BG477" t="s">
        <v>74</v>
      </c>
      <c r="BH477" t="s">
        <v>74</v>
      </c>
      <c r="BI477">
        <v>17</v>
      </c>
      <c r="BJ477" t="s">
        <v>8532</v>
      </c>
      <c r="BK477" t="s">
        <v>103</v>
      </c>
      <c r="BL477" t="s">
        <v>8533</v>
      </c>
      <c r="BM477" t="s">
        <v>9431</v>
      </c>
      <c r="BN477" t="s">
        <v>74</v>
      </c>
      <c r="BO477" t="s">
        <v>1105</v>
      </c>
      <c r="BP477" t="s">
        <v>74</v>
      </c>
      <c r="BQ477" t="s">
        <v>74</v>
      </c>
      <c r="BR477" t="s">
        <v>106</v>
      </c>
      <c r="BS477" t="s">
        <v>9432</v>
      </c>
      <c r="BT477" t="str">
        <f>HYPERLINK("https%3A%2F%2Fwww.webofscience.com%2Fwos%2Fwoscc%2Ffull-record%2FWOS:000606064800001","View Full Record in Web of Science")</f>
        <v>View Full Record in Web of Science</v>
      </c>
    </row>
    <row r="478" spans="1:72" x14ac:dyDescent="0.15">
      <c r="A478" t="s">
        <v>72</v>
      </c>
      <c r="B478" t="s">
        <v>9433</v>
      </c>
      <c r="C478" t="s">
        <v>74</v>
      </c>
      <c r="D478" t="s">
        <v>74</v>
      </c>
      <c r="E478" t="s">
        <v>74</v>
      </c>
      <c r="F478" t="s">
        <v>9434</v>
      </c>
      <c r="G478" t="s">
        <v>74</v>
      </c>
      <c r="H478" t="s">
        <v>74</v>
      </c>
      <c r="I478" t="s">
        <v>9435</v>
      </c>
      <c r="J478" t="s">
        <v>8939</v>
      </c>
      <c r="K478" t="s">
        <v>74</v>
      </c>
      <c r="L478" t="s">
        <v>74</v>
      </c>
      <c r="M478" t="s">
        <v>78</v>
      </c>
      <c r="N478" t="s">
        <v>79</v>
      </c>
      <c r="O478" t="s">
        <v>74</v>
      </c>
      <c r="P478" t="s">
        <v>74</v>
      </c>
      <c r="Q478" t="s">
        <v>74</v>
      </c>
      <c r="R478" t="s">
        <v>74</v>
      </c>
      <c r="S478" t="s">
        <v>74</v>
      </c>
      <c r="T478" t="s">
        <v>9436</v>
      </c>
      <c r="U478" t="s">
        <v>9437</v>
      </c>
      <c r="V478" t="s">
        <v>9438</v>
      </c>
      <c r="W478" t="s">
        <v>9439</v>
      </c>
      <c r="X478" t="s">
        <v>9440</v>
      </c>
      <c r="Y478" t="s">
        <v>9441</v>
      </c>
      <c r="Z478" t="s">
        <v>9442</v>
      </c>
      <c r="AA478" t="s">
        <v>9443</v>
      </c>
      <c r="AB478" t="s">
        <v>9444</v>
      </c>
      <c r="AC478" t="s">
        <v>9445</v>
      </c>
      <c r="AD478" t="s">
        <v>9446</v>
      </c>
      <c r="AE478" t="s">
        <v>9447</v>
      </c>
      <c r="AF478" t="s">
        <v>74</v>
      </c>
      <c r="AG478">
        <v>100</v>
      </c>
      <c r="AH478">
        <v>1</v>
      </c>
      <c r="AI478">
        <v>1</v>
      </c>
      <c r="AJ478">
        <v>1</v>
      </c>
      <c r="AK478">
        <v>9</v>
      </c>
      <c r="AL478" t="s">
        <v>8526</v>
      </c>
      <c r="AM478" t="s">
        <v>2921</v>
      </c>
      <c r="AN478" t="s">
        <v>8527</v>
      </c>
      <c r="AO478" t="s">
        <v>74</v>
      </c>
      <c r="AP478" t="s">
        <v>8949</v>
      </c>
      <c r="AQ478" t="s">
        <v>74</v>
      </c>
      <c r="AR478" t="s">
        <v>8950</v>
      </c>
      <c r="AS478" t="s">
        <v>8951</v>
      </c>
      <c r="AT478" t="s">
        <v>374</v>
      </c>
      <c r="AU478">
        <v>2021</v>
      </c>
      <c r="AV478">
        <v>13</v>
      </c>
      <c r="AW478">
        <v>1</v>
      </c>
      <c r="AX478" t="s">
        <v>74</v>
      </c>
      <c r="AY478" t="s">
        <v>74</v>
      </c>
      <c r="AZ478" t="s">
        <v>74</v>
      </c>
      <c r="BA478" t="s">
        <v>74</v>
      </c>
      <c r="BB478" t="s">
        <v>74</v>
      </c>
      <c r="BC478" t="s">
        <v>74</v>
      </c>
      <c r="BD478">
        <v>353</v>
      </c>
      <c r="BE478" t="s">
        <v>9448</v>
      </c>
      <c r="BF478" t="str">
        <f>HYPERLINK("http://dx.doi.org/10.3390/su13010353","http://dx.doi.org/10.3390/su13010353")</f>
        <v>http://dx.doi.org/10.3390/su13010353</v>
      </c>
      <c r="BG478" t="s">
        <v>74</v>
      </c>
      <c r="BH478" t="s">
        <v>74</v>
      </c>
      <c r="BI478">
        <v>21</v>
      </c>
      <c r="BJ478" t="s">
        <v>270</v>
      </c>
      <c r="BK478" t="s">
        <v>271</v>
      </c>
      <c r="BL478" t="s">
        <v>272</v>
      </c>
      <c r="BM478" t="s">
        <v>9449</v>
      </c>
      <c r="BN478" t="s">
        <v>74</v>
      </c>
      <c r="BO478" t="s">
        <v>246</v>
      </c>
      <c r="BP478" t="s">
        <v>74</v>
      </c>
      <c r="BQ478" t="s">
        <v>74</v>
      </c>
      <c r="BR478" t="s">
        <v>106</v>
      </c>
      <c r="BS478" t="s">
        <v>9450</v>
      </c>
      <c r="BT478" t="str">
        <f>HYPERLINK("https%3A%2F%2Fwww.webofscience.com%2Fwos%2Fwoscc%2Ffull-record%2FWOS:000606359500001","View Full Record in Web of Science")</f>
        <v>View Full Record in Web of Science</v>
      </c>
    </row>
    <row r="479" spans="1:72" x14ac:dyDescent="0.15">
      <c r="A479" t="s">
        <v>72</v>
      </c>
      <c r="B479" t="s">
        <v>9451</v>
      </c>
      <c r="C479" t="s">
        <v>74</v>
      </c>
      <c r="D479" t="s">
        <v>74</v>
      </c>
      <c r="E479" t="s">
        <v>74</v>
      </c>
      <c r="F479" t="s">
        <v>9452</v>
      </c>
      <c r="G479" t="s">
        <v>74</v>
      </c>
      <c r="H479" t="s">
        <v>74</v>
      </c>
      <c r="I479" t="s">
        <v>9453</v>
      </c>
      <c r="J479" t="s">
        <v>9454</v>
      </c>
      <c r="K479" t="s">
        <v>74</v>
      </c>
      <c r="L479" t="s">
        <v>74</v>
      </c>
      <c r="M479" t="s">
        <v>78</v>
      </c>
      <c r="N479" t="s">
        <v>79</v>
      </c>
      <c r="O479" t="s">
        <v>74</v>
      </c>
      <c r="P479" t="s">
        <v>74</v>
      </c>
      <c r="Q479" t="s">
        <v>74</v>
      </c>
      <c r="R479" t="s">
        <v>74</v>
      </c>
      <c r="S479" t="s">
        <v>74</v>
      </c>
      <c r="T479" t="s">
        <v>9455</v>
      </c>
      <c r="U479" t="s">
        <v>9456</v>
      </c>
      <c r="V479" t="s">
        <v>9457</v>
      </c>
      <c r="W479" t="s">
        <v>9458</v>
      </c>
      <c r="X479" t="s">
        <v>9459</v>
      </c>
      <c r="Y479" t="s">
        <v>9460</v>
      </c>
      <c r="Z479" t="s">
        <v>9461</v>
      </c>
      <c r="AA479" t="s">
        <v>9462</v>
      </c>
      <c r="AB479" t="s">
        <v>9463</v>
      </c>
      <c r="AC479" t="s">
        <v>9464</v>
      </c>
      <c r="AD479" t="s">
        <v>9465</v>
      </c>
      <c r="AE479" t="s">
        <v>9466</v>
      </c>
      <c r="AF479" t="s">
        <v>74</v>
      </c>
      <c r="AG479">
        <v>44</v>
      </c>
      <c r="AH479">
        <v>6</v>
      </c>
      <c r="AI479">
        <v>7</v>
      </c>
      <c r="AJ479">
        <v>1</v>
      </c>
      <c r="AK479">
        <v>18</v>
      </c>
      <c r="AL479" t="s">
        <v>9467</v>
      </c>
      <c r="AM479" t="s">
        <v>629</v>
      </c>
      <c r="AN479" t="s">
        <v>9468</v>
      </c>
      <c r="AO479" t="s">
        <v>9469</v>
      </c>
      <c r="AP479" t="s">
        <v>9470</v>
      </c>
      <c r="AQ479" t="s">
        <v>74</v>
      </c>
      <c r="AR479" t="s">
        <v>9471</v>
      </c>
      <c r="AS479" t="s">
        <v>9472</v>
      </c>
      <c r="AT479" t="s">
        <v>374</v>
      </c>
      <c r="AU479">
        <v>2021</v>
      </c>
      <c r="AV479">
        <v>87</v>
      </c>
      <c r="AW479">
        <v>2</v>
      </c>
      <c r="AX479" t="s">
        <v>74</v>
      </c>
      <c r="AY479" t="s">
        <v>74</v>
      </c>
      <c r="AZ479" t="s">
        <v>74</v>
      </c>
      <c r="BA479" t="s">
        <v>74</v>
      </c>
      <c r="BB479" t="s">
        <v>74</v>
      </c>
      <c r="BC479" t="s">
        <v>74</v>
      </c>
      <c r="BD479" t="s">
        <v>9473</v>
      </c>
      <c r="BE479" t="s">
        <v>9474</v>
      </c>
      <c r="BF479" t="str">
        <f>HYPERLINK("http://dx.doi.org/10.1128/AEM.02499-20","http://dx.doi.org/10.1128/AEM.02499-20")</f>
        <v>http://dx.doi.org/10.1128/AEM.02499-20</v>
      </c>
      <c r="BG479" t="s">
        <v>74</v>
      </c>
      <c r="BH479" t="s">
        <v>74</v>
      </c>
      <c r="BI479">
        <v>12</v>
      </c>
      <c r="BJ479" t="s">
        <v>709</v>
      </c>
      <c r="BK479" t="s">
        <v>103</v>
      </c>
      <c r="BL479" t="s">
        <v>709</v>
      </c>
      <c r="BM479" t="s">
        <v>9475</v>
      </c>
      <c r="BN479">
        <v>33158891</v>
      </c>
      <c r="BO479" t="s">
        <v>759</v>
      </c>
      <c r="BP479" t="s">
        <v>74</v>
      </c>
      <c r="BQ479" t="s">
        <v>74</v>
      </c>
      <c r="BR479" t="s">
        <v>106</v>
      </c>
      <c r="BS479" t="s">
        <v>9476</v>
      </c>
      <c r="BT479" t="str">
        <f>HYPERLINK("https%3A%2F%2Fwww.webofscience.com%2Fwos%2Fwoscc%2Ffull-record%2FWOS:000605459800025","View Full Record in Web of Science")</f>
        <v>View Full Record in Web of Science</v>
      </c>
    </row>
    <row r="480" spans="1:72" x14ac:dyDescent="0.15">
      <c r="A480" t="s">
        <v>72</v>
      </c>
      <c r="B480" t="s">
        <v>9477</v>
      </c>
      <c r="C480" t="s">
        <v>74</v>
      </c>
      <c r="D480" t="s">
        <v>74</v>
      </c>
      <c r="E480" t="s">
        <v>74</v>
      </c>
      <c r="F480" t="s">
        <v>9478</v>
      </c>
      <c r="G480" t="s">
        <v>74</v>
      </c>
      <c r="H480" t="s">
        <v>74</v>
      </c>
      <c r="I480" t="s">
        <v>9479</v>
      </c>
      <c r="J480" t="s">
        <v>9480</v>
      </c>
      <c r="K480" t="s">
        <v>74</v>
      </c>
      <c r="L480" t="s">
        <v>74</v>
      </c>
      <c r="M480" t="s">
        <v>78</v>
      </c>
      <c r="N480" t="s">
        <v>79</v>
      </c>
      <c r="O480" t="s">
        <v>74</v>
      </c>
      <c r="P480" t="s">
        <v>74</v>
      </c>
      <c r="Q480" t="s">
        <v>74</v>
      </c>
      <c r="R480" t="s">
        <v>74</v>
      </c>
      <c r="S480" t="s">
        <v>74</v>
      </c>
      <c r="T480" t="s">
        <v>9481</v>
      </c>
      <c r="U480" t="s">
        <v>9482</v>
      </c>
      <c r="V480" t="s">
        <v>9483</v>
      </c>
      <c r="W480" t="s">
        <v>9484</v>
      </c>
      <c r="X480" t="s">
        <v>9485</v>
      </c>
      <c r="Y480" t="s">
        <v>9486</v>
      </c>
      <c r="Z480" t="s">
        <v>9487</v>
      </c>
      <c r="AA480" t="s">
        <v>9488</v>
      </c>
      <c r="AB480" t="s">
        <v>9489</v>
      </c>
      <c r="AC480" t="s">
        <v>9490</v>
      </c>
      <c r="AD480" t="s">
        <v>9491</v>
      </c>
      <c r="AE480" t="s">
        <v>9492</v>
      </c>
      <c r="AF480" t="s">
        <v>74</v>
      </c>
      <c r="AG480">
        <v>103</v>
      </c>
      <c r="AH480">
        <v>2</v>
      </c>
      <c r="AI480">
        <v>2</v>
      </c>
      <c r="AJ480">
        <v>2</v>
      </c>
      <c r="AK480">
        <v>11</v>
      </c>
      <c r="AL480" t="s">
        <v>92</v>
      </c>
      <c r="AM480" t="s">
        <v>93</v>
      </c>
      <c r="AN480" t="s">
        <v>94</v>
      </c>
      <c r="AO480" t="s">
        <v>9493</v>
      </c>
      <c r="AP480" t="s">
        <v>9494</v>
      </c>
      <c r="AQ480" t="s">
        <v>74</v>
      </c>
      <c r="AR480" t="s">
        <v>9495</v>
      </c>
      <c r="AS480" t="s">
        <v>9496</v>
      </c>
      <c r="AT480" t="s">
        <v>374</v>
      </c>
      <c r="AU480">
        <v>2021</v>
      </c>
      <c r="AV480">
        <v>167</v>
      </c>
      <c r="AW480" t="s">
        <v>74</v>
      </c>
      <c r="AX480" t="s">
        <v>74</v>
      </c>
      <c r="AY480" t="s">
        <v>74</v>
      </c>
      <c r="AZ480" t="s">
        <v>74</v>
      </c>
      <c r="BA480" t="s">
        <v>74</v>
      </c>
      <c r="BB480" t="s">
        <v>74</v>
      </c>
      <c r="BC480" t="s">
        <v>74</v>
      </c>
      <c r="BD480">
        <v>101984</v>
      </c>
      <c r="BE480" t="s">
        <v>9497</v>
      </c>
      <c r="BF480" t="str">
        <f>HYPERLINK("http://dx.doi.org/10.1016/j.seares.2020.101984","http://dx.doi.org/10.1016/j.seares.2020.101984")</f>
        <v>http://dx.doi.org/10.1016/j.seares.2020.101984</v>
      </c>
      <c r="BG480" t="s">
        <v>74</v>
      </c>
      <c r="BH480" t="s">
        <v>74</v>
      </c>
      <c r="BI480">
        <v>9</v>
      </c>
      <c r="BJ480" t="s">
        <v>3281</v>
      </c>
      <c r="BK480" t="s">
        <v>103</v>
      </c>
      <c r="BL480" t="s">
        <v>3281</v>
      </c>
      <c r="BM480" t="s">
        <v>9498</v>
      </c>
      <c r="BN480" t="s">
        <v>74</v>
      </c>
      <c r="BO480" t="s">
        <v>74</v>
      </c>
      <c r="BP480" t="s">
        <v>74</v>
      </c>
      <c r="BQ480" t="s">
        <v>74</v>
      </c>
      <c r="BR480" t="s">
        <v>106</v>
      </c>
      <c r="BS480" t="s">
        <v>9499</v>
      </c>
      <c r="BT480" t="str">
        <f>HYPERLINK("https%3A%2F%2Fwww.webofscience.com%2Fwos%2Fwoscc%2Ffull-record%2FWOS:000603566500002","View Full Record in Web of Science")</f>
        <v>View Full Record in Web of Science</v>
      </c>
    </row>
    <row r="481" spans="1:72" x14ac:dyDescent="0.15">
      <c r="A481" t="s">
        <v>72</v>
      </c>
      <c r="B481" t="s">
        <v>9500</v>
      </c>
      <c r="C481" t="s">
        <v>74</v>
      </c>
      <c r="D481" t="s">
        <v>74</v>
      </c>
      <c r="E481" t="s">
        <v>74</v>
      </c>
      <c r="F481" t="s">
        <v>9501</v>
      </c>
      <c r="G481" t="s">
        <v>74</v>
      </c>
      <c r="H481" t="s">
        <v>74</v>
      </c>
      <c r="I481" t="s">
        <v>9502</v>
      </c>
      <c r="J481" t="s">
        <v>2366</v>
      </c>
      <c r="K481" t="s">
        <v>74</v>
      </c>
      <c r="L481" t="s">
        <v>74</v>
      </c>
      <c r="M481" t="s">
        <v>78</v>
      </c>
      <c r="N481" t="s">
        <v>79</v>
      </c>
      <c r="O481" t="s">
        <v>74</v>
      </c>
      <c r="P481" t="s">
        <v>74</v>
      </c>
      <c r="Q481" t="s">
        <v>74</v>
      </c>
      <c r="R481" t="s">
        <v>74</v>
      </c>
      <c r="S481" t="s">
        <v>74</v>
      </c>
      <c r="T481" t="s">
        <v>9503</v>
      </c>
      <c r="U481" t="s">
        <v>9504</v>
      </c>
      <c r="V481" t="s">
        <v>9505</v>
      </c>
      <c r="W481" t="s">
        <v>9506</v>
      </c>
      <c r="X481" t="s">
        <v>9507</v>
      </c>
      <c r="Y481" t="s">
        <v>9508</v>
      </c>
      <c r="Z481" t="s">
        <v>9509</v>
      </c>
      <c r="AA481" t="s">
        <v>9510</v>
      </c>
      <c r="AB481" t="s">
        <v>9511</v>
      </c>
      <c r="AC481" t="s">
        <v>9512</v>
      </c>
      <c r="AD481" t="s">
        <v>9513</v>
      </c>
      <c r="AE481" t="s">
        <v>9514</v>
      </c>
      <c r="AF481" t="s">
        <v>74</v>
      </c>
      <c r="AG481">
        <v>70</v>
      </c>
      <c r="AH481">
        <v>7</v>
      </c>
      <c r="AI481">
        <v>7</v>
      </c>
      <c r="AJ481">
        <v>2</v>
      </c>
      <c r="AK481">
        <v>15</v>
      </c>
      <c r="AL481" t="s">
        <v>418</v>
      </c>
      <c r="AM481" t="s">
        <v>178</v>
      </c>
      <c r="AN481" t="s">
        <v>419</v>
      </c>
      <c r="AO481" t="s">
        <v>2379</v>
      </c>
      <c r="AP481" t="s">
        <v>2380</v>
      </c>
      <c r="AQ481" t="s">
        <v>74</v>
      </c>
      <c r="AR481" t="s">
        <v>2381</v>
      </c>
      <c r="AS481" t="s">
        <v>2382</v>
      </c>
      <c r="AT481" t="s">
        <v>374</v>
      </c>
      <c r="AU481">
        <v>2021</v>
      </c>
      <c r="AV481">
        <v>190</v>
      </c>
      <c r="AW481" t="s">
        <v>74</v>
      </c>
      <c r="AX481" t="s">
        <v>74</v>
      </c>
      <c r="AY481" t="s">
        <v>74</v>
      </c>
      <c r="AZ481" t="s">
        <v>74</v>
      </c>
      <c r="BA481" t="s">
        <v>74</v>
      </c>
      <c r="BB481" t="s">
        <v>74</v>
      </c>
      <c r="BC481" t="s">
        <v>74</v>
      </c>
      <c r="BD481">
        <v>102472</v>
      </c>
      <c r="BE481" t="s">
        <v>9515</v>
      </c>
      <c r="BF481" t="str">
        <f>HYPERLINK("http://dx.doi.org/10.1016/j.pocean.2020.102472","http://dx.doi.org/10.1016/j.pocean.2020.102472")</f>
        <v>http://dx.doi.org/10.1016/j.pocean.2020.102472</v>
      </c>
      <c r="BG481" t="s">
        <v>74</v>
      </c>
      <c r="BH481" t="s">
        <v>74</v>
      </c>
      <c r="BI481">
        <v>11</v>
      </c>
      <c r="BJ481" t="s">
        <v>2250</v>
      </c>
      <c r="BK481" t="s">
        <v>103</v>
      </c>
      <c r="BL481" t="s">
        <v>2250</v>
      </c>
      <c r="BM481" t="s">
        <v>9516</v>
      </c>
      <c r="BN481" t="s">
        <v>74</v>
      </c>
      <c r="BO481" t="s">
        <v>3760</v>
      </c>
      <c r="BP481" t="s">
        <v>74</v>
      </c>
      <c r="BQ481" t="s">
        <v>74</v>
      </c>
      <c r="BR481" t="s">
        <v>106</v>
      </c>
      <c r="BS481" t="s">
        <v>9517</v>
      </c>
      <c r="BT481" t="str">
        <f>HYPERLINK("https%3A%2F%2Fwww.webofscience.com%2Fwos%2Fwoscc%2Ffull-record%2FWOS:000604185400005","View Full Record in Web of Science")</f>
        <v>View Full Record in Web of Science</v>
      </c>
    </row>
    <row r="482" spans="1:72" x14ac:dyDescent="0.15">
      <c r="A482" t="s">
        <v>72</v>
      </c>
      <c r="B482" t="s">
        <v>9518</v>
      </c>
      <c r="C482" t="s">
        <v>74</v>
      </c>
      <c r="D482" t="s">
        <v>74</v>
      </c>
      <c r="E482" t="s">
        <v>74</v>
      </c>
      <c r="F482" t="s">
        <v>9519</v>
      </c>
      <c r="G482" t="s">
        <v>74</v>
      </c>
      <c r="H482" t="s">
        <v>74</v>
      </c>
      <c r="I482" t="s">
        <v>9520</v>
      </c>
      <c r="J482" t="s">
        <v>9521</v>
      </c>
      <c r="K482" t="s">
        <v>74</v>
      </c>
      <c r="L482" t="s">
        <v>74</v>
      </c>
      <c r="M482" t="s">
        <v>78</v>
      </c>
      <c r="N482" t="s">
        <v>79</v>
      </c>
      <c r="O482" t="s">
        <v>74</v>
      </c>
      <c r="P482" t="s">
        <v>74</v>
      </c>
      <c r="Q482" t="s">
        <v>74</v>
      </c>
      <c r="R482" t="s">
        <v>74</v>
      </c>
      <c r="S482" t="s">
        <v>74</v>
      </c>
      <c r="T482" t="s">
        <v>9522</v>
      </c>
      <c r="U482" t="s">
        <v>9523</v>
      </c>
      <c r="V482" t="s">
        <v>9524</v>
      </c>
      <c r="W482" t="s">
        <v>9525</v>
      </c>
      <c r="X482" t="s">
        <v>9526</v>
      </c>
      <c r="Y482" t="s">
        <v>9527</v>
      </c>
      <c r="Z482" t="s">
        <v>9528</v>
      </c>
      <c r="AA482" t="s">
        <v>9529</v>
      </c>
      <c r="AB482" t="s">
        <v>9530</v>
      </c>
      <c r="AC482" t="s">
        <v>9531</v>
      </c>
      <c r="AD482" t="s">
        <v>9532</v>
      </c>
      <c r="AE482" t="s">
        <v>9533</v>
      </c>
      <c r="AF482" t="s">
        <v>74</v>
      </c>
      <c r="AG482">
        <v>73</v>
      </c>
      <c r="AH482">
        <v>20</v>
      </c>
      <c r="AI482">
        <v>20</v>
      </c>
      <c r="AJ482">
        <v>1</v>
      </c>
      <c r="AK482">
        <v>20</v>
      </c>
      <c r="AL482" t="s">
        <v>177</v>
      </c>
      <c r="AM482" t="s">
        <v>178</v>
      </c>
      <c r="AN482" t="s">
        <v>179</v>
      </c>
      <c r="AO482" t="s">
        <v>9534</v>
      </c>
      <c r="AP482" t="s">
        <v>9535</v>
      </c>
      <c r="AQ482" t="s">
        <v>74</v>
      </c>
      <c r="AR482" t="s">
        <v>9536</v>
      </c>
      <c r="AS482" t="s">
        <v>9537</v>
      </c>
      <c r="AT482" t="s">
        <v>374</v>
      </c>
      <c r="AU482">
        <v>2021</v>
      </c>
      <c r="AV482">
        <v>123</v>
      </c>
      <c r="AW482" t="s">
        <v>74</v>
      </c>
      <c r="AX482" t="s">
        <v>74</v>
      </c>
      <c r="AY482" t="s">
        <v>74</v>
      </c>
      <c r="AZ482" t="s">
        <v>74</v>
      </c>
      <c r="BA482" t="s">
        <v>74</v>
      </c>
      <c r="BB482" t="s">
        <v>74</v>
      </c>
      <c r="BC482" t="s">
        <v>74</v>
      </c>
      <c r="BD482">
        <v>104284</v>
      </c>
      <c r="BE482" t="s">
        <v>9538</v>
      </c>
      <c r="BF482" t="str">
        <f>HYPERLINK("http://dx.doi.org/10.1016/j.marpol.2020.104284","http://dx.doi.org/10.1016/j.marpol.2020.104284")</f>
        <v>http://dx.doi.org/10.1016/j.marpol.2020.104284</v>
      </c>
      <c r="BG482" t="s">
        <v>74</v>
      </c>
      <c r="BH482" t="s">
        <v>74</v>
      </c>
      <c r="BI482">
        <v>7</v>
      </c>
      <c r="BJ482" t="s">
        <v>9539</v>
      </c>
      <c r="BK482" t="s">
        <v>2733</v>
      </c>
      <c r="BL482" t="s">
        <v>9540</v>
      </c>
      <c r="BM482" t="s">
        <v>9541</v>
      </c>
      <c r="BN482" t="s">
        <v>74</v>
      </c>
      <c r="BO482" t="s">
        <v>1220</v>
      </c>
      <c r="BP482" t="s">
        <v>74</v>
      </c>
      <c r="BQ482" t="s">
        <v>74</v>
      </c>
      <c r="BR482" t="s">
        <v>106</v>
      </c>
      <c r="BS482" t="s">
        <v>9542</v>
      </c>
      <c r="BT482" t="str">
        <f>HYPERLINK("https%3A%2F%2Fwww.webofscience.com%2Fwos%2Fwoscc%2Ffull-record%2FWOS:000600320900010","View Full Record in Web of Science")</f>
        <v>View Full Record in Web of Science</v>
      </c>
    </row>
    <row r="483" spans="1:72" x14ac:dyDescent="0.15">
      <c r="A483" t="s">
        <v>72</v>
      </c>
      <c r="B483" t="s">
        <v>9543</v>
      </c>
      <c r="C483" t="s">
        <v>74</v>
      </c>
      <c r="D483" t="s">
        <v>74</v>
      </c>
      <c r="E483" t="s">
        <v>74</v>
      </c>
      <c r="F483" t="s">
        <v>9544</v>
      </c>
      <c r="G483" t="s">
        <v>74</v>
      </c>
      <c r="H483" t="s">
        <v>74</v>
      </c>
      <c r="I483" t="s">
        <v>9545</v>
      </c>
      <c r="J483" t="s">
        <v>9546</v>
      </c>
      <c r="K483" t="s">
        <v>74</v>
      </c>
      <c r="L483" t="s">
        <v>74</v>
      </c>
      <c r="M483" t="s">
        <v>78</v>
      </c>
      <c r="N483" t="s">
        <v>141</v>
      </c>
      <c r="O483" t="s">
        <v>74</v>
      </c>
      <c r="P483" t="s">
        <v>74</v>
      </c>
      <c r="Q483" t="s">
        <v>74</v>
      </c>
      <c r="R483" t="s">
        <v>74</v>
      </c>
      <c r="S483" t="s">
        <v>74</v>
      </c>
      <c r="T483" t="s">
        <v>74</v>
      </c>
      <c r="U483" t="s">
        <v>9547</v>
      </c>
      <c r="V483" t="s">
        <v>9548</v>
      </c>
      <c r="W483" t="s">
        <v>9549</v>
      </c>
      <c r="X483" t="s">
        <v>9550</v>
      </c>
      <c r="Y483" t="s">
        <v>9551</v>
      </c>
      <c r="Z483" t="s">
        <v>9552</v>
      </c>
      <c r="AA483" t="s">
        <v>9553</v>
      </c>
      <c r="AB483" t="s">
        <v>9554</v>
      </c>
      <c r="AC483" t="s">
        <v>9555</v>
      </c>
      <c r="AD483" t="s">
        <v>9556</v>
      </c>
      <c r="AE483" t="s">
        <v>9557</v>
      </c>
      <c r="AF483" t="s">
        <v>74</v>
      </c>
      <c r="AG483">
        <v>105</v>
      </c>
      <c r="AH483">
        <v>64</v>
      </c>
      <c r="AI483">
        <v>69</v>
      </c>
      <c r="AJ483">
        <v>27</v>
      </c>
      <c r="AK483">
        <v>154</v>
      </c>
      <c r="AL483" t="s">
        <v>263</v>
      </c>
      <c r="AM483" t="s">
        <v>264</v>
      </c>
      <c r="AN483" t="s">
        <v>265</v>
      </c>
      <c r="AO483" t="s">
        <v>9558</v>
      </c>
      <c r="AP483" t="s">
        <v>9559</v>
      </c>
      <c r="AQ483" t="s">
        <v>74</v>
      </c>
      <c r="AR483" t="s">
        <v>9560</v>
      </c>
      <c r="AS483" t="s">
        <v>9561</v>
      </c>
      <c r="AT483" t="s">
        <v>374</v>
      </c>
      <c r="AU483">
        <v>2021</v>
      </c>
      <c r="AV483">
        <v>36</v>
      </c>
      <c r="AW483">
        <v>1</v>
      </c>
      <c r="AX483" t="s">
        <v>74</v>
      </c>
      <c r="AY483" t="s">
        <v>74</v>
      </c>
      <c r="AZ483" t="s">
        <v>74</v>
      </c>
      <c r="BA483" t="s">
        <v>74</v>
      </c>
      <c r="BB483">
        <v>76</v>
      </c>
      <c r="BC483">
        <v>86</v>
      </c>
      <c r="BD483" t="s">
        <v>74</v>
      </c>
      <c r="BE483" t="s">
        <v>9562</v>
      </c>
      <c r="BF483" t="str">
        <f>HYPERLINK("http://dx.doi.org/10.1016/j.tree.2020.09.006","http://dx.doi.org/10.1016/j.tree.2020.09.006")</f>
        <v>http://dx.doi.org/10.1016/j.tree.2020.09.006</v>
      </c>
      <c r="BG483" t="s">
        <v>74</v>
      </c>
      <c r="BH483" t="s">
        <v>74</v>
      </c>
      <c r="BI483">
        <v>11</v>
      </c>
      <c r="BJ483" t="s">
        <v>9563</v>
      </c>
      <c r="BK483" t="s">
        <v>103</v>
      </c>
      <c r="BL483" t="s">
        <v>9564</v>
      </c>
      <c r="BM483" t="s">
        <v>9565</v>
      </c>
      <c r="BN483">
        <v>33097289</v>
      </c>
      <c r="BO483" t="s">
        <v>1220</v>
      </c>
      <c r="BP483" t="s">
        <v>74</v>
      </c>
      <c r="BQ483" t="s">
        <v>74</v>
      </c>
      <c r="BR483" t="s">
        <v>106</v>
      </c>
      <c r="BS483" t="s">
        <v>9566</v>
      </c>
      <c r="BT483" t="str">
        <f>HYPERLINK("https%3A%2F%2Fwww.webofscience.com%2Fwos%2Fwoscc%2Ffull-record%2FWOS:000604275900016","View Full Record in Web of Science")</f>
        <v>View Full Record in Web of Science</v>
      </c>
    </row>
    <row r="484" spans="1:72" x14ac:dyDescent="0.15">
      <c r="A484" t="s">
        <v>72</v>
      </c>
      <c r="B484" t="s">
        <v>9567</v>
      </c>
      <c r="C484" t="s">
        <v>74</v>
      </c>
      <c r="D484" t="s">
        <v>74</v>
      </c>
      <c r="E484" t="s">
        <v>74</v>
      </c>
      <c r="F484" t="s">
        <v>9568</v>
      </c>
      <c r="G484" t="s">
        <v>74</v>
      </c>
      <c r="H484" t="s">
        <v>74</v>
      </c>
      <c r="I484" t="s">
        <v>9569</v>
      </c>
      <c r="J484" t="s">
        <v>9570</v>
      </c>
      <c r="K484" t="s">
        <v>74</v>
      </c>
      <c r="L484" t="s">
        <v>74</v>
      </c>
      <c r="M484" t="s">
        <v>78</v>
      </c>
      <c r="N484" t="s">
        <v>79</v>
      </c>
      <c r="O484" t="s">
        <v>74</v>
      </c>
      <c r="P484" t="s">
        <v>74</v>
      </c>
      <c r="Q484" t="s">
        <v>74</v>
      </c>
      <c r="R484" t="s">
        <v>74</v>
      </c>
      <c r="S484" t="s">
        <v>74</v>
      </c>
      <c r="T484" t="s">
        <v>74</v>
      </c>
      <c r="U484" t="s">
        <v>9571</v>
      </c>
      <c r="V484" t="s">
        <v>9572</v>
      </c>
      <c r="W484" t="s">
        <v>9573</v>
      </c>
      <c r="X484" t="s">
        <v>9574</v>
      </c>
      <c r="Y484" t="s">
        <v>9575</v>
      </c>
      <c r="Z484" t="s">
        <v>74</v>
      </c>
      <c r="AA484" t="s">
        <v>74</v>
      </c>
      <c r="AB484" t="s">
        <v>74</v>
      </c>
      <c r="AC484" t="s">
        <v>9576</v>
      </c>
      <c r="AD484" t="s">
        <v>9577</v>
      </c>
      <c r="AE484" t="s">
        <v>9578</v>
      </c>
      <c r="AF484" t="s">
        <v>74</v>
      </c>
      <c r="AG484">
        <v>35</v>
      </c>
      <c r="AH484">
        <v>13</v>
      </c>
      <c r="AI484">
        <v>17</v>
      </c>
      <c r="AJ484">
        <v>0</v>
      </c>
      <c r="AK484">
        <v>12</v>
      </c>
      <c r="AL484" t="s">
        <v>9579</v>
      </c>
      <c r="AM484" t="s">
        <v>4634</v>
      </c>
      <c r="AN484" t="s">
        <v>9580</v>
      </c>
      <c r="AO484" t="s">
        <v>9581</v>
      </c>
      <c r="AP484" t="s">
        <v>9582</v>
      </c>
      <c r="AQ484" t="s">
        <v>74</v>
      </c>
      <c r="AR484" t="s">
        <v>9570</v>
      </c>
      <c r="AS484" t="s">
        <v>402</v>
      </c>
      <c r="AT484" t="s">
        <v>6088</v>
      </c>
      <c r="AU484">
        <v>2021</v>
      </c>
      <c r="AV484">
        <v>49</v>
      </c>
      <c r="AW484">
        <v>1</v>
      </c>
      <c r="AX484" t="s">
        <v>74</v>
      </c>
      <c r="AY484" t="s">
        <v>74</v>
      </c>
      <c r="AZ484" t="s">
        <v>74</v>
      </c>
      <c r="BA484" t="s">
        <v>74</v>
      </c>
      <c r="BB484">
        <v>91</v>
      </c>
      <c r="BC484">
        <v>95</v>
      </c>
      <c r="BD484" t="s">
        <v>74</v>
      </c>
      <c r="BE484" t="s">
        <v>9583</v>
      </c>
      <c r="BF484" t="str">
        <f>HYPERLINK("http://dx.doi.org/10.1130/G47783.1","http://dx.doi.org/10.1130/G47783.1")</f>
        <v>http://dx.doi.org/10.1130/G47783.1</v>
      </c>
      <c r="BG484" t="s">
        <v>74</v>
      </c>
      <c r="BH484" t="s">
        <v>74</v>
      </c>
      <c r="BI484">
        <v>5</v>
      </c>
      <c r="BJ484" t="s">
        <v>402</v>
      </c>
      <c r="BK484" t="s">
        <v>103</v>
      </c>
      <c r="BL484" t="s">
        <v>402</v>
      </c>
      <c r="BM484" t="s">
        <v>9584</v>
      </c>
      <c r="BN484" t="s">
        <v>74</v>
      </c>
      <c r="BO484" t="s">
        <v>218</v>
      </c>
      <c r="BP484" t="s">
        <v>74</v>
      </c>
      <c r="BQ484" t="s">
        <v>74</v>
      </c>
      <c r="BR484" t="s">
        <v>106</v>
      </c>
      <c r="BS484" t="s">
        <v>9585</v>
      </c>
      <c r="BT484" t="str">
        <f>HYPERLINK("https%3A%2F%2Fwww.webofscience.com%2Fwos%2Fwoscc%2Ffull-record%2FWOS:000603292000019","View Full Record in Web of Science")</f>
        <v>View Full Record in Web of Science</v>
      </c>
    </row>
    <row r="485" spans="1:72" x14ac:dyDescent="0.15">
      <c r="A485" t="s">
        <v>72</v>
      </c>
      <c r="B485" t="s">
        <v>9586</v>
      </c>
      <c r="C485" t="s">
        <v>74</v>
      </c>
      <c r="D485" t="s">
        <v>74</v>
      </c>
      <c r="E485" t="s">
        <v>74</v>
      </c>
      <c r="F485" t="s">
        <v>9587</v>
      </c>
      <c r="G485" t="s">
        <v>74</v>
      </c>
      <c r="H485" t="s">
        <v>74</v>
      </c>
      <c r="I485" t="s">
        <v>9588</v>
      </c>
      <c r="J485" t="s">
        <v>9589</v>
      </c>
      <c r="K485" t="s">
        <v>74</v>
      </c>
      <c r="L485" t="s">
        <v>74</v>
      </c>
      <c r="M485" t="s">
        <v>78</v>
      </c>
      <c r="N485" t="s">
        <v>79</v>
      </c>
      <c r="O485" t="s">
        <v>74</v>
      </c>
      <c r="P485" t="s">
        <v>74</v>
      </c>
      <c r="Q485" t="s">
        <v>74</v>
      </c>
      <c r="R485" t="s">
        <v>74</v>
      </c>
      <c r="S485" t="s">
        <v>74</v>
      </c>
      <c r="T485" t="s">
        <v>9590</v>
      </c>
      <c r="U485" t="s">
        <v>9591</v>
      </c>
      <c r="V485" t="s">
        <v>9592</v>
      </c>
      <c r="W485" t="s">
        <v>9593</v>
      </c>
      <c r="X485" t="s">
        <v>9594</v>
      </c>
      <c r="Y485" t="s">
        <v>9595</v>
      </c>
      <c r="Z485" t="s">
        <v>9596</v>
      </c>
      <c r="AA485" t="s">
        <v>9597</v>
      </c>
      <c r="AB485" t="s">
        <v>9598</v>
      </c>
      <c r="AC485" t="s">
        <v>9599</v>
      </c>
      <c r="AD485" t="s">
        <v>9600</v>
      </c>
      <c r="AE485" t="s">
        <v>9601</v>
      </c>
      <c r="AF485" t="s">
        <v>74</v>
      </c>
      <c r="AG485">
        <v>40</v>
      </c>
      <c r="AH485">
        <v>8</v>
      </c>
      <c r="AI485">
        <v>8</v>
      </c>
      <c r="AJ485">
        <v>4</v>
      </c>
      <c r="AK485">
        <v>16</v>
      </c>
      <c r="AL485" t="s">
        <v>9602</v>
      </c>
      <c r="AM485" t="s">
        <v>9603</v>
      </c>
      <c r="AN485" t="s">
        <v>9604</v>
      </c>
      <c r="AO485" t="s">
        <v>9605</v>
      </c>
      <c r="AP485" t="s">
        <v>74</v>
      </c>
      <c r="AQ485" t="s">
        <v>74</v>
      </c>
      <c r="AR485" t="s">
        <v>9606</v>
      </c>
      <c r="AS485" t="s">
        <v>9607</v>
      </c>
      <c r="AT485" t="s">
        <v>374</v>
      </c>
      <c r="AU485">
        <v>2021</v>
      </c>
      <c r="AV485">
        <v>158</v>
      </c>
      <c r="AW485" t="s">
        <v>74</v>
      </c>
      <c r="AX485" t="s">
        <v>74</v>
      </c>
      <c r="AY485" t="s">
        <v>74</v>
      </c>
      <c r="AZ485" t="s">
        <v>74</v>
      </c>
      <c r="BA485" t="s">
        <v>74</v>
      </c>
      <c r="BB485">
        <v>146</v>
      </c>
      <c r="BC485">
        <v>157</v>
      </c>
      <c r="BD485" t="s">
        <v>74</v>
      </c>
      <c r="BE485" t="s">
        <v>9608</v>
      </c>
      <c r="BF485" t="str">
        <f>HYPERLINK("http://dx.doi.org/10.1016/j.plaphy.2020.12.003","http://dx.doi.org/10.1016/j.plaphy.2020.12.003")</f>
        <v>http://dx.doi.org/10.1016/j.plaphy.2020.12.003</v>
      </c>
      <c r="BG485" t="s">
        <v>74</v>
      </c>
      <c r="BH485" t="s">
        <v>74</v>
      </c>
      <c r="BI485">
        <v>12</v>
      </c>
      <c r="BJ485" t="s">
        <v>7174</v>
      </c>
      <c r="BK485" t="s">
        <v>103</v>
      </c>
      <c r="BL485" t="s">
        <v>7174</v>
      </c>
      <c r="BM485" t="s">
        <v>9609</v>
      </c>
      <c r="BN485">
        <v>33310482</v>
      </c>
      <c r="BO485" t="s">
        <v>1220</v>
      </c>
      <c r="BP485" t="s">
        <v>74</v>
      </c>
      <c r="BQ485" t="s">
        <v>74</v>
      </c>
      <c r="BR485" t="s">
        <v>106</v>
      </c>
      <c r="BS485" t="s">
        <v>9610</v>
      </c>
      <c r="BT485" t="str">
        <f>HYPERLINK("https%3A%2F%2Fwww.webofscience.com%2Fwos%2Fwoscc%2Ffull-record%2FWOS:000599299700015","View Full Record in Web of Science")</f>
        <v>View Full Record in Web of Science</v>
      </c>
    </row>
    <row r="486" spans="1:72" x14ac:dyDescent="0.15">
      <c r="A486" t="s">
        <v>72</v>
      </c>
      <c r="B486" t="s">
        <v>9611</v>
      </c>
      <c r="C486" t="s">
        <v>74</v>
      </c>
      <c r="D486" t="s">
        <v>74</v>
      </c>
      <c r="E486" t="s">
        <v>74</v>
      </c>
      <c r="F486" t="s">
        <v>9612</v>
      </c>
      <c r="G486" t="s">
        <v>74</v>
      </c>
      <c r="H486" t="s">
        <v>74</v>
      </c>
      <c r="I486" t="s">
        <v>9613</v>
      </c>
      <c r="J486" t="s">
        <v>9614</v>
      </c>
      <c r="K486" t="s">
        <v>74</v>
      </c>
      <c r="L486" t="s">
        <v>74</v>
      </c>
      <c r="M486" t="s">
        <v>78</v>
      </c>
      <c r="N486" t="s">
        <v>79</v>
      </c>
      <c r="O486" t="s">
        <v>74</v>
      </c>
      <c r="P486" t="s">
        <v>74</v>
      </c>
      <c r="Q486" t="s">
        <v>74</v>
      </c>
      <c r="R486" t="s">
        <v>74</v>
      </c>
      <c r="S486" t="s">
        <v>74</v>
      </c>
      <c r="T486" t="s">
        <v>9615</v>
      </c>
      <c r="U486" t="s">
        <v>9616</v>
      </c>
      <c r="V486" t="s">
        <v>9617</v>
      </c>
      <c r="W486" t="s">
        <v>9618</v>
      </c>
      <c r="X486" t="s">
        <v>9619</v>
      </c>
      <c r="Y486" t="s">
        <v>9620</v>
      </c>
      <c r="Z486" t="s">
        <v>9621</v>
      </c>
      <c r="AA486" t="s">
        <v>9622</v>
      </c>
      <c r="AB486" t="s">
        <v>9623</v>
      </c>
      <c r="AC486" t="s">
        <v>9624</v>
      </c>
      <c r="AD486" t="s">
        <v>9625</v>
      </c>
      <c r="AE486" t="s">
        <v>9626</v>
      </c>
      <c r="AF486" t="s">
        <v>74</v>
      </c>
      <c r="AG486">
        <v>81</v>
      </c>
      <c r="AH486">
        <v>11</v>
      </c>
      <c r="AI486">
        <v>13</v>
      </c>
      <c r="AJ486">
        <v>8</v>
      </c>
      <c r="AK486">
        <v>59</v>
      </c>
      <c r="AL486" t="s">
        <v>418</v>
      </c>
      <c r="AM486" t="s">
        <v>178</v>
      </c>
      <c r="AN486" t="s">
        <v>419</v>
      </c>
      <c r="AO486" t="s">
        <v>9627</v>
      </c>
      <c r="AP486" t="s">
        <v>9628</v>
      </c>
      <c r="AQ486" t="s">
        <v>74</v>
      </c>
      <c r="AR486" t="s">
        <v>9629</v>
      </c>
      <c r="AS486" t="s">
        <v>9630</v>
      </c>
      <c r="AT486" t="s">
        <v>374</v>
      </c>
      <c r="AU486">
        <v>2021</v>
      </c>
      <c r="AV486">
        <v>146</v>
      </c>
      <c r="AW486" t="s">
        <v>74</v>
      </c>
      <c r="AX486" t="s">
        <v>74</v>
      </c>
      <c r="AY486" t="s">
        <v>74</v>
      </c>
      <c r="AZ486" t="s">
        <v>74</v>
      </c>
      <c r="BA486" t="s">
        <v>74</v>
      </c>
      <c r="BB486" t="s">
        <v>74</v>
      </c>
      <c r="BC486" t="s">
        <v>74</v>
      </c>
      <c r="BD486">
        <v>106189</v>
      </c>
      <c r="BE486" t="s">
        <v>9631</v>
      </c>
      <c r="BF486" t="str">
        <f>HYPERLINK("http://dx.doi.org/10.1016/j.envint.2020.106189","http://dx.doi.org/10.1016/j.envint.2020.106189")</f>
        <v>http://dx.doi.org/10.1016/j.envint.2020.106189</v>
      </c>
      <c r="BG486" t="s">
        <v>74</v>
      </c>
      <c r="BH486" t="s">
        <v>74</v>
      </c>
      <c r="BI486">
        <v>11</v>
      </c>
      <c r="BJ486" t="s">
        <v>102</v>
      </c>
      <c r="BK486" t="s">
        <v>103</v>
      </c>
      <c r="BL486" t="s">
        <v>104</v>
      </c>
      <c r="BM486" t="s">
        <v>9632</v>
      </c>
      <c r="BN486">
        <v>33130370</v>
      </c>
      <c r="BO486" t="s">
        <v>326</v>
      </c>
      <c r="BP486" t="s">
        <v>74</v>
      </c>
      <c r="BQ486" t="s">
        <v>74</v>
      </c>
      <c r="BR486" t="s">
        <v>106</v>
      </c>
      <c r="BS486" t="s">
        <v>9633</v>
      </c>
      <c r="BT486" t="str">
        <f>HYPERLINK("https%3A%2F%2Fwww.webofscience.com%2Fwos%2Fwoscc%2Ffull-record%2FWOS:000604625100009","View Full Record in Web of Science")</f>
        <v>View Full Record in Web of Science</v>
      </c>
    </row>
    <row r="487" spans="1:72" x14ac:dyDescent="0.15">
      <c r="A487" t="s">
        <v>72</v>
      </c>
      <c r="B487" t="s">
        <v>9634</v>
      </c>
      <c r="C487" t="s">
        <v>74</v>
      </c>
      <c r="D487" t="s">
        <v>74</v>
      </c>
      <c r="E487" t="s">
        <v>74</v>
      </c>
      <c r="F487" t="s">
        <v>9635</v>
      </c>
      <c r="G487" t="s">
        <v>74</v>
      </c>
      <c r="H487" t="s">
        <v>74</v>
      </c>
      <c r="I487" t="s">
        <v>9636</v>
      </c>
      <c r="J487" t="s">
        <v>9637</v>
      </c>
      <c r="K487" t="s">
        <v>74</v>
      </c>
      <c r="L487" t="s">
        <v>74</v>
      </c>
      <c r="M487" t="s">
        <v>78</v>
      </c>
      <c r="N487" t="s">
        <v>79</v>
      </c>
      <c r="O487" t="s">
        <v>74</v>
      </c>
      <c r="P487" t="s">
        <v>74</v>
      </c>
      <c r="Q487" t="s">
        <v>74</v>
      </c>
      <c r="R487" t="s">
        <v>74</v>
      </c>
      <c r="S487" t="s">
        <v>74</v>
      </c>
      <c r="T487" t="s">
        <v>9638</v>
      </c>
      <c r="U487" t="s">
        <v>9639</v>
      </c>
      <c r="V487" t="s">
        <v>9640</v>
      </c>
      <c r="W487" t="s">
        <v>9641</v>
      </c>
      <c r="X487" t="s">
        <v>9642</v>
      </c>
      <c r="Y487" t="s">
        <v>9643</v>
      </c>
      <c r="Z487" t="s">
        <v>9644</v>
      </c>
      <c r="AA487" t="s">
        <v>9645</v>
      </c>
      <c r="AB487" t="s">
        <v>9646</v>
      </c>
      <c r="AC487" t="s">
        <v>9647</v>
      </c>
      <c r="AD487" t="s">
        <v>9648</v>
      </c>
      <c r="AE487" t="s">
        <v>9649</v>
      </c>
      <c r="AF487" t="s">
        <v>74</v>
      </c>
      <c r="AG487">
        <v>89</v>
      </c>
      <c r="AH487">
        <v>7</v>
      </c>
      <c r="AI487">
        <v>8</v>
      </c>
      <c r="AJ487">
        <v>0</v>
      </c>
      <c r="AK487">
        <v>12</v>
      </c>
      <c r="AL487" t="s">
        <v>92</v>
      </c>
      <c r="AM487" t="s">
        <v>93</v>
      </c>
      <c r="AN487" t="s">
        <v>94</v>
      </c>
      <c r="AO487" t="s">
        <v>9650</v>
      </c>
      <c r="AP487" t="s">
        <v>9651</v>
      </c>
      <c r="AQ487" t="s">
        <v>74</v>
      </c>
      <c r="AR487" t="s">
        <v>9652</v>
      </c>
      <c r="AS487" t="s">
        <v>9653</v>
      </c>
      <c r="AT487" t="s">
        <v>374</v>
      </c>
      <c r="AU487">
        <v>2021</v>
      </c>
      <c r="AV487">
        <v>230</v>
      </c>
      <c r="AW487" t="s">
        <v>74</v>
      </c>
      <c r="AX487" t="s">
        <v>74</v>
      </c>
      <c r="AY487" t="s">
        <v>74</v>
      </c>
      <c r="AZ487" t="s">
        <v>74</v>
      </c>
      <c r="BA487" t="s">
        <v>74</v>
      </c>
      <c r="BB487" t="s">
        <v>74</v>
      </c>
      <c r="BC487" t="s">
        <v>74</v>
      </c>
      <c r="BD487">
        <v>105704</v>
      </c>
      <c r="BE487" t="s">
        <v>9654</v>
      </c>
      <c r="BF487" t="str">
        <f>HYPERLINK("http://dx.doi.org/10.1016/j.aquatox.2020.105704","http://dx.doi.org/10.1016/j.aquatox.2020.105704")</f>
        <v>http://dx.doi.org/10.1016/j.aquatox.2020.105704</v>
      </c>
      <c r="BG487" t="s">
        <v>74</v>
      </c>
      <c r="BH487" t="s">
        <v>74</v>
      </c>
      <c r="BI487">
        <v>12</v>
      </c>
      <c r="BJ487" t="s">
        <v>9655</v>
      </c>
      <c r="BK487" t="s">
        <v>103</v>
      </c>
      <c r="BL487" t="s">
        <v>9655</v>
      </c>
      <c r="BM487" t="s">
        <v>9656</v>
      </c>
      <c r="BN487">
        <v>33316749</v>
      </c>
      <c r="BO487" t="s">
        <v>74</v>
      </c>
      <c r="BP487" t="s">
        <v>74</v>
      </c>
      <c r="BQ487" t="s">
        <v>74</v>
      </c>
      <c r="BR487" t="s">
        <v>106</v>
      </c>
      <c r="BS487" t="s">
        <v>9657</v>
      </c>
      <c r="BT487" t="str">
        <f>HYPERLINK("https%3A%2F%2Fwww.webofscience.com%2Fwos%2Fwoscc%2Ffull-record%2FWOS:000600837200017","View Full Record in Web of Science")</f>
        <v>View Full Record in Web of Science</v>
      </c>
    </row>
    <row r="488" spans="1:72" x14ac:dyDescent="0.15">
      <c r="A488" t="s">
        <v>72</v>
      </c>
      <c r="B488" t="s">
        <v>9658</v>
      </c>
      <c r="C488" t="s">
        <v>74</v>
      </c>
      <c r="D488" t="s">
        <v>74</v>
      </c>
      <c r="E488" t="s">
        <v>74</v>
      </c>
      <c r="F488" t="s">
        <v>9659</v>
      </c>
      <c r="G488" t="s">
        <v>74</v>
      </c>
      <c r="H488" t="s">
        <v>74</v>
      </c>
      <c r="I488" t="s">
        <v>9660</v>
      </c>
      <c r="J488" t="s">
        <v>1237</v>
      </c>
      <c r="K488" t="s">
        <v>74</v>
      </c>
      <c r="L488" t="s">
        <v>74</v>
      </c>
      <c r="M488" t="s">
        <v>78</v>
      </c>
      <c r="N488" t="s">
        <v>79</v>
      </c>
      <c r="O488" t="s">
        <v>74</v>
      </c>
      <c r="P488" t="s">
        <v>74</v>
      </c>
      <c r="Q488" t="s">
        <v>74</v>
      </c>
      <c r="R488" t="s">
        <v>74</v>
      </c>
      <c r="S488" t="s">
        <v>74</v>
      </c>
      <c r="T488" t="s">
        <v>9661</v>
      </c>
      <c r="U488" t="s">
        <v>74</v>
      </c>
      <c r="V488" t="s">
        <v>9662</v>
      </c>
      <c r="W488" t="s">
        <v>9663</v>
      </c>
      <c r="X488" t="s">
        <v>9664</v>
      </c>
      <c r="Y488" t="s">
        <v>9665</v>
      </c>
      <c r="Z488" t="s">
        <v>9666</v>
      </c>
      <c r="AA488" t="s">
        <v>9667</v>
      </c>
      <c r="AB488" t="s">
        <v>9668</v>
      </c>
      <c r="AC488" t="s">
        <v>9669</v>
      </c>
      <c r="AD488" t="s">
        <v>9670</v>
      </c>
      <c r="AE488" t="s">
        <v>9671</v>
      </c>
      <c r="AF488" t="s">
        <v>74</v>
      </c>
      <c r="AG488">
        <v>82</v>
      </c>
      <c r="AH488">
        <v>45</v>
      </c>
      <c r="AI488">
        <v>47</v>
      </c>
      <c r="AJ488">
        <v>8</v>
      </c>
      <c r="AK488">
        <v>52</v>
      </c>
      <c r="AL488" t="s">
        <v>418</v>
      </c>
      <c r="AM488" t="s">
        <v>178</v>
      </c>
      <c r="AN488" t="s">
        <v>419</v>
      </c>
      <c r="AO488" t="s">
        <v>1250</v>
      </c>
      <c r="AP488" t="s">
        <v>1251</v>
      </c>
      <c r="AQ488" t="s">
        <v>74</v>
      </c>
      <c r="AR488" t="s">
        <v>1237</v>
      </c>
      <c r="AS488" t="s">
        <v>1252</v>
      </c>
      <c r="AT488" t="s">
        <v>374</v>
      </c>
      <c r="AU488">
        <v>2021</v>
      </c>
      <c r="AV488">
        <v>263</v>
      </c>
      <c r="AW488" t="s">
        <v>74</v>
      </c>
      <c r="AX488" t="s">
        <v>74</v>
      </c>
      <c r="AY488" t="s">
        <v>74</v>
      </c>
      <c r="AZ488" t="s">
        <v>74</v>
      </c>
      <c r="BA488" t="s">
        <v>74</v>
      </c>
      <c r="BB488" t="s">
        <v>74</v>
      </c>
      <c r="BC488" t="s">
        <v>74</v>
      </c>
      <c r="BD488">
        <v>127777</v>
      </c>
      <c r="BE488" t="s">
        <v>9672</v>
      </c>
      <c r="BF488" t="str">
        <f>HYPERLINK("http://dx.doi.org/10.1016/j.chemosphere.2020.127777","http://dx.doi.org/10.1016/j.chemosphere.2020.127777")</f>
        <v>http://dx.doi.org/10.1016/j.chemosphere.2020.127777</v>
      </c>
      <c r="BG488" t="s">
        <v>74</v>
      </c>
      <c r="BH488" t="s">
        <v>74</v>
      </c>
      <c r="BI488">
        <v>10</v>
      </c>
      <c r="BJ488" t="s">
        <v>102</v>
      </c>
      <c r="BK488" t="s">
        <v>103</v>
      </c>
      <c r="BL488" t="s">
        <v>104</v>
      </c>
      <c r="BM488" t="s">
        <v>9673</v>
      </c>
      <c r="BN488">
        <v>32828051</v>
      </c>
      <c r="BO488" t="s">
        <v>428</v>
      </c>
      <c r="BP488" t="s">
        <v>74</v>
      </c>
      <c r="BQ488" t="s">
        <v>74</v>
      </c>
      <c r="BR488" t="s">
        <v>106</v>
      </c>
      <c r="BS488" t="s">
        <v>9674</v>
      </c>
      <c r="BT488" t="str">
        <f>HYPERLINK("https%3A%2F%2Fwww.webofscience.com%2Fwos%2Fwoscc%2Ffull-record%2FWOS:000595802200012","View Full Record in Web of Science")</f>
        <v>View Full Record in Web of Science</v>
      </c>
    </row>
    <row r="489" spans="1:72" x14ac:dyDescent="0.15">
      <c r="A489" t="s">
        <v>72</v>
      </c>
      <c r="B489" t="s">
        <v>9675</v>
      </c>
      <c r="C489" t="s">
        <v>74</v>
      </c>
      <c r="D489" t="s">
        <v>74</v>
      </c>
      <c r="E489" t="s">
        <v>74</v>
      </c>
      <c r="F489" t="s">
        <v>9676</v>
      </c>
      <c r="G489" t="s">
        <v>74</v>
      </c>
      <c r="H489" t="s">
        <v>74</v>
      </c>
      <c r="I489" t="s">
        <v>9677</v>
      </c>
      <c r="J489" t="s">
        <v>9678</v>
      </c>
      <c r="K489" t="s">
        <v>74</v>
      </c>
      <c r="L489" t="s">
        <v>74</v>
      </c>
      <c r="M489" t="s">
        <v>78</v>
      </c>
      <c r="N489" t="s">
        <v>79</v>
      </c>
      <c r="O489" t="s">
        <v>74</v>
      </c>
      <c r="P489" t="s">
        <v>74</v>
      </c>
      <c r="Q489" t="s">
        <v>74</v>
      </c>
      <c r="R489" t="s">
        <v>74</v>
      </c>
      <c r="S489" t="s">
        <v>74</v>
      </c>
      <c r="T489" t="s">
        <v>9679</v>
      </c>
      <c r="U489" t="s">
        <v>9680</v>
      </c>
      <c r="V489" t="s">
        <v>9681</v>
      </c>
      <c r="W489" t="s">
        <v>9682</v>
      </c>
      <c r="X489" t="s">
        <v>9683</v>
      </c>
      <c r="Y489" t="s">
        <v>9684</v>
      </c>
      <c r="Z489" t="s">
        <v>9685</v>
      </c>
      <c r="AA489" t="s">
        <v>9686</v>
      </c>
      <c r="AB489" t="s">
        <v>9687</v>
      </c>
      <c r="AC489" t="s">
        <v>9688</v>
      </c>
      <c r="AD489" t="s">
        <v>9689</v>
      </c>
      <c r="AE489" t="s">
        <v>9690</v>
      </c>
      <c r="AF489" t="s">
        <v>74</v>
      </c>
      <c r="AG489">
        <v>111</v>
      </c>
      <c r="AH489">
        <v>28</v>
      </c>
      <c r="AI489">
        <v>31</v>
      </c>
      <c r="AJ489">
        <v>4</v>
      </c>
      <c r="AK489">
        <v>15</v>
      </c>
      <c r="AL489" t="s">
        <v>177</v>
      </c>
      <c r="AM489" t="s">
        <v>178</v>
      </c>
      <c r="AN489" t="s">
        <v>179</v>
      </c>
      <c r="AO489" t="s">
        <v>9691</v>
      </c>
      <c r="AP489" t="s">
        <v>9692</v>
      </c>
      <c r="AQ489" t="s">
        <v>74</v>
      </c>
      <c r="AR489" t="s">
        <v>9693</v>
      </c>
      <c r="AS489" t="s">
        <v>9694</v>
      </c>
      <c r="AT489" t="s">
        <v>374</v>
      </c>
      <c r="AU489">
        <v>2021</v>
      </c>
      <c r="AV489">
        <v>123</v>
      </c>
      <c r="AW489" t="s">
        <v>74</v>
      </c>
      <c r="AX489" t="s">
        <v>74</v>
      </c>
      <c r="AY489" t="s">
        <v>74</v>
      </c>
      <c r="AZ489" t="s">
        <v>74</v>
      </c>
      <c r="BA489" t="s">
        <v>74</v>
      </c>
      <c r="BB489" t="s">
        <v>74</v>
      </c>
      <c r="BC489" t="s">
        <v>74</v>
      </c>
      <c r="BD489">
        <v>104768</v>
      </c>
      <c r="BE489" t="s">
        <v>9695</v>
      </c>
      <c r="BF489" t="str">
        <f>HYPERLINK("http://dx.doi.org/10.1016/j.marpetgeo.2020.104768","http://dx.doi.org/10.1016/j.marpetgeo.2020.104768")</f>
        <v>http://dx.doi.org/10.1016/j.marpetgeo.2020.104768</v>
      </c>
      <c r="BG489" t="s">
        <v>74</v>
      </c>
      <c r="BH489" t="s">
        <v>74</v>
      </c>
      <c r="BI489">
        <v>22</v>
      </c>
      <c r="BJ489" t="s">
        <v>401</v>
      </c>
      <c r="BK489" t="s">
        <v>103</v>
      </c>
      <c r="BL489" t="s">
        <v>402</v>
      </c>
      <c r="BM489" t="s">
        <v>9696</v>
      </c>
      <c r="BN489" t="s">
        <v>74</v>
      </c>
      <c r="BO489" t="s">
        <v>218</v>
      </c>
      <c r="BP489" t="s">
        <v>74</v>
      </c>
      <c r="BQ489" t="s">
        <v>74</v>
      </c>
      <c r="BR489" t="s">
        <v>106</v>
      </c>
      <c r="BS489" t="s">
        <v>9697</v>
      </c>
      <c r="BT489" t="str">
        <f>HYPERLINK("https%3A%2F%2Fwww.webofscience.com%2Fwos%2Fwoscc%2Ffull-record%2FWOS:000598618900001","View Full Record in Web of Science")</f>
        <v>View Full Record in Web of Science</v>
      </c>
    </row>
    <row r="490" spans="1:72" x14ac:dyDescent="0.15">
      <c r="A490" t="s">
        <v>72</v>
      </c>
      <c r="B490" t="s">
        <v>9698</v>
      </c>
      <c r="C490" t="s">
        <v>74</v>
      </c>
      <c r="D490" t="s">
        <v>74</v>
      </c>
      <c r="E490" t="s">
        <v>74</v>
      </c>
      <c r="F490" t="s">
        <v>9699</v>
      </c>
      <c r="G490" t="s">
        <v>74</v>
      </c>
      <c r="H490" t="s">
        <v>74</v>
      </c>
      <c r="I490" t="s">
        <v>9700</v>
      </c>
      <c r="J490" t="s">
        <v>1713</v>
      </c>
      <c r="K490" t="s">
        <v>74</v>
      </c>
      <c r="L490" t="s">
        <v>74</v>
      </c>
      <c r="M490" t="s">
        <v>78</v>
      </c>
      <c r="N490" t="s">
        <v>79</v>
      </c>
      <c r="O490" t="s">
        <v>74</v>
      </c>
      <c r="P490" t="s">
        <v>74</v>
      </c>
      <c r="Q490" t="s">
        <v>74</v>
      </c>
      <c r="R490" t="s">
        <v>74</v>
      </c>
      <c r="S490" t="s">
        <v>74</v>
      </c>
      <c r="T490" t="s">
        <v>9701</v>
      </c>
      <c r="U490" t="s">
        <v>9702</v>
      </c>
      <c r="V490" t="s">
        <v>9703</v>
      </c>
      <c r="W490" t="s">
        <v>9704</v>
      </c>
      <c r="X490" t="s">
        <v>9705</v>
      </c>
      <c r="Y490" t="s">
        <v>9706</v>
      </c>
      <c r="Z490" t="s">
        <v>9707</v>
      </c>
      <c r="AA490" t="s">
        <v>74</v>
      </c>
      <c r="AB490" t="s">
        <v>9708</v>
      </c>
      <c r="AC490" t="s">
        <v>9709</v>
      </c>
      <c r="AD490" t="s">
        <v>9710</v>
      </c>
      <c r="AE490" t="s">
        <v>9711</v>
      </c>
      <c r="AF490" t="s">
        <v>74</v>
      </c>
      <c r="AG490">
        <v>72</v>
      </c>
      <c r="AH490">
        <v>12</v>
      </c>
      <c r="AI490">
        <v>13</v>
      </c>
      <c r="AJ490">
        <v>1</v>
      </c>
      <c r="AK490">
        <v>16</v>
      </c>
      <c r="AL490" t="s">
        <v>418</v>
      </c>
      <c r="AM490" t="s">
        <v>178</v>
      </c>
      <c r="AN490" t="s">
        <v>419</v>
      </c>
      <c r="AO490" t="s">
        <v>1726</v>
      </c>
      <c r="AP490" t="s">
        <v>1727</v>
      </c>
      <c r="AQ490" t="s">
        <v>74</v>
      </c>
      <c r="AR490" t="s">
        <v>1728</v>
      </c>
      <c r="AS490" t="s">
        <v>1729</v>
      </c>
      <c r="AT490" t="s">
        <v>6088</v>
      </c>
      <c r="AU490">
        <v>2021</v>
      </c>
      <c r="AV490">
        <v>251</v>
      </c>
      <c r="AW490" t="s">
        <v>74</v>
      </c>
      <c r="AX490" t="s">
        <v>74</v>
      </c>
      <c r="AY490" t="s">
        <v>74</v>
      </c>
      <c r="AZ490" t="s">
        <v>74</v>
      </c>
      <c r="BA490" t="s">
        <v>74</v>
      </c>
      <c r="BB490" t="s">
        <v>74</v>
      </c>
      <c r="BC490" t="s">
        <v>74</v>
      </c>
      <c r="BD490">
        <v>106711</v>
      </c>
      <c r="BE490" t="s">
        <v>9712</v>
      </c>
      <c r="BF490" t="str">
        <f>HYPERLINK("http://dx.doi.org/10.1016/j.quascirev.2020.106711","http://dx.doi.org/10.1016/j.quascirev.2020.106711")</f>
        <v>http://dx.doi.org/10.1016/j.quascirev.2020.106711</v>
      </c>
      <c r="BG490" t="s">
        <v>74</v>
      </c>
      <c r="BH490" t="s">
        <v>74</v>
      </c>
      <c r="BI490">
        <v>10</v>
      </c>
      <c r="BJ490" t="s">
        <v>156</v>
      </c>
      <c r="BK490" t="s">
        <v>103</v>
      </c>
      <c r="BL490" t="s">
        <v>157</v>
      </c>
      <c r="BM490" t="s">
        <v>9713</v>
      </c>
      <c r="BN490" t="s">
        <v>74</v>
      </c>
      <c r="BO490" t="s">
        <v>74</v>
      </c>
      <c r="BP490" t="s">
        <v>74</v>
      </c>
      <c r="BQ490" t="s">
        <v>74</v>
      </c>
      <c r="BR490" t="s">
        <v>106</v>
      </c>
      <c r="BS490" t="s">
        <v>9714</v>
      </c>
      <c r="BT490" t="str">
        <f>HYPERLINK("https%3A%2F%2Fwww.webofscience.com%2Fwos%2Fwoscc%2Ffull-record%2FWOS:000600739300013","View Full Record in Web of Science")</f>
        <v>View Full Record in Web of Science</v>
      </c>
    </row>
    <row r="491" spans="1:72" x14ac:dyDescent="0.15">
      <c r="A491" t="s">
        <v>72</v>
      </c>
      <c r="B491" t="s">
        <v>9715</v>
      </c>
      <c r="C491" t="s">
        <v>74</v>
      </c>
      <c r="D491" t="s">
        <v>74</v>
      </c>
      <c r="E491" t="s">
        <v>74</v>
      </c>
      <c r="F491" t="s">
        <v>9716</v>
      </c>
      <c r="G491" t="s">
        <v>74</v>
      </c>
      <c r="H491" t="s">
        <v>74</v>
      </c>
      <c r="I491" t="s">
        <v>9717</v>
      </c>
      <c r="J491" t="s">
        <v>1713</v>
      </c>
      <c r="K491" t="s">
        <v>74</v>
      </c>
      <c r="L491" t="s">
        <v>74</v>
      </c>
      <c r="M491" t="s">
        <v>78</v>
      </c>
      <c r="N491" t="s">
        <v>79</v>
      </c>
      <c r="O491" t="s">
        <v>74</v>
      </c>
      <c r="P491" t="s">
        <v>74</v>
      </c>
      <c r="Q491" t="s">
        <v>74</v>
      </c>
      <c r="R491" t="s">
        <v>74</v>
      </c>
      <c r="S491" t="s">
        <v>74</v>
      </c>
      <c r="T491" t="s">
        <v>9718</v>
      </c>
      <c r="U491" t="s">
        <v>9719</v>
      </c>
      <c r="V491" t="s">
        <v>9720</v>
      </c>
      <c r="W491" t="s">
        <v>9721</v>
      </c>
      <c r="X491" t="s">
        <v>9722</v>
      </c>
      <c r="Y491" t="s">
        <v>9723</v>
      </c>
      <c r="Z491" t="s">
        <v>9724</v>
      </c>
      <c r="AA491" t="s">
        <v>9725</v>
      </c>
      <c r="AB491" t="s">
        <v>9726</v>
      </c>
      <c r="AC491" t="s">
        <v>9727</v>
      </c>
      <c r="AD491" t="s">
        <v>9728</v>
      </c>
      <c r="AE491" t="s">
        <v>9729</v>
      </c>
      <c r="AF491" t="s">
        <v>74</v>
      </c>
      <c r="AG491">
        <v>111</v>
      </c>
      <c r="AH491">
        <v>15</v>
      </c>
      <c r="AI491">
        <v>15</v>
      </c>
      <c r="AJ491">
        <v>2</v>
      </c>
      <c r="AK491">
        <v>26</v>
      </c>
      <c r="AL491" t="s">
        <v>418</v>
      </c>
      <c r="AM491" t="s">
        <v>178</v>
      </c>
      <c r="AN491" t="s">
        <v>419</v>
      </c>
      <c r="AO491" t="s">
        <v>1726</v>
      </c>
      <c r="AP491" t="s">
        <v>1727</v>
      </c>
      <c r="AQ491" t="s">
        <v>74</v>
      </c>
      <c r="AR491" t="s">
        <v>1728</v>
      </c>
      <c r="AS491" t="s">
        <v>1729</v>
      </c>
      <c r="AT491" t="s">
        <v>6088</v>
      </c>
      <c r="AU491">
        <v>2021</v>
      </c>
      <c r="AV491">
        <v>251</v>
      </c>
      <c r="AW491" t="s">
        <v>74</v>
      </c>
      <c r="AX491" t="s">
        <v>74</v>
      </c>
      <c r="AY491" t="s">
        <v>74</v>
      </c>
      <c r="AZ491" t="s">
        <v>74</v>
      </c>
      <c r="BA491" t="s">
        <v>74</v>
      </c>
      <c r="BB491" t="s">
        <v>74</v>
      </c>
      <c r="BC491" t="s">
        <v>74</v>
      </c>
      <c r="BD491">
        <v>106659</v>
      </c>
      <c r="BE491" t="s">
        <v>9730</v>
      </c>
      <c r="BF491" t="str">
        <f>HYPERLINK("http://dx.doi.org/10.1016/j.quascirev.2020.106659","http://dx.doi.org/10.1016/j.quascirev.2020.106659")</f>
        <v>http://dx.doi.org/10.1016/j.quascirev.2020.106659</v>
      </c>
      <c r="BG491" t="s">
        <v>74</v>
      </c>
      <c r="BH491" t="s">
        <v>74</v>
      </c>
      <c r="BI491">
        <v>16</v>
      </c>
      <c r="BJ491" t="s">
        <v>156</v>
      </c>
      <c r="BK491" t="s">
        <v>103</v>
      </c>
      <c r="BL491" t="s">
        <v>157</v>
      </c>
      <c r="BM491" t="s">
        <v>9713</v>
      </c>
      <c r="BN491" t="s">
        <v>74</v>
      </c>
      <c r="BO491" t="s">
        <v>218</v>
      </c>
      <c r="BP491" t="s">
        <v>74</v>
      </c>
      <c r="BQ491" t="s">
        <v>74</v>
      </c>
      <c r="BR491" t="s">
        <v>106</v>
      </c>
      <c r="BS491" t="s">
        <v>9731</v>
      </c>
      <c r="BT491" t="str">
        <f>HYPERLINK("https%3A%2F%2Fwww.webofscience.com%2Fwos%2Fwoscc%2Ffull-record%2FWOS:000600739300003","View Full Record in Web of Science")</f>
        <v>View Full Record in Web of Science</v>
      </c>
    </row>
    <row r="492" spans="1:72" x14ac:dyDescent="0.15">
      <c r="A492" t="s">
        <v>72</v>
      </c>
      <c r="B492" t="s">
        <v>9732</v>
      </c>
      <c r="C492" t="s">
        <v>74</v>
      </c>
      <c r="D492" t="s">
        <v>74</v>
      </c>
      <c r="E492" t="s">
        <v>74</v>
      </c>
      <c r="F492" t="s">
        <v>9733</v>
      </c>
      <c r="G492" t="s">
        <v>74</v>
      </c>
      <c r="H492" t="s">
        <v>74</v>
      </c>
      <c r="I492" t="s">
        <v>9734</v>
      </c>
      <c r="J492" t="s">
        <v>1713</v>
      </c>
      <c r="K492" t="s">
        <v>74</v>
      </c>
      <c r="L492" t="s">
        <v>74</v>
      </c>
      <c r="M492" t="s">
        <v>78</v>
      </c>
      <c r="N492" t="s">
        <v>79</v>
      </c>
      <c r="O492" t="s">
        <v>74</v>
      </c>
      <c r="P492" t="s">
        <v>74</v>
      </c>
      <c r="Q492" t="s">
        <v>74</v>
      </c>
      <c r="R492" t="s">
        <v>74</v>
      </c>
      <c r="S492" t="s">
        <v>74</v>
      </c>
      <c r="T492" t="s">
        <v>9735</v>
      </c>
      <c r="U492" t="s">
        <v>9736</v>
      </c>
      <c r="V492" t="s">
        <v>9737</v>
      </c>
      <c r="W492" t="s">
        <v>9738</v>
      </c>
      <c r="X492" t="s">
        <v>9739</v>
      </c>
      <c r="Y492" t="s">
        <v>9740</v>
      </c>
      <c r="Z492" t="s">
        <v>9741</v>
      </c>
      <c r="AA492" t="s">
        <v>9742</v>
      </c>
      <c r="AB492" t="s">
        <v>9743</v>
      </c>
      <c r="AC492" t="s">
        <v>9744</v>
      </c>
      <c r="AD492" t="s">
        <v>9745</v>
      </c>
      <c r="AE492" t="s">
        <v>9746</v>
      </c>
      <c r="AF492" t="s">
        <v>74</v>
      </c>
      <c r="AG492">
        <v>89</v>
      </c>
      <c r="AH492">
        <v>5</v>
      </c>
      <c r="AI492">
        <v>6</v>
      </c>
      <c r="AJ492">
        <v>1</v>
      </c>
      <c r="AK492">
        <v>9</v>
      </c>
      <c r="AL492" t="s">
        <v>418</v>
      </c>
      <c r="AM492" t="s">
        <v>178</v>
      </c>
      <c r="AN492" t="s">
        <v>419</v>
      </c>
      <c r="AO492" t="s">
        <v>1726</v>
      </c>
      <c r="AP492" t="s">
        <v>1727</v>
      </c>
      <c r="AQ492" t="s">
        <v>74</v>
      </c>
      <c r="AR492" t="s">
        <v>1728</v>
      </c>
      <c r="AS492" t="s">
        <v>1729</v>
      </c>
      <c r="AT492" t="s">
        <v>6088</v>
      </c>
      <c r="AU492">
        <v>2021</v>
      </c>
      <c r="AV492">
        <v>251</v>
      </c>
      <c r="AW492" t="s">
        <v>74</v>
      </c>
      <c r="AX492" t="s">
        <v>74</v>
      </c>
      <c r="AY492" t="s">
        <v>74</v>
      </c>
      <c r="AZ492" t="s">
        <v>74</v>
      </c>
      <c r="BA492" t="s">
        <v>74</v>
      </c>
      <c r="BB492" t="s">
        <v>74</v>
      </c>
      <c r="BC492" t="s">
        <v>74</v>
      </c>
      <c r="BD492">
        <v>106637</v>
      </c>
      <c r="BE492" t="s">
        <v>9747</v>
      </c>
      <c r="BF492" t="str">
        <f>HYPERLINK("http://dx.doi.org/10.1016/j.quascirev.2020.106637","http://dx.doi.org/10.1016/j.quascirev.2020.106637")</f>
        <v>http://dx.doi.org/10.1016/j.quascirev.2020.106637</v>
      </c>
      <c r="BG492" t="s">
        <v>74</v>
      </c>
      <c r="BH492" t="s">
        <v>74</v>
      </c>
      <c r="BI492">
        <v>17</v>
      </c>
      <c r="BJ492" t="s">
        <v>156</v>
      </c>
      <c r="BK492" t="s">
        <v>103</v>
      </c>
      <c r="BL492" t="s">
        <v>157</v>
      </c>
      <c r="BM492" t="s">
        <v>9713</v>
      </c>
      <c r="BN492" t="s">
        <v>74</v>
      </c>
      <c r="BO492" t="s">
        <v>74</v>
      </c>
      <c r="BP492" t="s">
        <v>74</v>
      </c>
      <c r="BQ492" t="s">
        <v>74</v>
      </c>
      <c r="BR492" t="s">
        <v>106</v>
      </c>
      <c r="BS492" t="s">
        <v>9748</v>
      </c>
      <c r="BT492" t="str">
        <f>HYPERLINK("https%3A%2F%2Fwww.webofscience.com%2Fwos%2Fwoscc%2Ffull-record%2FWOS:000600739300001","View Full Record in Web of Science")</f>
        <v>View Full Record in Web of Science</v>
      </c>
    </row>
    <row r="493" spans="1:72" x14ac:dyDescent="0.15">
      <c r="A493" t="s">
        <v>72</v>
      </c>
      <c r="B493" t="s">
        <v>9749</v>
      </c>
      <c r="C493" t="s">
        <v>74</v>
      </c>
      <c r="D493" t="s">
        <v>74</v>
      </c>
      <c r="E493" t="s">
        <v>74</v>
      </c>
      <c r="F493" t="s">
        <v>9750</v>
      </c>
      <c r="G493" t="s">
        <v>74</v>
      </c>
      <c r="H493" t="s">
        <v>74</v>
      </c>
      <c r="I493" t="s">
        <v>9751</v>
      </c>
      <c r="J493" t="s">
        <v>279</v>
      </c>
      <c r="K493" t="s">
        <v>74</v>
      </c>
      <c r="L493" t="s">
        <v>74</v>
      </c>
      <c r="M493" t="s">
        <v>78</v>
      </c>
      <c r="N493" t="s">
        <v>79</v>
      </c>
      <c r="O493" t="s">
        <v>74</v>
      </c>
      <c r="P493" t="s">
        <v>74</v>
      </c>
      <c r="Q493" t="s">
        <v>74</v>
      </c>
      <c r="R493" t="s">
        <v>74</v>
      </c>
      <c r="S493" t="s">
        <v>74</v>
      </c>
      <c r="T493" t="s">
        <v>9752</v>
      </c>
      <c r="U493" t="s">
        <v>74</v>
      </c>
      <c r="V493" t="s">
        <v>9753</v>
      </c>
      <c r="W493" t="s">
        <v>9754</v>
      </c>
      <c r="X493" t="s">
        <v>9755</v>
      </c>
      <c r="Y493" t="s">
        <v>9756</v>
      </c>
      <c r="Z493" t="s">
        <v>9757</v>
      </c>
      <c r="AA493" t="s">
        <v>74</v>
      </c>
      <c r="AB493" t="s">
        <v>9758</v>
      </c>
      <c r="AC493" t="s">
        <v>9759</v>
      </c>
      <c r="AD493" t="s">
        <v>9760</v>
      </c>
      <c r="AE493" t="s">
        <v>9761</v>
      </c>
      <c r="AF493" t="s">
        <v>74</v>
      </c>
      <c r="AG493">
        <v>70</v>
      </c>
      <c r="AH493">
        <v>2</v>
      </c>
      <c r="AI493">
        <v>2</v>
      </c>
      <c r="AJ493">
        <v>0</v>
      </c>
      <c r="AK493">
        <v>7</v>
      </c>
      <c r="AL493" t="s">
        <v>92</v>
      </c>
      <c r="AM493" t="s">
        <v>93</v>
      </c>
      <c r="AN493" t="s">
        <v>94</v>
      </c>
      <c r="AO493" t="s">
        <v>290</v>
      </c>
      <c r="AP493" t="s">
        <v>291</v>
      </c>
      <c r="AQ493" t="s">
        <v>74</v>
      </c>
      <c r="AR493" t="s">
        <v>292</v>
      </c>
      <c r="AS493" t="s">
        <v>293</v>
      </c>
      <c r="AT493" t="s">
        <v>6088</v>
      </c>
      <c r="AU493">
        <v>2021</v>
      </c>
      <c r="AV493">
        <v>561</v>
      </c>
      <c r="AW493" t="s">
        <v>74</v>
      </c>
      <c r="AX493" t="s">
        <v>74</v>
      </c>
      <c r="AY493" t="s">
        <v>74</v>
      </c>
      <c r="AZ493" t="s">
        <v>74</v>
      </c>
      <c r="BA493" t="s">
        <v>74</v>
      </c>
      <c r="BB493" t="s">
        <v>74</v>
      </c>
      <c r="BC493" t="s">
        <v>74</v>
      </c>
      <c r="BD493">
        <v>110053</v>
      </c>
      <c r="BE493" t="s">
        <v>9762</v>
      </c>
      <c r="BF493" t="str">
        <f>HYPERLINK("http://dx.doi.org/10.1016/j.palaeo.2020.110053","http://dx.doi.org/10.1016/j.palaeo.2020.110053")</f>
        <v>http://dx.doi.org/10.1016/j.palaeo.2020.110053</v>
      </c>
      <c r="BG493" t="s">
        <v>74</v>
      </c>
      <c r="BH493" t="s">
        <v>74</v>
      </c>
      <c r="BI493">
        <v>17</v>
      </c>
      <c r="BJ493" t="s">
        <v>296</v>
      </c>
      <c r="BK493" t="s">
        <v>103</v>
      </c>
      <c r="BL493" t="s">
        <v>297</v>
      </c>
      <c r="BM493" t="s">
        <v>9763</v>
      </c>
      <c r="BN493" t="s">
        <v>74</v>
      </c>
      <c r="BO493" t="s">
        <v>74</v>
      </c>
      <c r="BP493" t="s">
        <v>74</v>
      </c>
      <c r="BQ493" t="s">
        <v>74</v>
      </c>
      <c r="BR493" t="s">
        <v>106</v>
      </c>
      <c r="BS493" t="s">
        <v>9764</v>
      </c>
      <c r="BT493" t="str">
        <f>HYPERLINK("https%3A%2F%2Fwww.webofscience.com%2Fwos%2Fwoscc%2Ffull-record%2FWOS:000595639600010","View Full Record in Web of Science")</f>
        <v>View Full Record in Web of Science</v>
      </c>
    </row>
    <row r="494" spans="1:72" x14ac:dyDescent="0.15">
      <c r="A494" t="s">
        <v>72</v>
      </c>
      <c r="B494" t="s">
        <v>9765</v>
      </c>
      <c r="C494" t="s">
        <v>74</v>
      </c>
      <c r="D494" t="s">
        <v>74</v>
      </c>
      <c r="E494" t="s">
        <v>74</v>
      </c>
      <c r="F494" t="s">
        <v>9766</v>
      </c>
      <c r="G494" t="s">
        <v>74</v>
      </c>
      <c r="H494" t="s">
        <v>74</v>
      </c>
      <c r="I494" t="s">
        <v>9767</v>
      </c>
      <c r="J494" t="s">
        <v>279</v>
      </c>
      <c r="K494" t="s">
        <v>74</v>
      </c>
      <c r="L494" t="s">
        <v>74</v>
      </c>
      <c r="M494" t="s">
        <v>78</v>
      </c>
      <c r="N494" t="s">
        <v>79</v>
      </c>
      <c r="O494" t="s">
        <v>74</v>
      </c>
      <c r="P494" t="s">
        <v>74</v>
      </c>
      <c r="Q494" t="s">
        <v>74</v>
      </c>
      <c r="R494" t="s">
        <v>74</v>
      </c>
      <c r="S494" t="s">
        <v>74</v>
      </c>
      <c r="T494" t="s">
        <v>9768</v>
      </c>
      <c r="U494" t="s">
        <v>9769</v>
      </c>
      <c r="V494" t="s">
        <v>9770</v>
      </c>
      <c r="W494" t="s">
        <v>9771</v>
      </c>
      <c r="X494" t="s">
        <v>74</v>
      </c>
      <c r="Y494" t="s">
        <v>9772</v>
      </c>
      <c r="Z494" t="s">
        <v>9773</v>
      </c>
      <c r="AA494" t="s">
        <v>74</v>
      </c>
      <c r="AB494" t="s">
        <v>74</v>
      </c>
      <c r="AC494" t="s">
        <v>9774</v>
      </c>
      <c r="AD494" t="s">
        <v>9774</v>
      </c>
      <c r="AE494" t="s">
        <v>9775</v>
      </c>
      <c r="AF494" t="s">
        <v>74</v>
      </c>
      <c r="AG494">
        <v>131</v>
      </c>
      <c r="AH494">
        <v>19</v>
      </c>
      <c r="AI494">
        <v>20</v>
      </c>
      <c r="AJ494">
        <v>1</v>
      </c>
      <c r="AK494">
        <v>11</v>
      </c>
      <c r="AL494" t="s">
        <v>92</v>
      </c>
      <c r="AM494" t="s">
        <v>93</v>
      </c>
      <c r="AN494" t="s">
        <v>94</v>
      </c>
      <c r="AO494" t="s">
        <v>290</v>
      </c>
      <c r="AP494" t="s">
        <v>291</v>
      </c>
      <c r="AQ494" t="s">
        <v>74</v>
      </c>
      <c r="AR494" t="s">
        <v>292</v>
      </c>
      <c r="AS494" t="s">
        <v>293</v>
      </c>
      <c r="AT494" t="s">
        <v>6088</v>
      </c>
      <c r="AU494">
        <v>2021</v>
      </c>
      <c r="AV494">
        <v>561</v>
      </c>
      <c r="AW494" t="s">
        <v>74</v>
      </c>
      <c r="AX494" t="s">
        <v>74</v>
      </c>
      <c r="AY494" t="s">
        <v>74</v>
      </c>
      <c r="AZ494" t="s">
        <v>74</v>
      </c>
      <c r="BA494" t="s">
        <v>74</v>
      </c>
      <c r="BB494" t="s">
        <v>74</v>
      </c>
      <c r="BC494" t="s">
        <v>74</v>
      </c>
      <c r="BD494">
        <v>110058</v>
      </c>
      <c r="BE494" t="s">
        <v>9776</v>
      </c>
      <c r="BF494" t="str">
        <f>HYPERLINK("http://dx.doi.org/10.1016/j.palaeo.2020.110058","http://dx.doi.org/10.1016/j.palaeo.2020.110058")</f>
        <v>http://dx.doi.org/10.1016/j.palaeo.2020.110058</v>
      </c>
      <c r="BG494" t="s">
        <v>74</v>
      </c>
      <c r="BH494" t="s">
        <v>74</v>
      </c>
      <c r="BI494">
        <v>37</v>
      </c>
      <c r="BJ494" t="s">
        <v>296</v>
      </c>
      <c r="BK494" t="s">
        <v>103</v>
      </c>
      <c r="BL494" t="s">
        <v>297</v>
      </c>
      <c r="BM494" t="s">
        <v>9763</v>
      </c>
      <c r="BN494" t="s">
        <v>74</v>
      </c>
      <c r="BO494" t="s">
        <v>218</v>
      </c>
      <c r="BP494" t="s">
        <v>74</v>
      </c>
      <c r="BQ494" t="s">
        <v>74</v>
      </c>
      <c r="BR494" t="s">
        <v>106</v>
      </c>
      <c r="BS494" t="s">
        <v>9777</v>
      </c>
      <c r="BT494" t="str">
        <f>HYPERLINK("https%3A%2F%2Fwww.webofscience.com%2Fwos%2Fwoscc%2Ffull-record%2FWOS:000595639600013","View Full Record in Web of Science")</f>
        <v>View Full Record in Web of Science</v>
      </c>
    </row>
    <row r="495" spans="1:72" x14ac:dyDescent="0.15">
      <c r="A495" t="s">
        <v>72</v>
      </c>
      <c r="B495" t="s">
        <v>9778</v>
      </c>
      <c r="C495" t="s">
        <v>74</v>
      </c>
      <c r="D495" t="s">
        <v>74</v>
      </c>
      <c r="E495" t="s">
        <v>74</v>
      </c>
      <c r="F495" t="s">
        <v>9779</v>
      </c>
      <c r="G495" t="s">
        <v>74</v>
      </c>
      <c r="H495" t="s">
        <v>74</v>
      </c>
      <c r="I495" t="s">
        <v>9780</v>
      </c>
      <c r="J495" t="s">
        <v>9781</v>
      </c>
      <c r="K495" t="s">
        <v>74</v>
      </c>
      <c r="L495" t="s">
        <v>74</v>
      </c>
      <c r="M495" t="s">
        <v>78</v>
      </c>
      <c r="N495" t="s">
        <v>79</v>
      </c>
      <c r="O495" t="s">
        <v>74</v>
      </c>
      <c r="P495" t="s">
        <v>74</v>
      </c>
      <c r="Q495" t="s">
        <v>74</v>
      </c>
      <c r="R495" t="s">
        <v>74</v>
      </c>
      <c r="S495" t="s">
        <v>74</v>
      </c>
      <c r="T495" t="s">
        <v>9782</v>
      </c>
      <c r="U495" t="s">
        <v>9783</v>
      </c>
      <c r="V495" t="s">
        <v>9784</v>
      </c>
      <c r="W495" t="s">
        <v>9785</v>
      </c>
      <c r="X495" t="s">
        <v>9786</v>
      </c>
      <c r="Y495" t="s">
        <v>9787</v>
      </c>
      <c r="Z495" t="s">
        <v>9788</v>
      </c>
      <c r="AA495" t="s">
        <v>9789</v>
      </c>
      <c r="AB495" t="s">
        <v>9790</v>
      </c>
      <c r="AC495" t="s">
        <v>9791</v>
      </c>
      <c r="AD495" t="s">
        <v>9792</v>
      </c>
      <c r="AE495" t="s">
        <v>9793</v>
      </c>
      <c r="AF495" t="s">
        <v>74</v>
      </c>
      <c r="AG495">
        <v>63</v>
      </c>
      <c r="AH495">
        <v>38</v>
      </c>
      <c r="AI495">
        <v>40</v>
      </c>
      <c r="AJ495">
        <v>11</v>
      </c>
      <c r="AK495">
        <v>85</v>
      </c>
      <c r="AL495" t="s">
        <v>3251</v>
      </c>
      <c r="AM495" t="s">
        <v>3252</v>
      </c>
      <c r="AN495" t="s">
        <v>3253</v>
      </c>
      <c r="AO495" t="s">
        <v>9794</v>
      </c>
      <c r="AP495" t="s">
        <v>9795</v>
      </c>
      <c r="AQ495" t="s">
        <v>74</v>
      </c>
      <c r="AR495" t="s">
        <v>9796</v>
      </c>
      <c r="AS495" t="s">
        <v>9797</v>
      </c>
      <c r="AT495" t="s">
        <v>374</v>
      </c>
      <c r="AU495">
        <v>2021</v>
      </c>
      <c r="AV495">
        <v>192</v>
      </c>
      <c r="AW495" t="s">
        <v>74</v>
      </c>
      <c r="AX495" t="s">
        <v>74</v>
      </c>
      <c r="AY495" t="s">
        <v>74</v>
      </c>
      <c r="AZ495" t="s">
        <v>74</v>
      </c>
      <c r="BA495" t="s">
        <v>74</v>
      </c>
      <c r="BB495" t="s">
        <v>74</v>
      </c>
      <c r="BC495" t="s">
        <v>74</v>
      </c>
      <c r="BD495">
        <v>110326</v>
      </c>
      <c r="BE495" t="s">
        <v>9798</v>
      </c>
      <c r="BF495" t="str">
        <f>HYPERLINK("http://dx.doi.org/10.1016/j.envres.2020.110326","http://dx.doi.org/10.1016/j.envres.2020.110326")</f>
        <v>http://dx.doi.org/10.1016/j.envres.2020.110326</v>
      </c>
      <c r="BG495" t="s">
        <v>74</v>
      </c>
      <c r="BH495" t="s">
        <v>74</v>
      </c>
      <c r="BI495">
        <v>12</v>
      </c>
      <c r="BJ495" t="s">
        <v>9799</v>
      </c>
      <c r="BK495" t="s">
        <v>103</v>
      </c>
      <c r="BL495" t="s">
        <v>9800</v>
      </c>
      <c r="BM495" t="s">
        <v>9801</v>
      </c>
      <c r="BN495">
        <v>33068580</v>
      </c>
      <c r="BO495" t="s">
        <v>1220</v>
      </c>
      <c r="BP495" t="s">
        <v>74</v>
      </c>
      <c r="BQ495" t="s">
        <v>74</v>
      </c>
      <c r="BR495" t="s">
        <v>106</v>
      </c>
      <c r="BS495" t="s">
        <v>9802</v>
      </c>
      <c r="BT495" t="str">
        <f>HYPERLINK("https%3A%2F%2Fwww.webofscience.com%2Fwos%2Fwoscc%2Ffull-record%2FWOS:000599705200005","View Full Record in Web of Science")</f>
        <v>View Full Record in Web of Science</v>
      </c>
    </row>
    <row r="496" spans="1:72" x14ac:dyDescent="0.15">
      <c r="A496" t="s">
        <v>72</v>
      </c>
      <c r="B496" t="s">
        <v>9803</v>
      </c>
      <c r="C496" t="s">
        <v>74</v>
      </c>
      <c r="D496" t="s">
        <v>74</v>
      </c>
      <c r="E496" t="s">
        <v>74</v>
      </c>
      <c r="F496" t="s">
        <v>9804</v>
      </c>
      <c r="G496" t="s">
        <v>74</v>
      </c>
      <c r="H496" t="s">
        <v>74</v>
      </c>
      <c r="I496" t="s">
        <v>9805</v>
      </c>
      <c r="J496" t="s">
        <v>331</v>
      </c>
      <c r="K496" t="s">
        <v>74</v>
      </c>
      <c r="L496" t="s">
        <v>74</v>
      </c>
      <c r="M496" t="s">
        <v>78</v>
      </c>
      <c r="N496" t="s">
        <v>79</v>
      </c>
      <c r="O496" t="s">
        <v>74</v>
      </c>
      <c r="P496" t="s">
        <v>74</v>
      </c>
      <c r="Q496" t="s">
        <v>74</v>
      </c>
      <c r="R496" t="s">
        <v>74</v>
      </c>
      <c r="S496" t="s">
        <v>74</v>
      </c>
      <c r="T496" t="s">
        <v>9806</v>
      </c>
      <c r="U496" t="s">
        <v>9807</v>
      </c>
      <c r="V496" t="s">
        <v>9808</v>
      </c>
      <c r="W496" t="s">
        <v>9809</v>
      </c>
      <c r="X496" t="s">
        <v>9810</v>
      </c>
      <c r="Y496" t="s">
        <v>9811</v>
      </c>
      <c r="Z496" t="s">
        <v>9812</v>
      </c>
      <c r="AA496" t="s">
        <v>8022</v>
      </c>
      <c r="AB496" t="s">
        <v>8023</v>
      </c>
      <c r="AC496" t="s">
        <v>9813</v>
      </c>
      <c r="AD496" t="s">
        <v>9814</v>
      </c>
      <c r="AE496" t="s">
        <v>9815</v>
      </c>
      <c r="AF496" t="s">
        <v>74</v>
      </c>
      <c r="AG496">
        <v>52</v>
      </c>
      <c r="AH496">
        <v>3</v>
      </c>
      <c r="AI496">
        <v>4</v>
      </c>
      <c r="AJ496">
        <v>1</v>
      </c>
      <c r="AK496">
        <v>30</v>
      </c>
      <c r="AL496" t="s">
        <v>92</v>
      </c>
      <c r="AM496" t="s">
        <v>93</v>
      </c>
      <c r="AN496" t="s">
        <v>94</v>
      </c>
      <c r="AO496" t="s">
        <v>343</v>
      </c>
      <c r="AP496" t="s">
        <v>344</v>
      </c>
      <c r="AQ496" t="s">
        <v>74</v>
      </c>
      <c r="AR496" t="s">
        <v>345</v>
      </c>
      <c r="AS496" t="s">
        <v>346</v>
      </c>
      <c r="AT496" t="s">
        <v>374</v>
      </c>
      <c r="AU496">
        <v>2021</v>
      </c>
      <c r="AV496">
        <v>181</v>
      </c>
      <c r="AW496" t="s">
        <v>74</v>
      </c>
      <c r="AX496" t="s">
        <v>74</v>
      </c>
      <c r="AY496" t="s">
        <v>74</v>
      </c>
      <c r="AZ496" t="s">
        <v>74</v>
      </c>
      <c r="BA496" t="s">
        <v>74</v>
      </c>
      <c r="BB496" t="s">
        <v>74</v>
      </c>
      <c r="BC496" t="s">
        <v>74</v>
      </c>
      <c r="BD496">
        <v>103177</v>
      </c>
      <c r="BE496" t="s">
        <v>9816</v>
      </c>
      <c r="BF496" t="str">
        <f>HYPERLINK("http://dx.doi.org/10.1016/j.coldregions.2020.103177","http://dx.doi.org/10.1016/j.coldregions.2020.103177")</f>
        <v>http://dx.doi.org/10.1016/j.coldregions.2020.103177</v>
      </c>
      <c r="BG496" t="s">
        <v>74</v>
      </c>
      <c r="BH496" t="s">
        <v>74</v>
      </c>
      <c r="BI496">
        <v>8</v>
      </c>
      <c r="BJ496" t="s">
        <v>349</v>
      </c>
      <c r="BK496" t="s">
        <v>103</v>
      </c>
      <c r="BL496" t="s">
        <v>350</v>
      </c>
      <c r="BM496" t="s">
        <v>9817</v>
      </c>
      <c r="BN496" t="s">
        <v>74</v>
      </c>
      <c r="BO496" t="s">
        <v>218</v>
      </c>
      <c r="BP496" t="s">
        <v>74</v>
      </c>
      <c r="BQ496" t="s">
        <v>74</v>
      </c>
      <c r="BR496" t="s">
        <v>106</v>
      </c>
      <c r="BS496" t="s">
        <v>9818</v>
      </c>
      <c r="BT496" t="str">
        <f>HYPERLINK("https%3A%2F%2Fwww.webofscience.com%2Fwos%2Fwoscc%2Ffull-record%2FWOS:000594784700003","View Full Record in Web of Science")</f>
        <v>View Full Record in Web of Science</v>
      </c>
    </row>
    <row r="497" spans="1:72" x14ac:dyDescent="0.15">
      <c r="A497" t="s">
        <v>72</v>
      </c>
      <c r="B497" t="s">
        <v>9819</v>
      </c>
      <c r="C497" t="s">
        <v>74</v>
      </c>
      <c r="D497" t="s">
        <v>74</v>
      </c>
      <c r="E497" t="s">
        <v>74</v>
      </c>
      <c r="F497" t="s">
        <v>9820</v>
      </c>
      <c r="G497" t="s">
        <v>74</v>
      </c>
      <c r="H497" t="s">
        <v>74</v>
      </c>
      <c r="I497" t="s">
        <v>9821</v>
      </c>
      <c r="J497" t="s">
        <v>9822</v>
      </c>
      <c r="K497" t="s">
        <v>74</v>
      </c>
      <c r="L497" t="s">
        <v>74</v>
      </c>
      <c r="M497" t="s">
        <v>78</v>
      </c>
      <c r="N497" t="s">
        <v>79</v>
      </c>
      <c r="O497" t="s">
        <v>74</v>
      </c>
      <c r="P497" t="s">
        <v>74</v>
      </c>
      <c r="Q497" t="s">
        <v>74</v>
      </c>
      <c r="R497" t="s">
        <v>74</v>
      </c>
      <c r="S497" t="s">
        <v>74</v>
      </c>
      <c r="T497" t="s">
        <v>9823</v>
      </c>
      <c r="U497" t="s">
        <v>9824</v>
      </c>
      <c r="V497" t="s">
        <v>9825</v>
      </c>
      <c r="W497" t="s">
        <v>9826</v>
      </c>
      <c r="X497" t="s">
        <v>9827</v>
      </c>
      <c r="Y497" t="s">
        <v>9828</v>
      </c>
      <c r="Z497" t="s">
        <v>9829</v>
      </c>
      <c r="AA497" t="s">
        <v>9830</v>
      </c>
      <c r="AB497" t="s">
        <v>74</v>
      </c>
      <c r="AC497" t="s">
        <v>9831</v>
      </c>
      <c r="AD497" t="s">
        <v>9832</v>
      </c>
      <c r="AE497" t="s">
        <v>9833</v>
      </c>
      <c r="AF497" t="s">
        <v>74</v>
      </c>
      <c r="AG497">
        <v>41</v>
      </c>
      <c r="AH497">
        <v>62</v>
      </c>
      <c r="AI497">
        <v>62</v>
      </c>
      <c r="AJ497">
        <v>59</v>
      </c>
      <c r="AK497">
        <v>261</v>
      </c>
      <c r="AL497" t="s">
        <v>92</v>
      </c>
      <c r="AM497" t="s">
        <v>93</v>
      </c>
      <c r="AN497" t="s">
        <v>94</v>
      </c>
      <c r="AO497" t="s">
        <v>9834</v>
      </c>
      <c r="AP497" t="s">
        <v>9835</v>
      </c>
      <c r="AQ497" t="s">
        <v>74</v>
      </c>
      <c r="AR497" t="s">
        <v>9836</v>
      </c>
      <c r="AS497" t="s">
        <v>9837</v>
      </c>
      <c r="AT497" t="s">
        <v>374</v>
      </c>
      <c r="AU497">
        <v>2021</v>
      </c>
      <c r="AV497">
        <v>70</v>
      </c>
      <c r="AW497" t="s">
        <v>74</v>
      </c>
      <c r="AX497" t="s">
        <v>74</v>
      </c>
      <c r="AY497" t="s">
        <v>74</v>
      </c>
      <c r="AZ497" t="s">
        <v>74</v>
      </c>
      <c r="BA497" t="s">
        <v>74</v>
      </c>
      <c r="BB497" t="s">
        <v>74</v>
      </c>
      <c r="BC497" t="s">
        <v>74</v>
      </c>
      <c r="BD497">
        <v>105294</v>
      </c>
      <c r="BE497" t="s">
        <v>9838</v>
      </c>
      <c r="BF497" t="str">
        <f>HYPERLINK("http://dx.doi.org/10.1016/j.ultsonch.2020.105294","http://dx.doi.org/10.1016/j.ultsonch.2020.105294")</f>
        <v>http://dx.doi.org/10.1016/j.ultsonch.2020.105294</v>
      </c>
      <c r="BG497" t="s">
        <v>74</v>
      </c>
      <c r="BH497" t="s">
        <v>74</v>
      </c>
      <c r="BI497">
        <v>8</v>
      </c>
      <c r="BJ497" t="s">
        <v>9839</v>
      </c>
      <c r="BK497" t="s">
        <v>103</v>
      </c>
      <c r="BL497" t="s">
        <v>9840</v>
      </c>
      <c r="BM497" t="s">
        <v>9841</v>
      </c>
      <c r="BN497">
        <v>32759019</v>
      </c>
      <c r="BO497" t="s">
        <v>1105</v>
      </c>
      <c r="BP497" t="s">
        <v>74</v>
      </c>
      <c r="BQ497" t="s">
        <v>74</v>
      </c>
      <c r="BR497" t="s">
        <v>106</v>
      </c>
      <c r="BS497" t="s">
        <v>9842</v>
      </c>
      <c r="BT497" t="str">
        <f>HYPERLINK("https%3A%2F%2Fwww.webofscience.com%2Fwos%2Fwoscc%2Ffull-record%2FWOS:000595254400004","View Full Record in Web of Science")</f>
        <v>View Full Record in Web of Science</v>
      </c>
    </row>
    <row r="498" spans="1:72" x14ac:dyDescent="0.15">
      <c r="A498" t="s">
        <v>72</v>
      </c>
      <c r="B498" t="s">
        <v>9843</v>
      </c>
      <c r="C498" t="s">
        <v>74</v>
      </c>
      <c r="D498" t="s">
        <v>74</v>
      </c>
      <c r="E498" t="s">
        <v>74</v>
      </c>
      <c r="F498" t="s">
        <v>9844</v>
      </c>
      <c r="G498" t="s">
        <v>74</v>
      </c>
      <c r="H498" t="s">
        <v>74</v>
      </c>
      <c r="I498" t="s">
        <v>9845</v>
      </c>
      <c r="J498" t="s">
        <v>9846</v>
      </c>
      <c r="K498" t="s">
        <v>74</v>
      </c>
      <c r="L498" t="s">
        <v>74</v>
      </c>
      <c r="M498" t="s">
        <v>78</v>
      </c>
      <c r="N498" t="s">
        <v>79</v>
      </c>
      <c r="O498" t="s">
        <v>74</v>
      </c>
      <c r="P498" t="s">
        <v>74</v>
      </c>
      <c r="Q498" t="s">
        <v>74</v>
      </c>
      <c r="R498" t="s">
        <v>74</v>
      </c>
      <c r="S498" t="s">
        <v>74</v>
      </c>
      <c r="T498" t="s">
        <v>9847</v>
      </c>
      <c r="U498" t="s">
        <v>9848</v>
      </c>
      <c r="V498" t="s">
        <v>9849</v>
      </c>
      <c r="W498" t="s">
        <v>9850</v>
      </c>
      <c r="X498" t="s">
        <v>9851</v>
      </c>
      <c r="Y498" t="s">
        <v>9852</v>
      </c>
      <c r="Z498" t="s">
        <v>9853</v>
      </c>
      <c r="AA498" t="s">
        <v>9854</v>
      </c>
      <c r="AB498" t="s">
        <v>9855</v>
      </c>
      <c r="AC498" t="s">
        <v>9856</v>
      </c>
      <c r="AD498" t="s">
        <v>9857</v>
      </c>
      <c r="AE498" t="s">
        <v>9858</v>
      </c>
      <c r="AF498" t="s">
        <v>74</v>
      </c>
      <c r="AG498">
        <v>61</v>
      </c>
      <c r="AH498">
        <v>11</v>
      </c>
      <c r="AI498">
        <v>13</v>
      </c>
      <c r="AJ498">
        <v>4</v>
      </c>
      <c r="AK498">
        <v>35</v>
      </c>
      <c r="AL498" t="s">
        <v>418</v>
      </c>
      <c r="AM498" t="s">
        <v>178</v>
      </c>
      <c r="AN498" t="s">
        <v>419</v>
      </c>
      <c r="AO498" t="s">
        <v>9859</v>
      </c>
      <c r="AP498" t="s">
        <v>9860</v>
      </c>
      <c r="AQ498" t="s">
        <v>74</v>
      </c>
      <c r="AR498" t="s">
        <v>9861</v>
      </c>
      <c r="AS498" t="s">
        <v>9862</v>
      </c>
      <c r="AT498" t="s">
        <v>6088</v>
      </c>
      <c r="AU498">
        <v>2021</v>
      </c>
      <c r="AV498">
        <v>119</v>
      </c>
      <c r="AW498" t="s">
        <v>74</v>
      </c>
      <c r="AX498" t="s">
        <v>74</v>
      </c>
      <c r="AY498" t="s">
        <v>74</v>
      </c>
      <c r="AZ498" t="s">
        <v>74</v>
      </c>
      <c r="BA498" t="s">
        <v>74</v>
      </c>
      <c r="BB498">
        <v>72</v>
      </c>
      <c r="BC498">
        <v>81</v>
      </c>
      <c r="BD498" t="s">
        <v>74</v>
      </c>
      <c r="BE498" t="s">
        <v>9863</v>
      </c>
      <c r="BF498" t="str">
        <f>HYPERLINK("http://dx.doi.org/10.1016/j.wasman.2020.09.031","http://dx.doi.org/10.1016/j.wasman.2020.09.031")</f>
        <v>http://dx.doi.org/10.1016/j.wasman.2020.09.031</v>
      </c>
      <c r="BG498" t="s">
        <v>74</v>
      </c>
      <c r="BH498" t="s">
        <v>74</v>
      </c>
      <c r="BI498">
        <v>10</v>
      </c>
      <c r="BJ498" t="s">
        <v>2195</v>
      </c>
      <c r="BK498" t="s">
        <v>103</v>
      </c>
      <c r="BL498" t="s">
        <v>2196</v>
      </c>
      <c r="BM498" t="s">
        <v>9864</v>
      </c>
      <c r="BN498">
        <v>33045489</v>
      </c>
      <c r="BO498" t="s">
        <v>74</v>
      </c>
      <c r="BP498" t="s">
        <v>74</v>
      </c>
      <c r="BQ498" t="s">
        <v>74</v>
      </c>
      <c r="BR498" t="s">
        <v>106</v>
      </c>
      <c r="BS498" t="s">
        <v>9865</v>
      </c>
      <c r="BT498" t="str">
        <f>HYPERLINK("https%3A%2F%2Fwww.webofscience.com%2Fwos%2Fwoscc%2Ffull-record%2FWOS:000599766200007","View Full Record in Web of Science")</f>
        <v>View Full Record in Web of Science</v>
      </c>
    </row>
    <row r="499" spans="1:72" x14ac:dyDescent="0.15">
      <c r="A499" t="s">
        <v>4529</v>
      </c>
      <c r="B499" t="s">
        <v>9866</v>
      </c>
      <c r="C499" t="s">
        <v>74</v>
      </c>
      <c r="D499" t="s">
        <v>74</v>
      </c>
      <c r="E499" t="s">
        <v>4644</v>
      </c>
      <c r="F499" t="s">
        <v>9867</v>
      </c>
      <c r="G499" t="s">
        <v>74</v>
      </c>
      <c r="H499" t="s">
        <v>74</v>
      </c>
      <c r="I499" t="s">
        <v>9868</v>
      </c>
      <c r="J499" t="s">
        <v>9869</v>
      </c>
      <c r="K499" t="s">
        <v>74</v>
      </c>
      <c r="L499" t="s">
        <v>74</v>
      </c>
      <c r="M499" t="s">
        <v>78</v>
      </c>
      <c r="N499" t="s">
        <v>4535</v>
      </c>
      <c r="O499" t="s">
        <v>9870</v>
      </c>
      <c r="P499" t="s">
        <v>5095</v>
      </c>
      <c r="Q499" t="s">
        <v>9871</v>
      </c>
      <c r="R499" t="s">
        <v>74</v>
      </c>
      <c r="S499" t="s">
        <v>74</v>
      </c>
      <c r="T499" t="s">
        <v>9872</v>
      </c>
      <c r="U499" t="s">
        <v>74</v>
      </c>
      <c r="V499" t="s">
        <v>9873</v>
      </c>
      <c r="W499" t="s">
        <v>9874</v>
      </c>
      <c r="X499" t="s">
        <v>9875</v>
      </c>
      <c r="Y499" t="s">
        <v>9876</v>
      </c>
      <c r="Z499" t="s">
        <v>9877</v>
      </c>
      <c r="AA499" t="s">
        <v>74</v>
      </c>
      <c r="AB499" t="s">
        <v>74</v>
      </c>
      <c r="AC499" t="s">
        <v>74</v>
      </c>
      <c r="AD499" t="s">
        <v>74</v>
      </c>
      <c r="AE499" t="s">
        <v>74</v>
      </c>
      <c r="AF499" t="s">
        <v>74</v>
      </c>
      <c r="AG499">
        <v>6</v>
      </c>
      <c r="AH499">
        <v>0</v>
      </c>
      <c r="AI499">
        <v>0</v>
      </c>
      <c r="AJ499">
        <v>0</v>
      </c>
      <c r="AK499">
        <v>1</v>
      </c>
      <c r="AL499" t="s">
        <v>4644</v>
      </c>
      <c r="AM499" t="s">
        <v>473</v>
      </c>
      <c r="AN499" t="s">
        <v>4662</v>
      </c>
      <c r="AO499" t="s">
        <v>74</v>
      </c>
      <c r="AP499" t="s">
        <v>74</v>
      </c>
      <c r="AQ499" t="s">
        <v>9878</v>
      </c>
      <c r="AR499" t="s">
        <v>74</v>
      </c>
      <c r="AS499" t="s">
        <v>74</v>
      </c>
      <c r="AT499" t="s">
        <v>74</v>
      </c>
      <c r="AU499">
        <v>2021</v>
      </c>
      <c r="AV499" t="s">
        <v>74</v>
      </c>
      <c r="AW499" t="s">
        <v>74</v>
      </c>
      <c r="AX499" t="s">
        <v>74</v>
      </c>
      <c r="AY499" t="s">
        <v>74</v>
      </c>
      <c r="AZ499" t="s">
        <v>74</v>
      </c>
      <c r="BA499" t="s">
        <v>74</v>
      </c>
      <c r="BB499">
        <v>160</v>
      </c>
      <c r="BC499">
        <v>163</v>
      </c>
      <c r="BD499" t="s">
        <v>74</v>
      </c>
      <c r="BE499" t="s">
        <v>9879</v>
      </c>
      <c r="BF499" t="str">
        <f>HYPERLINK("http://dx.doi.org/10.1109/RADECS53308.2021.9954471","http://dx.doi.org/10.1109/RADECS53308.2021.9954471")</f>
        <v>http://dx.doi.org/10.1109/RADECS53308.2021.9954471</v>
      </c>
      <c r="BG499" t="s">
        <v>74</v>
      </c>
      <c r="BH499" t="s">
        <v>74</v>
      </c>
      <c r="BI499">
        <v>4</v>
      </c>
      <c r="BJ499" t="s">
        <v>9880</v>
      </c>
      <c r="BK499" t="s">
        <v>4553</v>
      </c>
      <c r="BL499" t="s">
        <v>9881</v>
      </c>
      <c r="BM499" t="s">
        <v>9882</v>
      </c>
      <c r="BN499" t="s">
        <v>74</v>
      </c>
      <c r="BO499" t="s">
        <v>74</v>
      </c>
      <c r="BP499" t="s">
        <v>74</v>
      </c>
      <c r="BQ499" t="s">
        <v>74</v>
      </c>
      <c r="BR499" t="s">
        <v>106</v>
      </c>
      <c r="BS499" t="s">
        <v>9883</v>
      </c>
      <c r="BT499" t="str">
        <f>HYPERLINK("https%3A%2F%2Fwww.webofscience.com%2Fwos%2Fwoscc%2Ffull-record%2FWOS:000904311100031","View Full Record in Web of Science")</f>
        <v>View Full Record in Web of Science</v>
      </c>
    </row>
    <row r="500" spans="1:72" x14ac:dyDescent="0.15">
      <c r="A500" t="s">
        <v>4529</v>
      </c>
      <c r="B500" t="s">
        <v>9884</v>
      </c>
      <c r="C500" t="s">
        <v>74</v>
      </c>
      <c r="D500" t="s">
        <v>9885</v>
      </c>
      <c r="E500" t="s">
        <v>74</v>
      </c>
      <c r="F500" t="s">
        <v>9886</v>
      </c>
      <c r="G500" t="s">
        <v>74</v>
      </c>
      <c r="H500" t="s">
        <v>74</v>
      </c>
      <c r="I500" t="s">
        <v>9887</v>
      </c>
      <c r="J500" t="s">
        <v>9888</v>
      </c>
      <c r="K500" t="s">
        <v>74</v>
      </c>
      <c r="L500" t="s">
        <v>74</v>
      </c>
      <c r="M500" t="s">
        <v>78</v>
      </c>
      <c r="N500" t="s">
        <v>4535</v>
      </c>
      <c r="O500" t="s">
        <v>9889</v>
      </c>
      <c r="P500" t="s">
        <v>9890</v>
      </c>
      <c r="Q500" t="s">
        <v>9891</v>
      </c>
      <c r="R500" t="s">
        <v>74</v>
      </c>
      <c r="S500" t="s">
        <v>74</v>
      </c>
      <c r="T500" t="s">
        <v>74</v>
      </c>
      <c r="U500" t="s">
        <v>74</v>
      </c>
      <c r="V500" t="s">
        <v>9892</v>
      </c>
      <c r="W500" t="s">
        <v>9893</v>
      </c>
      <c r="X500" t="s">
        <v>9894</v>
      </c>
      <c r="Y500" t="s">
        <v>9895</v>
      </c>
      <c r="Z500" t="s">
        <v>9896</v>
      </c>
      <c r="AA500" t="s">
        <v>9897</v>
      </c>
      <c r="AB500" t="s">
        <v>9898</v>
      </c>
      <c r="AC500" t="s">
        <v>74</v>
      </c>
      <c r="AD500" t="s">
        <v>74</v>
      </c>
      <c r="AE500" t="s">
        <v>74</v>
      </c>
      <c r="AF500" t="s">
        <v>74</v>
      </c>
      <c r="AG500">
        <v>7</v>
      </c>
      <c r="AH500">
        <v>0</v>
      </c>
      <c r="AI500">
        <v>0</v>
      </c>
      <c r="AJ500">
        <v>0</v>
      </c>
      <c r="AK500">
        <v>0</v>
      </c>
      <c r="AL500" t="s">
        <v>9899</v>
      </c>
      <c r="AM500" t="s">
        <v>9900</v>
      </c>
      <c r="AN500" t="s">
        <v>9901</v>
      </c>
      <c r="AO500" t="s">
        <v>74</v>
      </c>
      <c r="AP500" t="s">
        <v>74</v>
      </c>
      <c r="AQ500" t="s">
        <v>74</v>
      </c>
      <c r="AR500" t="s">
        <v>74</v>
      </c>
      <c r="AS500" t="s">
        <v>74</v>
      </c>
      <c r="AT500" t="s">
        <v>74</v>
      </c>
      <c r="AU500">
        <v>2021</v>
      </c>
      <c r="AV500" t="s">
        <v>74</v>
      </c>
      <c r="AW500" t="s">
        <v>74</v>
      </c>
      <c r="AX500" t="s">
        <v>74</v>
      </c>
      <c r="AY500" t="s">
        <v>74</v>
      </c>
      <c r="AZ500" t="s">
        <v>74</v>
      </c>
      <c r="BA500" t="s">
        <v>74</v>
      </c>
      <c r="BB500" t="s">
        <v>74</v>
      </c>
      <c r="BC500" t="s">
        <v>74</v>
      </c>
      <c r="BD500">
        <v>121</v>
      </c>
      <c r="BE500" t="s">
        <v>74</v>
      </c>
      <c r="BF500" t="s">
        <v>74</v>
      </c>
      <c r="BG500" t="s">
        <v>74</v>
      </c>
      <c r="BH500" t="s">
        <v>74</v>
      </c>
      <c r="BI500">
        <v>8</v>
      </c>
      <c r="BJ500" t="s">
        <v>9902</v>
      </c>
      <c r="BK500" t="s">
        <v>4553</v>
      </c>
      <c r="BL500" t="s">
        <v>9903</v>
      </c>
      <c r="BM500" t="s">
        <v>9904</v>
      </c>
      <c r="BN500" t="s">
        <v>74</v>
      </c>
      <c r="BO500" t="s">
        <v>74</v>
      </c>
      <c r="BP500" t="s">
        <v>74</v>
      </c>
      <c r="BQ500" t="s">
        <v>74</v>
      </c>
      <c r="BR500" t="s">
        <v>106</v>
      </c>
      <c r="BS500" t="s">
        <v>9905</v>
      </c>
      <c r="BT500" t="str">
        <f>HYPERLINK("https%3A%2F%2Fwww.webofscience.com%2Fwos%2Fwoscc%2Ffull-record%2FWOS:001070848401119","View Full Record in Web of Science")</f>
        <v>View Full Record in Web of Science</v>
      </c>
    </row>
    <row r="501" spans="1:72" x14ac:dyDescent="0.15">
      <c r="A501" t="s">
        <v>4529</v>
      </c>
      <c r="B501" t="s">
        <v>9906</v>
      </c>
      <c r="C501" t="s">
        <v>74</v>
      </c>
      <c r="D501" t="s">
        <v>9885</v>
      </c>
      <c r="E501" t="s">
        <v>74</v>
      </c>
      <c r="F501" t="s">
        <v>9907</v>
      </c>
      <c r="G501" t="s">
        <v>74</v>
      </c>
      <c r="H501" t="s">
        <v>74</v>
      </c>
      <c r="I501" t="s">
        <v>9908</v>
      </c>
      <c r="J501" t="s">
        <v>9888</v>
      </c>
      <c r="K501" t="s">
        <v>74</v>
      </c>
      <c r="L501" t="s">
        <v>74</v>
      </c>
      <c r="M501" t="s">
        <v>78</v>
      </c>
      <c r="N501" t="s">
        <v>4535</v>
      </c>
      <c r="O501" t="s">
        <v>9889</v>
      </c>
      <c r="P501" t="s">
        <v>9890</v>
      </c>
      <c r="Q501" t="s">
        <v>9891</v>
      </c>
      <c r="R501" t="s">
        <v>74</v>
      </c>
      <c r="S501" t="s">
        <v>74</v>
      </c>
      <c r="T501" t="s">
        <v>74</v>
      </c>
      <c r="U501" t="s">
        <v>74</v>
      </c>
      <c r="V501" t="s">
        <v>9909</v>
      </c>
      <c r="W501" t="s">
        <v>9910</v>
      </c>
      <c r="X501" t="s">
        <v>9911</v>
      </c>
      <c r="Y501" t="s">
        <v>9912</v>
      </c>
      <c r="Z501" t="s">
        <v>74</v>
      </c>
      <c r="AA501" t="s">
        <v>74</v>
      </c>
      <c r="AB501" t="s">
        <v>74</v>
      </c>
      <c r="AC501" t="s">
        <v>9913</v>
      </c>
      <c r="AD501" t="s">
        <v>9914</v>
      </c>
      <c r="AE501" t="s">
        <v>9915</v>
      </c>
      <c r="AF501" t="s">
        <v>74</v>
      </c>
      <c r="AG501">
        <v>36</v>
      </c>
      <c r="AH501">
        <v>0</v>
      </c>
      <c r="AI501">
        <v>0</v>
      </c>
      <c r="AJ501">
        <v>0</v>
      </c>
      <c r="AK501">
        <v>0</v>
      </c>
      <c r="AL501" t="s">
        <v>9899</v>
      </c>
      <c r="AM501" t="s">
        <v>9900</v>
      </c>
      <c r="AN501" t="s">
        <v>9901</v>
      </c>
      <c r="AO501" t="s">
        <v>74</v>
      </c>
      <c r="AP501" t="s">
        <v>74</v>
      </c>
      <c r="AQ501" t="s">
        <v>74</v>
      </c>
      <c r="AR501" t="s">
        <v>74</v>
      </c>
      <c r="AS501" t="s">
        <v>74</v>
      </c>
      <c r="AT501" t="s">
        <v>74</v>
      </c>
      <c r="AU501">
        <v>2021</v>
      </c>
      <c r="AV501" t="s">
        <v>74</v>
      </c>
      <c r="AW501" t="s">
        <v>74</v>
      </c>
      <c r="AX501" t="s">
        <v>74</v>
      </c>
      <c r="AY501" t="s">
        <v>74</v>
      </c>
      <c r="AZ501" t="s">
        <v>74</v>
      </c>
      <c r="BA501" t="s">
        <v>74</v>
      </c>
      <c r="BB501" t="s">
        <v>74</v>
      </c>
      <c r="BC501" t="s">
        <v>74</v>
      </c>
      <c r="BD501">
        <v>884</v>
      </c>
      <c r="BE501" t="s">
        <v>74</v>
      </c>
      <c r="BF501" t="s">
        <v>74</v>
      </c>
      <c r="BG501" t="s">
        <v>74</v>
      </c>
      <c r="BH501" t="s">
        <v>74</v>
      </c>
      <c r="BI501">
        <v>7</v>
      </c>
      <c r="BJ501" t="s">
        <v>9902</v>
      </c>
      <c r="BK501" t="s">
        <v>4553</v>
      </c>
      <c r="BL501" t="s">
        <v>9903</v>
      </c>
      <c r="BM501" t="s">
        <v>9904</v>
      </c>
      <c r="BN501" t="s">
        <v>74</v>
      </c>
      <c r="BO501" t="s">
        <v>74</v>
      </c>
      <c r="BP501" t="s">
        <v>74</v>
      </c>
      <c r="BQ501" t="s">
        <v>74</v>
      </c>
      <c r="BR501" t="s">
        <v>106</v>
      </c>
      <c r="BS501" t="s">
        <v>9916</v>
      </c>
      <c r="BT501" t="str">
        <f>HYPERLINK("https%3A%2F%2Fwww.webofscience.com%2Fwos%2Fwoscc%2Ffull-record%2FWOS:001070848406051","View Full Record in Web of Science")</f>
        <v>View Full Record in Web of Science</v>
      </c>
    </row>
    <row r="502" spans="1:72" x14ac:dyDescent="0.15">
      <c r="A502" t="s">
        <v>4529</v>
      </c>
      <c r="B502" t="s">
        <v>9917</v>
      </c>
      <c r="C502" t="s">
        <v>74</v>
      </c>
      <c r="D502" t="s">
        <v>9885</v>
      </c>
      <c r="E502" t="s">
        <v>74</v>
      </c>
      <c r="F502" t="s">
        <v>9918</v>
      </c>
      <c r="G502" t="s">
        <v>74</v>
      </c>
      <c r="H502" t="s">
        <v>74</v>
      </c>
      <c r="I502" t="s">
        <v>9919</v>
      </c>
      <c r="J502" t="s">
        <v>9888</v>
      </c>
      <c r="K502" t="s">
        <v>74</v>
      </c>
      <c r="L502" t="s">
        <v>74</v>
      </c>
      <c r="M502" t="s">
        <v>78</v>
      </c>
      <c r="N502" t="s">
        <v>4535</v>
      </c>
      <c r="O502" t="s">
        <v>9889</v>
      </c>
      <c r="P502" t="s">
        <v>9890</v>
      </c>
      <c r="Q502" t="s">
        <v>9891</v>
      </c>
      <c r="R502" t="s">
        <v>74</v>
      </c>
      <c r="S502" t="s">
        <v>74</v>
      </c>
      <c r="T502" t="s">
        <v>74</v>
      </c>
      <c r="U502" t="s">
        <v>74</v>
      </c>
      <c r="V502" t="s">
        <v>9920</v>
      </c>
      <c r="W502" t="s">
        <v>9921</v>
      </c>
      <c r="X502" t="s">
        <v>9922</v>
      </c>
      <c r="Y502" t="s">
        <v>9923</v>
      </c>
      <c r="Z502" t="s">
        <v>9924</v>
      </c>
      <c r="AA502" t="s">
        <v>9925</v>
      </c>
      <c r="AB502" t="s">
        <v>9926</v>
      </c>
      <c r="AC502" t="s">
        <v>9927</v>
      </c>
      <c r="AD502" t="s">
        <v>9928</v>
      </c>
      <c r="AE502" t="s">
        <v>9929</v>
      </c>
      <c r="AF502" t="s">
        <v>74</v>
      </c>
      <c r="AG502">
        <v>7</v>
      </c>
      <c r="AH502">
        <v>0</v>
      </c>
      <c r="AI502">
        <v>0</v>
      </c>
      <c r="AJ502">
        <v>0</v>
      </c>
      <c r="AK502">
        <v>0</v>
      </c>
      <c r="AL502" t="s">
        <v>9899</v>
      </c>
      <c r="AM502" t="s">
        <v>9900</v>
      </c>
      <c r="AN502" t="s">
        <v>9901</v>
      </c>
      <c r="AO502" t="s">
        <v>74</v>
      </c>
      <c r="AP502" t="s">
        <v>74</v>
      </c>
      <c r="AQ502" t="s">
        <v>74</v>
      </c>
      <c r="AR502" t="s">
        <v>74</v>
      </c>
      <c r="AS502" t="s">
        <v>74</v>
      </c>
      <c r="AT502" t="s">
        <v>74</v>
      </c>
      <c r="AU502">
        <v>2021</v>
      </c>
      <c r="AV502" t="s">
        <v>74</v>
      </c>
      <c r="AW502" t="s">
        <v>74</v>
      </c>
      <c r="AX502" t="s">
        <v>74</v>
      </c>
      <c r="AY502" t="s">
        <v>74</v>
      </c>
      <c r="AZ502" t="s">
        <v>74</v>
      </c>
      <c r="BA502" t="s">
        <v>74</v>
      </c>
      <c r="BB502" t="s">
        <v>74</v>
      </c>
      <c r="BC502" t="s">
        <v>74</v>
      </c>
      <c r="BD502">
        <v>180</v>
      </c>
      <c r="BE502" t="s">
        <v>74</v>
      </c>
      <c r="BF502" t="s">
        <v>74</v>
      </c>
      <c r="BG502" t="s">
        <v>74</v>
      </c>
      <c r="BH502" t="s">
        <v>74</v>
      </c>
      <c r="BI502">
        <v>8</v>
      </c>
      <c r="BJ502" t="s">
        <v>9902</v>
      </c>
      <c r="BK502" t="s">
        <v>4553</v>
      </c>
      <c r="BL502" t="s">
        <v>9903</v>
      </c>
      <c r="BM502" t="s">
        <v>9904</v>
      </c>
      <c r="BN502" t="s">
        <v>74</v>
      </c>
      <c r="BO502" t="s">
        <v>74</v>
      </c>
      <c r="BP502" t="s">
        <v>74</v>
      </c>
      <c r="BQ502" t="s">
        <v>74</v>
      </c>
      <c r="BR502" t="s">
        <v>106</v>
      </c>
      <c r="BS502" t="s">
        <v>9930</v>
      </c>
      <c r="BT502" t="str">
        <f>HYPERLINK("https%3A%2F%2Fwww.webofscience.com%2Fwos%2Fwoscc%2Ffull-record%2FWOS:001070848402028","View Full Record in Web of Science")</f>
        <v>View Full Record in Web of Science</v>
      </c>
    </row>
    <row r="503" spans="1:72" x14ac:dyDescent="0.15">
      <c r="A503" t="s">
        <v>4529</v>
      </c>
      <c r="B503" t="s">
        <v>9931</v>
      </c>
      <c r="C503" t="s">
        <v>74</v>
      </c>
      <c r="D503" t="s">
        <v>9885</v>
      </c>
      <c r="E503" t="s">
        <v>74</v>
      </c>
      <c r="F503" t="s">
        <v>9932</v>
      </c>
      <c r="G503" t="s">
        <v>74</v>
      </c>
      <c r="H503" t="s">
        <v>9933</v>
      </c>
      <c r="I503" t="s">
        <v>9934</v>
      </c>
      <c r="J503" t="s">
        <v>9888</v>
      </c>
      <c r="K503" t="s">
        <v>74</v>
      </c>
      <c r="L503" t="s">
        <v>74</v>
      </c>
      <c r="M503" t="s">
        <v>78</v>
      </c>
      <c r="N503" t="s">
        <v>4535</v>
      </c>
      <c r="O503" t="s">
        <v>9889</v>
      </c>
      <c r="P503" t="s">
        <v>9890</v>
      </c>
      <c r="Q503" t="s">
        <v>9891</v>
      </c>
      <c r="R503" t="s">
        <v>74</v>
      </c>
      <c r="S503" t="s">
        <v>74</v>
      </c>
      <c r="T503" t="s">
        <v>74</v>
      </c>
      <c r="U503" t="s">
        <v>9935</v>
      </c>
      <c r="V503" t="s">
        <v>9936</v>
      </c>
      <c r="W503" t="s">
        <v>9937</v>
      </c>
      <c r="X503" t="s">
        <v>9938</v>
      </c>
      <c r="Y503" t="s">
        <v>9939</v>
      </c>
      <c r="Z503" t="s">
        <v>9940</v>
      </c>
      <c r="AA503" t="s">
        <v>74</v>
      </c>
      <c r="AB503" t="s">
        <v>74</v>
      </c>
      <c r="AC503" t="s">
        <v>74</v>
      </c>
      <c r="AD503" t="s">
        <v>74</v>
      </c>
      <c r="AE503" t="s">
        <v>74</v>
      </c>
      <c r="AF503" t="s">
        <v>74</v>
      </c>
      <c r="AG503">
        <v>31</v>
      </c>
      <c r="AH503">
        <v>0</v>
      </c>
      <c r="AI503">
        <v>0</v>
      </c>
      <c r="AJ503">
        <v>0</v>
      </c>
      <c r="AK503">
        <v>0</v>
      </c>
      <c r="AL503" t="s">
        <v>9899</v>
      </c>
      <c r="AM503" t="s">
        <v>9900</v>
      </c>
      <c r="AN503" t="s">
        <v>9901</v>
      </c>
      <c r="AO503" t="s">
        <v>74</v>
      </c>
      <c r="AP503" t="s">
        <v>74</v>
      </c>
      <c r="AQ503" t="s">
        <v>74</v>
      </c>
      <c r="AR503" t="s">
        <v>74</v>
      </c>
      <c r="AS503" t="s">
        <v>74</v>
      </c>
      <c r="AT503" t="s">
        <v>74</v>
      </c>
      <c r="AU503">
        <v>2021</v>
      </c>
      <c r="AV503" t="s">
        <v>74</v>
      </c>
      <c r="AW503" t="s">
        <v>74</v>
      </c>
      <c r="AX503" t="s">
        <v>74</v>
      </c>
      <c r="AY503" t="s">
        <v>74</v>
      </c>
      <c r="AZ503" t="s">
        <v>74</v>
      </c>
      <c r="BA503" t="s">
        <v>74</v>
      </c>
      <c r="BB503" t="s">
        <v>74</v>
      </c>
      <c r="BC503" t="s">
        <v>74</v>
      </c>
      <c r="BD503">
        <v>981</v>
      </c>
      <c r="BE503" t="s">
        <v>74</v>
      </c>
      <c r="BF503" t="s">
        <v>74</v>
      </c>
      <c r="BG503" t="s">
        <v>74</v>
      </c>
      <c r="BH503" t="s">
        <v>74</v>
      </c>
      <c r="BI503">
        <v>8</v>
      </c>
      <c r="BJ503" t="s">
        <v>9902</v>
      </c>
      <c r="BK503" t="s">
        <v>4553</v>
      </c>
      <c r="BL503" t="s">
        <v>9903</v>
      </c>
      <c r="BM503" t="s">
        <v>9904</v>
      </c>
      <c r="BN503" t="s">
        <v>74</v>
      </c>
      <c r="BO503" t="s">
        <v>74</v>
      </c>
      <c r="BP503" t="s">
        <v>74</v>
      </c>
      <c r="BQ503" t="s">
        <v>74</v>
      </c>
      <c r="BR503" t="s">
        <v>106</v>
      </c>
      <c r="BS503" t="s">
        <v>9941</v>
      </c>
      <c r="BT503" t="str">
        <f>HYPERLINK("https%3A%2F%2Fwww.webofscience.com%2Fwos%2Fwoscc%2Ffull-record%2FWOS:001070848407003","View Full Record in Web of Science")</f>
        <v>View Full Record in Web of Science</v>
      </c>
    </row>
    <row r="504" spans="1:72" x14ac:dyDescent="0.15">
      <c r="A504" t="s">
        <v>4529</v>
      </c>
      <c r="B504" t="s">
        <v>9942</v>
      </c>
      <c r="C504" t="s">
        <v>74</v>
      </c>
      <c r="D504" t="s">
        <v>9885</v>
      </c>
      <c r="E504" t="s">
        <v>74</v>
      </c>
      <c r="F504" t="s">
        <v>9943</v>
      </c>
      <c r="G504" t="s">
        <v>74</v>
      </c>
      <c r="H504" t="s">
        <v>9944</v>
      </c>
      <c r="I504" t="s">
        <v>9945</v>
      </c>
      <c r="J504" t="s">
        <v>9888</v>
      </c>
      <c r="K504" t="s">
        <v>74</v>
      </c>
      <c r="L504" t="s">
        <v>74</v>
      </c>
      <c r="M504" t="s">
        <v>78</v>
      </c>
      <c r="N504" t="s">
        <v>4535</v>
      </c>
      <c r="O504" t="s">
        <v>9889</v>
      </c>
      <c r="P504" t="s">
        <v>9890</v>
      </c>
      <c r="Q504" t="s">
        <v>9891</v>
      </c>
      <c r="R504" t="s">
        <v>74</v>
      </c>
      <c r="S504" t="s">
        <v>74</v>
      </c>
      <c r="T504" t="s">
        <v>74</v>
      </c>
      <c r="U504" t="s">
        <v>74</v>
      </c>
      <c r="V504" t="s">
        <v>9946</v>
      </c>
      <c r="W504" t="s">
        <v>9947</v>
      </c>
      <c r="X504" t="s">
        <v>9948</v>
      </c>
      <c r="Y504" t="s">
        <v>9949</v>
      </c>
      <c r="Z504" t="s">
        <v>9950</v>
      </c>
      <c r="AA504" t="s">
        <v>9951</v>
      </c>
      <c r="AB504" t="s">
        <v>9952</v>
      </c>
      <c r="AC504" t="s">
        <v>74</v>
      </c>
      <c r="AD504" t="s">
        <v>74</v>
      </c>
      <c r="AE504" t="s">
        <v>74</v>
      </c>
      <c r="AF504" t="s">
        <v>74</v>
      </c>
      <c r="AG504">
        <v>10</v>
      </c>
      <c r="AH504">
        <v>0</v>
      </c>
      <c r="AI504">
        <v>0</v>
      </c>
      <c r="AJ504">
        <v>0</v>
      </c>
      <c r="AK504">
        <v>0</v>
      </c>
      <c r="AL504" t="s">
        <v>9899</v>
      </c>
      <c r="AM504" t="s">
        <v>9900</v>
      </c>
      <c r="AN504" t="s">
        <v>9901</v>
      </c>
      <c r="AO504" t="s">
        <v>74</v>
      </c>
      <c r="AP504" t="s">
        <v>74</v>
      </c>
      <c r="AQ504" t="s">
        <v>74</v>
      </c>
      <c r="AR504" t="s">
        <v>74</v>
      </c>
      <c r="AS504" t="s">
        <v>74</v>
      </c>
      <c r="AT504" t="s">
        <v>74</v>
      </c>
      <c r="AU504">
        <v>2021</v>
      </c>
      <c r="AV504" t="s">
        <v>74</v>
      </c>
      <c r="AW504" t="s">
        <v>74</v>
      </c>
      <c r="AX504" t="s">
        <v>74</v>
      </c>
      <c r="AY504" t="s">
        <v>74</v>
      </c>
      <c r="AZ504" t="s">
        <v>74</v>
      </c>
      <c r="BA504" t="s">
        <v>74</v>
      </c>
      <c r="BB504" t="s">
        <v>74</v>
      </c>
      <c r="BC504" t="s">
        <v>74</v>
      </c>
      <c r="BD504">
        <v>1059</v>
      </c>
      <c r="BE504" t="s">
        <v>74</v>
      </c>
      <c r="BF504" t="s">
        <v>74</v>
      </c>
      <c r="BG504" t="s">
        <v>74</v>
      </c>
      <c r="BH504" t="s">
        <v>74</v>
      </c>
      <c r="BI504">
        <v>8</v>
      </c>
      <c r="BJ504" t="s">
        <v>9902</v>
      </c>
      <c r="BK504" t="s">
        <v>4553</v>
      </c>
      <c r="BL504" t="s">
        <v>9903</v>
      </c>
      <c r="BM504" t="s">
        <v>9904</v>
      </c>
      <c r="BN504" t="s">
        <v>74</v>
      </c>
      <c r="BO504" t="s">
        <v>74</v>
      </c>
      <c r="BP504" t="s">
        <v>74</v>
      </c>
      <c r="BQ504" t="s">
        <v>74</v>
      </c>
      <c r="BR504" t="s">
        <v>106</v>
      </c>
      <c r="BS504" t="s">
        <v>9953</v>
      </c>
      <c r="BT504" t="str">
        <f>HYPERLINK("https%3A%2F%2Fwww.webofscience.com%2Fwos%2Fwoscc%2Ffull-record%2FWOS:001070848401016","View Full Record in Web of Science")</f>
        <v>View Full Record in Web of Science</v>
      </c>
    </row>
    <row r="505" spans="1:72" x14ac:dyDescent="0.15">
      <c r="A505" t="s">
        <v>4529</v>
      </c>
      <c r="B505" t="s">
        <v>9954</v>
      </c>
      <c r="C505" t="s">
        <v>74</v>
      </c>
      <c r="D505" t="s">
        <v>9885</v>
      </c>
      <c r="E505" t="s">
        <v>74</v>
      </c>
      <c r="F505" t="s">
        <v>9955</v>
      </c>
      <c r="G505" t="s">
        <v>74</v>
      </c>
      <c r="H505" t="s">
        <v>74</v>
      </c>
      <c r="I505" t="s">
        <v>9956</v>
      </c>
      <c r="J505" t="s">
        <v>9888</v>
      </c>
      <c r="K505" t="s">
        <v>74</v>
      </c>
      <c r="L505" t="s">
        <v>74</v>
      </c>
      <c r="M505" t="s">
        <v>78</v>
      </c>
      <c r="N505" t="s">
        <v>4535</v>
      </c>
      <c r="O505" t="s">
        <v>9889</v>
      </c>
      <c r="P505" t="s">
        <v>9890</v>
      </c>
      <c r="Q505" t="s">
        <v>9891</v>
      </c>
      <c r="R505" t="s">
        <v>74</v>
      </c>
      <c r="S505" t="s">
        <v>74</v>
      </c>
      <c r="T505" t="s">
        <v>74</v>
      </c>
      <c r="U505" t="s">
        <v>74</v>
      </c>
      <c r="V505" t="s">
        <v>9957</v>
      </c>
      <c r="W505" t="s">
        <v>9958</v>
      </c>
      <c r="X505" t="s">
        <v>9959</v>
      </c>
      <c r="Y505" t="s">
        <v>9949</v>
      </c>
      <c r="Z505" t="s">
        <v>9950</v>
      </c>
      <c r="AA505" t="s">
        <v>9960</v>
      </c>
      <c r="AB505" t="s">
        <v>9961</v>
      </c>
      <c r="AC505" t="s">
        <v>9962</v>
      </c>
      <c r="AD505" t="s">
        <v>9963</v>
      </c>
      <c r="AE505" t="s">
        <v>9964</v>
      </c>
      <c r="AF505" t="s">
        <v>74</v>
      </c>
      <c r="AG505">
        <v>8</v>
      </c>
      <c r="AH505">
        <v>0</v>
      </c>
      <c r="AI505">
        <v>0</v>
      </c>
      <c r="AJ505">
        <v>0</v>
      </c>
      <c r="AK505">
        <v>0</v>
      </c>
      <c r="AL505" t="s">
        <v>9899</v>
      </c>
      <c r="AM505" t="s">
        <v>9900</v>
      </c>
      <c r="AN505" t="s">
        <v>9901</v>
      </c>
      <c r="AO505" t="s">
        <v>74</v>
      </c>
      <c r="AP505" t="s">
        <v>74</v>
      </c>
      <c r="AQ505" t="s">
        <v>74</v>
      </c>
      <c r="AR505" t="s">
        <v>74</v>
      </c>
      <c r="AS505" t="s">
        <v>74</v>
      </c>
      <c r="AT505" t="s">
        <v>74</v>
      </c>
      <c r="AU505">
        <v>2021</v>
      </c>
      <c r="AV505" t="s">
        <v>74</v>
      </c>
      <c r="AW505" t="s">
        <v>74</v>
      </c>
      <c r="AX505" t="s">
        <v>74</v>
      </c>
      <c r="AY505" t="s">
        <v>74</v>
      </c>
      <c r="AZ505" t="s">
        <v>74</v>
      </c>
      <c r="BA505" t="s">
        <v>74</v>
      </c>
      <c r="BB505" t="s">
        <v>74</v>
      </c>
      <c r="BC505" t="s">
        <v>74</v>
      </c>
      <c r="BD505">
        <v>1060</v>
      </c>
      <c r="BE505" t="s">
        <v>74</v>
      </c>
      <c r="BF505" t="s">
        <v>74</v>
      </c>
      <c r="BG505" t="s">
        <v>74</v>
      </c>
      <c r="BH505" t="s">
        <v>74</v>
      </c>
      <c r="BI505">
        <v>8</v>
      </c>
      <c r="BJ505" t="s">
        <v>9902</v>
      </c>
      <c r="BK505" t="s">
        <v>4553</v>
      </c>
      <c r="BL505" t="s">
        <v>9903</v>
      </c>
      <c r="BM505" t="s">
        <v>9904</v>
      </c>
      <c r="BN505" t="s">
        <v>74</v>
      </c>
      <c r="BO505" t="s">
        <v>74</v>
      </c>
      <c r="BP505" t="s">
        <v>74</v>
      </c>
      <c r="BQ505" t="s">
        <v>74</v>
      </c>
      <c r="BR505" t="s">
        <v>106</v>
      </c>
      <c r="BS505" t="s">
        <v>9965</v>
      </c>
      <c r="BT505" t="str">
        <f>HYPERLINK("https%3A%2F%2Fwww.webofscience.com%2Fwos%2Fwoscc%2Ffull-record%2FWOS:001070848401017","View Full Record in Web of Science")</f>
        <v>View Full Record in Web of Science</v>
      </c>
    </row>
    <row r="506" spans="1:72" x14ac:dyDescent="0.15">
      <c r="A506" t="s">
        <v>4529</v>
      </c>
      <c r="B506" t="s">
        <v>9966</v>
      </c>
      <c r="C506" t="s">
        <v>74</v>
      </c>
      <c r="D506" t="s">
        <v>9885</v>
      </c>
      <c r="E506" t="s">
        <v>74</v>
      </c>
      <c r="F506" t="s">
        <v>9967</v>
      </c>
      <c r="G506" t="s">
        <v>74</v>
      </c>
      <c r="H506" t="s">
        <v>74</v>
      </c>
      <c r="I506" t="s">
        <v>9968</v>
      </c>
      <c r="J506" t="s">
        <v>9888</v>
      </c>
      <c r="K506" t="s">
        <v>74</v>
      </c>
      <c r="L506" t="s">
        <v>74</v>
      </c>
      <c r="M506" t="s">
        <v>78</v>
      </c>
      <c r="N506" t="s">
        <v>4535</v>
      </c>
      <c r="O506" t="s">
        <v>9889</v>
      </c>
      <c r="P506" t="s">
        <v>9890</v>
      </c>
      <c r="Q506" t="s">
        <v>9891</v>
      </c>
      <c r="R506" t="s">
        <v>74</v>
      </c>
      <c r="S506" t="s">
        <v>74</v>
      </c>
      <c r="T506" t="s">
        <v>74</v>
      </c>
      <c r="U506" t="s">
        <v>74</v>
      </c>
      <c r="V506" t="s">
        <v>9969</v>
      </c>
      <c r="W506" t="s">
        <v>9970</v>
      </c>
      <c r="X506" t="s">
        <v>9971</v>
      </c>
      <c r="Y506" t="s">
        <v>9972</v>
      </c>
      <c r="Z506" t="s">
        <v>9973</v>
      </c>
      <c r="AA506" t="s">
        <v>74</v>
      </c>
      <c r="AB506" t="s">
        <v>74</v>
      </c>
      <c r="AC506" t="s">
        <v>9974</v>
      </c>
      <c r="AD506" t="s">
        <v>74</v>
      </c>
      <c r="AE506" t="s">
        <v>9975</v>
      </c>
      <c r="AF506" t="s">
        <v>74</v>
      </c>
      <c r="AG506">
        <v>7</v>
      </c>
      <c r="AH506">
        <v>0</v>
      </c>
      <c r="AI506">
        <v>0</v>
      </c>
      <c r="AJ506">
        <v>0</v>
      </c>
      <c r="AK506">
        <v>0</v>
      </c>
      <c r="AL506" t="s">
        <v>9899</v>
      </c>
      <c r="AM506" t="s">
        <v>9900</v>
      </c>
      <c r="AN506" t="s">
        <v>9901</v>
      </c>
      <c r="AO506" t="s">
        <v>74</v>
      </c>
      <c r="AP506" t="s">
        <v>74</v>
      </c>
      <c r="AQ506" t="s">
        <v>74</v>
      </c>
      <c r="AR506" t="s">
        <v>74</v>
      </c>
      <c r="AS506" t="s">
        <v>74</v>
      </c>
      <c r="AT506" t="s">
        <v>74</v>
      </c>
      <c r="AU506">
        <v>2021</v>
      </c>
      <c r="AV506" t="s">
        <v>74</v>
      </c>
      <c r="AW506" t="s">
        <v>74</v>
      </c>
      <c r="AX506" t="s">
        <v>74</v>
      </c>
      <c r="AY506" t="s">
        <v>74</v>
      </c>
      <c r="AZ506" t="s">
        <v>74</v>
      </c>
      <c r="BA506" t="s">
        <v>74</v>
      </c>
      <c r="BB506" t="s">
        <v>74</v>
      </c>
      <c r="BC506" t="s">
        <v>74</v>
      </c>
      <c r="BD506">
        <v>419</v>
      </c>
      <c r="BE506" t="s">
        <v>74</v>
      </c>
      <c r="BF506" t="s">
        <v>74</v>
      </c>
      <c r="BG506" t="s">
        <v>74</v>
      </c>
      <c r="BH506" t="s">
        <v>74</v>
      </c>
      <c r="BI506">
        <v>7</v>
      </c>
      <c r="BJ506" t="s">
        <v>9902</v>
      </c>
      <c r="BK506" t="s">
        <v>4553</v>
      </c>
      <c r="BL506" t="s">
        <v>9903</v>
      </c>
      <c r="BM506" t="s">
        <v>9904</v>
      </c>
      <c r="BN506" t="s">
        <v>74</v>
      </c>
      <c r="BO506" t="s">
        <v>74</v>
      </c>
      <c r="BP506" t="s">
        <v>74</v>
      </c>
      <c r="BQ506" t="s">
        <v>74</v>
      </c>
      <c r="BR506" t="s">
        <v>106</v>
      </c>
      <c r="BS506" t="s">
        <v>9976</v>
      </c>
      <c r="BT506" t="str">
        <f>HYPERLINK("https%3A%2F%2Fwww.webofscience.com%2Fwos%2Fwoscc%2Ffull-record%2FWOS:001070848403098","View Full Record in Web of Science")</f>
        <v>View Full Record in Web of Science</v>
      </c>
    </row>
    <row r="507" spans="1:72" x14ac:dyDescent="0.15">
      <c r="A507" t="s">
        <v>4529</v>
      </c>
      <c r="B507" t="s">
        <v>9977</v>
      </c>
      <c r="C507" t="s">
        <v>74</v>
      </c>
      <c r="D507" t="s">
        <v>9885</v>
      </c>
      <c r="E507" t="s">
        <v>74</v>
      </c>
      <c r="F507" t="s">
        <v>9978</v>
      </c>
      <c r="G507" t="s">
        <v>74</v>
      </c>
      <c r="H507" t="s">
        <v>9979</v>
      </c>
      <c r="I507" t="s">
        <v>9980</v>
      </c>
      <c r="J507" t="s">
        <v>9888</v>
      </c>
      <c r="K507" t="s">
        <v>74</v>
      </c>
      <c r="L507" t="s">
        <v>74</v>
      </c>
      <c r="M507" t="s">
        <v>78</v>
      </c>
      <c r="N507" t="s">
        <v>4535</v>
      </c>
      <c r="O507" t="s">
        <v>9889</v>
      </c>
      <c r="P507" t="s">
        <v>9890</v>
      </c>
      <c r="Q507" t="s">
        <v>9891</v>
      </c>
      <c r="R507" t="s">
        <v>74</v>
      </c>
      <c r="S507" t="s">
        <v>74</v>
      </c>
      <c r="T507" t="s">
        <v>74</v>
      </c>
      <c r="U507" t="s">
        <v>9981</v>
      </c>
      <c r="V507" t="s">
        <v>9982</v>
      </c>
      <c r="W507" t="s">
        <v>9983</v>
      </c>
      <c r="X507" t="s">
        <v>9984</v>
      </c>
      <c r="Y507" t="s">
        <v>9985</v>
      </c>
      <c r="Z507" t="s">
        <v>9986</v>
      </c>
      <c r="AA507" t="s">
        <v>74</v>
      </c>
      <c r="AB507" t="s">
        <v>74</v>
      </c>
      <c r="AC507" t="s">
        <v>9987</v>
      </c>
      <c r="AD507" t="s">
        <v>9987</v>
      </c>
      <c r="AE507" t="s">
        <v>9988</v>
      </c>
      <c r="AF507" t="s">
        <v>74</v>
      </c>
      <c r="AG507">
        <v>27</v>
      </c>
      <c r="AH507">
        <v>0</v>
      </c>
      <c r="AI507">
        <v>0</v>
      </c>
      <c r="AJ507">
        <v>0</v>
      </c>
      <c r="AK507">
        <v>0</v>
      </c>
      <c r="AL507" t="s">
        <v>9899</v>
      </c>
      <c r="AM507" t="s">
        <v>9900</v>
      </c>
      <c r="AN507" t="s">
        <v>9901</v>
      </c>
      <c r="AO507" t="s">
        <v>74</v>
      </c>
      <c r="AP507" t="s">
        <v>74</v>
      </c>
      <c r="AQ507" t="s">
        <v>74</v>
      </c>
      <c r="AR507" t="s">
        <v>74</v>
      </c>
      <c r="AS507" t="s">
        <v>74</v>
      </c>
      <c r="AT507" t="s">
        <v>74</v>
      </c>
      <c r="AU507">
        <v>2021</v>
      </c>
      <c r="AV507" t="s">
        <v>74</v>
      </c>
      <c r="AW507" t="s">
        <v>74</v>
      </c>
      <c r="AX507" t="s">
        <v>74</v>
      </c>
      <c r="AY507" t="s">
        <v>74</v>
      </c>
      <c r="AZ507" t="s">
        <v>74</v>
      </c>
      <c r="BA507" t="s">
        <v>74</v>
      </c>
      <c r="BB507" t="s">
        <v>74</v>
      </c>
      <c r="BC507" t="s">
        <v>74</v>
      </c>
      <c r="BD507">
        <v>412</v>
      </c>
      <c r="BE507" t="s">
        <v>74</v>
      </c>
      <c r="BF507" t="s">
        <v>74</v>
      </c>
      <c r="BG507" t="s">
        <v>74</v>
      </c>
      <c r="BH507" t="s">
        <v>74</v>
      </c>
      <c r="BI507">
        <v>9</v>
      </c>
      <c r="BJ507" t="s">
        <v>9902</v>
      </c>
      <c r="BK507" t="s">
        <v>4553</v>
      </c>
      <c r="BL507" t="s">
        <v>9903</v>
      </c>
      <c r="BM507" t="s">
        <v>9904</v>
      </c>
      <c r="BN507" t="s">
        <v>74</v>
      </c>
      <c r="BO507" t="s">
        <v>74</v>
      </c>
      <c r="BP507" t="s">
        <v>74</v>
      </c>
      <c r="BQ507" t="s">
        <v>74</v>
      </c>
      <c r="BR507" t="s">
        <v>106</v>
      </c>
      <c r="BS507" t="s">
        <v>9989</v>
      </c>
      <c r="BT507" t="str">
        <f>HYPERLINK("https%3A%2F%2Fwww.webofscience.com%2Fwos%2Fwoscc%2Ffull-record%2FWOS:001070848403091","View Full Record in Web of Science")</f>
        <v>View Full Record in Web of Science</v>
      </c>
    </row>
    <row r="508" spans="1:72" x14ac:dyDescent="0.15">
      <c r="A508" t="s">
        <v>4529</v>
      </c>
      <c r="B508" t="s">
        <v>9990</v>
      </c>
      <c r="C508" t="s">
        <v>74</v>
      </c>
      <c r="D508" t="s">
        <v>9885</v>
      </c>
      <c r="E508" t="s">
        <v>74</v>
      </c>
      <c r="F508" t="s">
        <v>9991</v>
      </c>
      <c r="G508" t="s">
        <v>74</v>
      </c>
      <c r="H508" t="s">
        <v>9992</v>
      </c>
      <c r="I508" t="s">
        <v>9993</v>
      </c>
      <c r="J508" t="s">
        <v>9888</v>
      </c>
      <c r="K508" t="s">
        <v>74</v>
      </c>
      <c r="L508" t="s">
        <v>74</v>
      </c>
      <c r="M508" t="s">
        <v>78</v>
      </c>
      <c r="N508" t="s">
        <v>4535</v>
      </c>
      <c r="O508" t="s">
        <v>9889</v>
      </c>
      <c r="P508" t="s">
        <v>9890</v>
      </c>
      <c r="Q508" t="s">
        <v>9891</v>
      </c>
      <c r="R508" t="s">
        <v>74</v>
      </c>
      <c r="S508" t="s">
        <v>74</v>
      </c>
      <c r="T508" t="s">
        <v>74</v>
      </c>
      <c r="U508" t="s">
        <v>74</v>
      </c>
      <c r="V508" t="s">
        <v>9994</v>
      </c>
      <c r="W508" t="s">
        <v>9995</v>
      </c>
      <c r="X508" t="s">
        <v>9996</v>
      </c>
      <c r="Y508" t="s">
        <v>9997</v>
      </c>
      <c r="Z508" t="s">
        <v>9998</v>
      </c>
      <c r="AA508" t="s">
        <v>74</v>
      </c>
      <c r="AB508" t="s">
        <v>74</v>
      </c>
      <c r="AC508" t="s">
        <v>9999</v>
      </c>
      <c r="AD508" t="s">
        <v>10000</v>
      </c>
      <c r="AE508" t="s">
        <v>10001</v>
      </c>
      <c r="AF508" t="s">
        <v>74</v>
      </c>
      <c r="AG508">
        <v>20</v>
      </c>
      <c r="AH508">
        <v>0</v>
      </c>
      <c r="AI508">
        <v>0</v>
      </c>
      <c r="AJ508">
        <v>0</v>
      </c>
      <c r="AK508">
        <v>0</v>
      </c>
      <c r="AL508" t="s">
        <v>9899</v>
      </c>
      <c r="AM508" t="s">
        <v>9900</v>
      </c>
      <c r="AN508" t="s">
        <v>9901</v>
      </c>
      <c r="AO508" t="s">
        <v>74</v>
      </c>
      <c r="AP508" t="s">
        <v>74</v>
      </c>
      <c r="AQ508" t="s">
        <v>74</v>
      </c>
      <c r="AR508" t="s">
        <v>74</v>
      </c>
      <c r="AS508" t="s">
        <v>74</v>
      </c>
      <c r="AT508" t="s">
        <v>74</v>
      </c>
      <c r="AU508">
        <v>2021</v>
      </c>
      <c r="AV508" t="s">
        <v>74</v>
      </c>
      <c r="AW508" t="s">
        <v>74</v>
      </c>
      <c r="AX508" t="s">
        <v>74</v>
      </c>
      <c r="AY508" t="s">
        <v>74</v>
      </c>
      <c r="AZ508" t="s">
        <v>74</v>
      </c>
      <c r="BA508" t="s">
        <v>74</v>
      </c>
      <c r="BB508" t="s">
        <v>74</v>
      </c>
      <c r="BC508" t="s">
        <v>74</v>
      </c>
      <c r="BD508">
        <v>858</v>
      </c>
      <c r="BE508" t="s">
        <v>74</v>
      </c>
      <c r="BF508" t="s">
        <v>74</v>
      </c>
      <c r="BG508" t="s">
        <v>74</v>
      </c>
      <c r="BH508" t="s">
        <v>74</v>
      </c>
      <c r="BI508">
        <v>8</v>
      </c>
      <c r="BJ508" t="s">
        <v>9902</v>
      </c>
      <c r="BK508" t="s">
        <v>4553</v>
      </c>
      <c r="BL508" t="s">
        <v>9903</v>
      </c>
      <c r="BM508" t="s">
        <v>9904</v>
      </c>
      <c r="BN508" t="s">
        <v>74</v>
      </c>
      <c r="BO508" t="s">
        <v>74</v>
      </c>
      <c r="BP508" t="s">
        <v>74</v>
      </c>
      <c r="BQ508" t="s">
        <v>74</v>
      </c>
      <c r="BR508" t="s">
        <v>106</v>
      </c>
      <c r="BS508" t="s">
        <v>10002</v>
      </c>
      <c r="BT508" t="str">
        <f>HYPERLINK("https%3A%2F%2Fwww.webofscience.com%2Fwos%2Fwoscc%2Ffull-record%2FWOS:001070848406031","View Full Record in Web of Science")</f>
        <v>View Full Record in Web of Science</v>
      </c>
    </row>
    <row r="509" spans="1:72" x14ac:dyDescent="0.15">
      <c r="A509" t="s">
        <v>4529</v>
      </c>
      <c r="B509" t="s">
        <v>10003</v>
      </c>
      <c r="C509" t="s">
        <v>74</v>
      </c>
      <c r="D509" t="s">
        <v>9885</v>
      </c>
      <c r="E509" t="s">
        <v>74</v>
      </c>
      <c r="F509" t="s">
        <v>10004</v>
      </c>
      <c r="G509" t="s">
        <v>74</v>
      </c>
      <c r="H509" t="s">
        <v>10005</v>
      </c>
      <c r="I509" t="s">
        <v>10006</v>
      </c>
      <c r="J509" t="s">
        <v>9888</v>
      </c>
      <c r="K509" t="s">
        <v>74</v>
      </c>
      <c r="L509" t="s">
        <v>74</v>
      </c>
      <c r="M509" t="s">
        <v>78</v>
      </c>
      <c r="N509" t="s">
        <v>4535</v>
      </c>
      <c r="O509" t="s">
        <v>9889</v>
      </c>
      <c r="P509" t="s">
        <v>9890</v>
      </c>
      <c r="Q509" t="s">
        <v>9891</v>
      </c>
      <c r="R509" t="s">
        <v>74</v>
      </c>
      <c r="S509" t="s">
        <v>74</v>
      </c>
      <c r="T509" t="s">
        <v>74</v>
      </c>
      <c r="U509" t="s">
        <v>10007</v>
      </c>
      <c r="V509" t="s">
        <v>10008</v>
      </c>
      <c r="W509" t="s">
        <v>10009</v>
      </c>
      <c r="X509" t="s">
        <v>10010</v>
      </c>
      <c r="Y509" t="s">
        <v>10011</v>
      </c>
      <c r="Z509" t="s">
        <v>10012</v>
      </c>
      <c r="AA509" t="s">
        <v>74</v>
      </c>
      <c r="AB509" t="s">
        <v>74</v>
      </c>
      <c r="AC509" t="s">
        <v>10013</v>
      </c>
      <c r="AD509" t="s">
        <v>10014</v>
      </c>
      <c r="AE509" t="s">
        <v>10015</v>
      </c>
      <c r="AF509" t="s">
        <v>74</v>
      </c>
      <c r="AG509">
        <v>25</v>
      </c>
      <c r="AH509">
        <v>0</v>
      </c>
      <c r="AI509">
        <v>0</v>
      </c>
      <c r="AJ509">
        <v>0</v>
      </c>
      <c r="AK509">
        <v>0</v>
      </c>
      <c r="AL509" t="s">
        <v>9899</v>
      </c>
      <c r="AM509" t="s">
        <v>9900</v>
      </c>
      <c r="AN509" t="s">
        <v>9901</v>
      </c>
      <c r="AO509" t="s">
        <v>74</v>
      </c>
      <c r="AP509" t="s">
        <v>74</v>
      </c>
      <c r="AQ509" t="s">
        <v>74</v>
      </c>
      <c r="AR509" t="s">
        <v>74</v>
      </c>
      <c r="AS509" t="s">
        <v>74</v>
      </c>
      <c r="AT509" t="s">
        <v>74</v>
      </c>
      <c r="AU509">
        <v>2021</v>
      </c>
      <c r="AV509" t="s">
        <v>74</v>
      </c>
      <c r="AW509" t="s">
        <v>74</v>
      </c>
      <c r="AX509" t="s">
        <v>74</v>
      </c>
      <c r="AY509" t="s">
        <v>74</v>
      </c>
      <c r="AZ509" t="s">
        <v>74</v>
      </c>
      <c r="BA509" t="s">
        <v>74</v>
      </c>
      <c r="BB509" t="s">
        <v>74</v>
      </c>
      <c r="BC509" t="s">
        <v>74</v>
      </c>
      <c r="BD509">
        <v>867</v>
      </c>
      <c r="BE509" t="s">
        <v>74</v>
      </c>
      <c r="BF509" t="s">
        <v>74</v>
      </c>
      <c r="BG509" t="s">
        <v>74</v>
      </c>
      <c r="BH509" t="s">
        <v>74</v>
      </c>
      <c r="BI509">
        <v>8</v>
      </c>
      <c r="BJ509" t="s">
        <v>9902</v>
      </c>
      <c r="BK509" t="s">
        <v>4553</v>
      </c>
      <c r="BL509" t="s">
        <v>9903</v>
      </c>
      <c r="BM509" t="s">
        <v>9904</v>
      </c>
      <c r="BN509" t="s">
        <v>74</v>
      </c>
      <c r="BO509" t="s">
        <v>74</v>
      </c>
      <c r="BP509" t="s">
        <v>74</v>
      </c>
      <c r="BQ509" t="s">
        <v>74</v>
      </c>
      <c r="BR509" t="s">
        <v>106</v>
      </c>
      <c r="BS509" t="s">
        <v>10016</v>
      </c>
      <c r="BT509" t="str">
        <f>HYPERLINK("https%3A%2F%2Fwww.webofscience.com%2Fwos%2Fwoscc%2Ffull-record%2FWOS:001070848406038","View Full Record in Web of Science")</f>
        <v>View Full Record in Web of Science</v>
      </c>
    </row>
    <row r="510" spans="1:72" x14ac:dyDescent="0.15">
      <c r="A510" t="s">
        <v>4529</v>
      </c>
      <c r="B510" t="s">
        <v>10017</v>
      </c>
      <c r="C510" t="s">
        <v>74</v>
      </c>
      <c r="D510" t="s">
        <v>9885</v>
      </c>
      <c r="E510" t="s">
        <v>74</v>
      </c>
      <c r="F510" t="s">
        <v>10018</v>
      </c>
      <c r="G510" t="s">
        <v>74</v>
      </c>
      <c r="H510" t="s">
        <v>9933</v>
      </c>
      <c r="I510" t="s">
        <v>10019</v>
      </c>
      <c r="J510" t="s">
        <v>9888</v>
      </c>
      <c r="K510" t="s">
        <v>74</v>
      </c>
      <c r="L510" t="s">
        <v>74</v>
      </c>
      <c r="M510" t="s">
        <v>78</v>
      </c>
      <c r="N510" t="s">
        <v>4535</v>
      </c>
      <c r="O510" t="s">
        <v>9889</v>
      </c>
      <c r="P510" t="s">
        <v>9890</v>
      </c>
      <c r="Q510" t="s">
        <v>9891</v>
      </c>
      <c r="R510" t="s">
        <v>74</v>
      </c>
      <c r="S510" t="s">
        <v>74</v>
      </c>
      <c r="T510" t="s">
        <v>74</v>
      </c>
      <c r="U510" t="s">
        <v>10020</v>
      </c>
      <c r="V510" t="s">
        <v>10021</v>
      </c>
      <c r="W510" t="s">
        <v>10022</v>
      </c>
      <c r="X510" t="s">
        <v>10023</v>
      </c>
      <c r="Y510" t="s">
        <v>10024</v>
      </c>
      <c r="Z510" t="s">
        <v>10025</v>
      </c>
      <c r="AA510" t="s">
        <v>74</v>
      </c>
      <c r="AB510" t="s">
        <v>74</v>
      </c>
      <c r="AC510" t="s">
        <v>74</v>
      </c>
      <c r="AD510" t="s">
        <v>74</v>
      </c>
      <c r="AE510" t="s">
        <v>74</v>
      </c>
      <c r="AF510" t="s">
        <v>74</v>
      </c>
      <c r="AG510">
        <v>11</v>
      </c>
      <c r="AH510">
        <v>0</v>
      </c>
      <c r="AI510">
        <v>0</v>
      </c>
      <c r="AJ510">
        <v>0</v>
      </c>
      <c r="AK510">
        <v>0</v>
      </c>
      <c r="AL510" t="s">
        <v>9899</v>
      </c>
      <c r="AM510" t="s">
        <v>9900</v>
      </c>
      <c r="AN510" t="s">
        <v>9901</v>
      </c>
      <c r="AO510" t="s">
        <v>74</v>
      </c>
      <c r="AP510" t="s">
        <v>74</v>
      </c>
      <c r="AQ510" t="s">
        <v>74</v>
      </c>
      <c r="AR510" t="s">
        <v>74</v>
      </c>
      <c r="AS510" t="s">
        <v>74</v>
      </c>
      <c r="AT510" t="s">
        <v>74</v>
      </c>
      <c r="AU510">
        <v>2021</v>
      </c>
      <c r="AV510" t="s">
        <v>74</v>
      </c>
      <c r="AW510" t="s">
        <v>74</v>
      </c>
      <c r="AX510" t="s">
        <v>74</v>
      </c>
      <c r="AY510" t="s">
        <v>74</v>
      </c>
      <c r="AZ510" t="s">
        <v>74</v>
      </c>
      <c r="BA510" t="s">
        <v>74</v>
      </c>
      <c r="BB510" t="s">
        <v>74</v>
      </c>
      <c r="BC510" t="s">
        <v>74</v>
      </c>
      <c r="BD510">
        <v>926</v>
      </c>
      <c r="BE510" t="s">
        <v>74</v>
      </c>
      <c r="BF510" t="s">
        <v>74</v>
      </c>
      <c r="BG510" t="s">
        <v>74</v>
      </c>
      <c r="BH510" t="s">
        <v>74</v>
      </c>
      <c r="BI510">
        <v>8</v>
      </c>
      <c r="BJ510" t="s">
        <v>9902</v>
      </c>
      <c r="BK510" t="s">
        <v>4553</v>
      </c>
      <c r="BL510" t="s">
        <v>9903</v>
      </c>
      <c r="BM510" t="s">
        <v>9904</v>
      </c>
      <c r="BN510" t="s">
        <v>74</v>
      </c>
      <c r="BO510" t="s">
        <v>74</v>
      </c>
      <c r="BP510" t="s">
        <v>74</v>
      </c>
      <c r="BQ510" t="s">
        <v>74</v>
      </c>
      <c r="BR510" t="s">
        <v>106</v>
      </c>
      <c r="BS510" t="s">
        <v>10026</v>
      </c>
      <c r="BT510" t="str">
        <f>HYPERLINK("https%3A%2F%2Fwww.webofscience.com%2Fwos%2Fwoscc%2Ffull-record%2FWOS:001070848406085","View Full Record in Web of Science")</f>
        <v>View Full Record in Web of Science</v>
      </c>
    </row>
    <row r="511" spans="1:72" x14ac:dyDescent="0.15">
      <c r="A511" t="s">
        <v>4529</v>
      </c>
      <c r="B511" t="s">
        <v>10027</v>
      </c>
      <c r="C511" t="s">
        <v>74</v>
      </c>
      <c r="D511" t="s">
        <v>9885</v>
      </c>
      <c r="E511" t="s">
        <v>74</v>
      </c>
      <c r="F511" t="s">
        <v>10028</v>
      </c>
      <c r="G511" t="s">
        <v>74</v>
      </c>
      <c r="H511" t="s">
        <v>9933</v>
      </c>
      <c r="I511" t="s">
        <v>10029</v>
      </c>
      <c r="J511" t="s">
        <v>9888</v>
      </c>
      <c r="K511" t="s">
        <v>74</v>
      </c>
      <c r="L511" t="s">
        <v>74</v>
      </c>
      <c r="M511" t="s">
        <v>78</v>
      </c>
      <c r="N511" t="s">
        <v>4535</v>
      </c>
      <c r="O511" t="s">
        <v>9889</v>
      </c>
      <c r="P511" t="s">
        <v>9890</v>
      </c>
      <c r="Q511" t="s">
        <v>9891</v>
      </c>
      <c r="R511" t="s">
        <v>74</v>
      </c>
      <c r="S511" t="s">
        <v>74</v>
      </c>
      <c r="T511" t="s">
        <v>74</v>
      </c>
      <c r="U511" t="s">
        <v>74</v>
      </c>
      <c r="V511" t="s">
        <v>10030</v>
      </c>
      <c r="W511" t="s">
        <v>10031</v>
      </c>
      <c r="X511" t="s">
        <v>10032</v>
      </c>
      <c r="Y511" t="s">
        <v>10033</v>
      </c>
      <c r="Z511" t="s">
        <v>10034</v>
      </c>
      <c r="AA511" t="s">
        <v>74</v>
      </c>
      <c r="AB511" t="s">
        <v>74</v>
      </c>
      <c r="AC511" t="s">
        <v>10035</v>
      </c>
      <c r="AD511" t="s">
        <v>10036</v>
      </c>
      <c r="AE511" t="s">
        <v>10037</v>
      </c>
      <c r="AF511" t="s">
        <v>74</v>
      </c>
      <c r="AG511">
        <v>9</v>
      </c>
      <c r="AH511">
        <v>0</v>
      </c>
      <c r="AI511">
        <v>0</v>
      </c>
      <c r="AJ511">
        <v>0</v>
      </c>
      <c r="AK511">
        <v>0</v>
      </c>
      <c r="AL511" t="s">
        <v>9899</v>
      </c>
      <c r="AM511" t="s">
        <v>9900</v>
      </c>
      <c r="AN511" t="s">
        <v>9901</v>
      </c>
      <c r="AO511" t="s">
        <v>74</v>
      </c>
      <c r="AP511" t="s">
        <v>74</v>
      </c>
      <c r="AQ511" t="s">
        <v>74</v>
      </c>
      <c r="AR511" t="s">
        <v>74</v>
      </c>
      <c r="AS511" t="s">
        <v>74</v>
      </c>
      <c r="AT511" t="s">
        <v>74</v>
      </c>
      <c r="AU511">
        <v>2021</v>
      </c>
      <c r="AV511" t="s">
        <v>74</v>
      </c>
      <c r="AW511" t="s">
        <v>74</v>
      </c>
      <c r="AX511" t="s">
        <v>74</v>
      </c>
      <c r="AY511" t="s">
        <v>74</v>
      </c>
      <c r="AZ511" t="s">
        <v>74</v>
      </c>
      <c r="BA511" t="s">
        <v>74</v>
      </c>
      <c r="BB511" t="s">
        <v>74</v>
      </c>
      <c r="BC511" t="s">
        <v>74</v>
      </c>
      <c r="BD511">
        <v>887</v>
      </c>
      <c r="BE511" t="s">
        <v>74</v>
      </c>
      <c r="BF511" t="s">
        <v>74</v>
      </c>
      <c r="BG511" t="s">
        <v>74</v>
      </c>
      <c r="BH511" t="s">
        <v>74</v>
      </c>
      <c r="BI511">
        <v>8</v>
      </c>
      <c r="BJ511" t="s">
        <v>9902</v>
      </c>
      <c r="BK511" t="s">
        <v>4553</v>
      </c>
      <c r="BL511" t="s">
        <v>9903</v>
      </c>
      <c r="BM511" t="s">
        <v>9904</v>
      </c>
      <c r="BN511" t="s">
        <v>74</v>
      </c>
      <c r="BO511" t="s">
        <v>74</v>
      </c>
      <c r="BP511" t="s">
        <v>74</v>
      </c>
      <c r="BQ511" t="s">
        <v>74</v>
      </c>
      <c r="BR511" t="s">
        <v>106</v>
      </c>
      <c r="BS511" t="s">
        <v>10038</v>
      </c>
      <c r="BT511" t="str">
        <f>HYPERLINK("https%3A%2F%2Fwww.webofscience.com%2Fwos%2Fwoscc%2Ffull-record%2FWOS:001070848406053","View Full Record in Web of Science")</f>
        <v>View Full Record in Web of Science</v>
      </c>
    </row>
    <row r="512" spans="1:72" x14ac:dyDescent="0.15">
      <c r="A512" t="s">
        <v>4529</v>
      </c>
      <c r="B512" t="s">
        <v>10039</v>
      </c>
      <c r="C512" t="s">
        <v>74</v>
      </c>
      <c r="D512" t="s">
        <v>9885</v>
      </c>
      <c r="E512" t="s">
        <v>74</v>
      </c>
      <c r="F512" t="s">
        <v>10040</v>
      </c>
      <c r="G512" t="s">
        <v>74</v>
      </c>
      <c r="H512" t="s">
        <v>10041</v>
      </c>
      <c r="I512" t="s">
        <v>10042</v>
      </c>
      <c r="J512" t="s">
        <v>9888</v>
      </c>
      <c r="K512" t="s">
        <v>74</v>
      </c>
      <c r="L512" t="s">
        <v>74</v>
      </c>
      <c r="M512" t="s">
        <v>78</v>
      </c>
      <c r="N512" t="s">
        <v>4535</v>
      </c>
      <c r="O512" t="s">
        <v>9889</v>
      </c>
      <c r="P512" t="s">
        <v>9890</v>
      </c>
      <c r="Q512" t="s">
        <v>9891</v>
      </c>
      <c r="R512" t="s">
        <v>74</v>
      </c>
      <c r="S512" t="s">
        <v>74</v>
      </c>
      <c r="T512" t="s">
        <v>74</v>
      </c>
      <c r="U512" t="s">
        <v>74</v>
      </c>
      <c r="V512" t="s">
        <v>10043</v>
      </c>
      <c r="W512" t="s">
        <v>10044</v>
      </c>
      <c r="X512" t="s">
        <v>10045</v>
      </c>
      <c r="Y512" t="s">
        <v>10046</v>
      </c>
      <c r="Z512" t="s">
        <v>10047</v>
      </c>
      <c r="AA512" t="s">
        <v>74</v>
      </c>
      <c r="AB512" t="s">
        <v>74</v>
      </c>
      <c r="AC512" t="s">
        <v>10048</v>
      </c>
      <c r="AD512" t="s">
        <v>10049</v>
      </c>
      <c r="AE512" t="s">
        <v>10050</v>
      </c>
      <c r="AF512" t="s">
        <v>74</v>
      </c>
      <c r="AG512">
        <v>8</v>
      </c>
      <c r="AH512">
        <v>0</v>
      </c>
      <c r="AI512">
        <v>0</v>
      </c>
      <c r="AJ512">
        <v>0</v>
      </c>
      <c r="AK512">
        <v>0</v>
      </c>
      <c r="AL512" t="s">
        <v>9899</v>
      </c>
      <c r="AM512" t="s">
        <v>9900</v>
      </c>
      <c r="AN512" t="s">
        <v>9901</v>
      </c>
      <c r="AO512" t="s">
        <v>74</v>
      </c>
      <c r="AP512" t="s">
        <v>74</v>
      </c>
      <c r="AQ512" t="s">
        <v>74</v>
      </c>
      <c r="AR512" t="s">
        <v>74</v>
      </c>
      <c r="AS512" t="s">
        <v>74</v>
      </c>
      <c r="AT512" t="s">
        <v>74</v>
      </c>
      <c r="AU512">
        <v>2021</v>
      </c>
      <c r="AV512" t="s">
        <v>74</v>
      </c>
      <c r="AW512" t="s">
        <v>74</v>
      </c>
      <c r="AX512" t="s">
        <v>74</v>
      </c>
      <c r="AY512" t="s">
        <v>74</v>
      </c>
      <c r="AZ512" t="s">
        <v>74</v>
      </c>
      <c r="BA512" t="s">
        <v>74</v>
      </c>
      <c r="BB512" t="s">
        <v>74</v>
      </c>
      <c r="BC512" t="s">
        <v>74</v>
      </c>
      <c r="BD512">
        <v>71</v>
      </c>
      <c r="BE512" t="s">
        <v>74</v>
      </c>
      <c r="BF512" t="s">
        <v>74</v>
      </c>
      <c r="BG512" t="s">
        <v>74</v>
      </c>
      <c r="BH512" t="s">
        <v>74</v>
      </c>
      <c r="BI512">
        <v>8</v>
      </c>
      <c r="BJ512" t="s">
        <v>9902</v>
      </c>
      <c r="BK512" t="s">
        <v>4553</v>
      </c>
      <c r="BL512" t="s">
        <v>9903</v>
      </c>
      <c r="BM512" t="s">
        <v>9904</v>
      </c>
      <c r="BN512" t="s">
        <v>74</v>
      </c>
      <c r="BO512" t="s">
        <v>74</v>
      </c>
      <c r="BP512" t="s">
        <v>74</v>
      </c>
      <c r="BQ512" t="s">
        <v>74</v>
      </c>
      <c r="BR512" t="s">
        <v>106</v>
      </c>
      <c r="BS512" t="s">
        <v>10051</v>
      </c>
      <c r="BT512" t="str">
        <f>HYPERLINK("https%3A%2F%2Fwww.webofscience.com%2Fwos%2Fwoscc%2Ffull-record%2FWOS:001070848400046","View Full Record in Web of Science")</f>
        <v>View Full Record in Web of Science</v>
      </c>
    </row>
    <row r="513" spans="1:72" x14ac:dyDescent="0.15">
      <c r="A513" t="s">
        <v>4529</v>
      </c>
      <c r="B513" t="s">
        <v>10052</v>
      </c>
      <c r="C513" t="s">
        <v>74</v>
      </c>
      <c r="D513" t="s">
        <v>9885</v>
      </c>
      <c r="E513" t="s">
        <v>74</v>
      </c>
      <c r="F513" t="s">
        <v>10053</v>
      </c>
      <c r="G513" t="s">
        <v>74</v>
      </c>
      <c r="H513" t="s">
        <v>10054</v>
      </c>
      <c r="I513" t="s">
        <v>10055</v>
      </c>
      <c r="J513" t="s">
        <v>9888</v>
      </c>
      <c r="K513" t="s">
        <v>74</v>
      </c>
      <c r="L513" t="s">
        <v>74</v>
      </c>
      <c r="M513" t="s">
        <v>78</v>
      </c>
      <c r="N513" t="s">
        <v>4535</v>
      </c>
      <c r="O513" t="s">
        <v>9889</v>
      </c>
      <c r="P513" t="s">
        <v>9890</v>
      </c>
      <c r="Q513" t="s">
        <v>9891</v>
      </c>
      <c r="R513" t="s">
        <v>74</v>
      </c>
      <c r="S513" t="s">
        <v>74</v>
      </c>
      <c r="T513" t="s">
        <v>74</v>
      </c>
      <c r="U513" t="s">
        <v>74</v>
      </c>
      <c r="V513" t="s">
        <v>10056</v>
      </c>
      <c r="W513" t="s">
        <v>10057</v>
      </c>
      <c r="X513" t="s">
        <v>10058</v>
      </c>
      <c r="Y513" t="s">
        <v>10059</v>
      </c>
      <c r="Z513" t="s">
        <v>10060</v>
      </c>
      <c r="AA513" t="s">
        <v>74</v>
      </c>
      <c r="AB513" t="s">
        <v>74</v>
      </c>
      <c r="AC513" t="s">
        <v>10061</v>
      </c>
      <c r="AD513" t="s">
        <v>10062</v>
      </c>
      <c r="AE513" t="s">
        <v>10063</v>
      </c>
      <c r="AF513" t="s">
        <v>74</v>
      </c>
      <c r="AG513">
        <v>8</v>
      </c>
      <c r="AH513">
        <v>0</v>
      </c>
      <c r="AI513">
        <v>0</v>
      </c>
      <c r="AJ513">
        <v>0</v>
      </c>
      <c r="AK513">
        <v>0</v>
      </c>
      <c r="AL513" t="s">
        <v>9899</v>
      </c>
      <c r="AM513" t="s">
        <v>9900</v>
      </c>
      <c r="AN513" t="s">
        <v>9901</v>
      </c>
      <c r="AO513" t="s">
        <v>74</v>
      </c>
      <c r="AP513" t="s">
        <v>74</v>
      </c>
      <c r="AQ513" t="s">
        <v>74</v>
      </c>
      <c r="AR513" t="s">
        <v>74</v>
      </c>
      <c r="AS513" t="s">
        <v>74</v>
      </c>
      <c r="AT513" t="s">
        <v>74</v>
      </c>
      <c r="AU513">
        <v>2021</v>
      </c>
      <c r="AV513" t="s">
        <v>74</v>
      </c>
      <c r="AW513" t="s">
        <v>74</v>
      </c>
      <c r="AX513" t="s">
        <v>74</v>
      </c>
      <c r="AY513" t="s">
        <v>74</v>
      </c>
      <c r="AZ513" t="s">
        <v>74</v>
      </c>
      <c r="BA513" t="s">
        <v>74</v>
      </c>
      <c r="BB513" t="s">
        <v>74</v>
      </c>
      <c r="BC513" t="s">
        <v>74</v>
      </c>
      <c r="BD513">
        <v>897</v>
      </c>
      <c r="BE513" t="s">
        <v>74</v>
      </c>
      <c r="BF513" t="s">
        <v>74</v>
      </c>
      <c r="BG513" t="s">
        <v>74</v>
      </c>
      <c r="BH513" t="s">
        <v>74</v>
      </c>
      <c r="BI513">
        <v>8</v>
      </c>
      <c r="BJ513" t="s">
        <v>9902</v>
      </c>
      <c r="BK513" t="s">
        <v>4553</v>
      </c>
      <c r="BL513" t="s">
        <v>9903</v>
      </c>
      <c r="BM513" t="s">
        <v>9904</v>
      </c>
      <c r="BN513" t="s">
        <v>74</v>
      </c>
      <c r="BO513" t="s">
        <v>74</v>
      </c>
      <c r="BP513" t="s">
        <v>74</v>
      </c>
      <c r="BQ513" t="s">
        <v>74</v>
      </c>
      <c r="BR513" t="s">
        <v>106</v>
      </c>
      <c r="BS513" t="s">
        <v>10064</v>
      </c>
      <c r="BT513" t="str">
        <f>HYPERLINK("https%3A%2F%2Fwww.webofscience.com%2Fwos%2Fwoscc%2Ffull-record%2FWOS:001070848406063","View Full Record in Web of Science")</f>
        <v>View Full Record in Web of Science</v>
      </c>
    </row>
    <row r="514" spans="1:72" x14ac:dyDescent="0.15">
      <c r="A514" t="s">
        <v>4529</v>
      </c>
      <c r="B514" t="s">
        <v>10065</v>
      </c>
      <c r="C514" t="s">
        <v>74</v>
      </c>
      <c r="D514" t="s">
        <v>9885</v>
      </c>
      <c r="E514" t="s">
        <v>74</v>
      </c>
      <c r="F514" t="s">
        <v>10066</v>
      </c>
      <c r="G514" t="s">
        <v>74</v>
      </c>
      <c r="H514" t="s">
        <v>9933</v>
      </c>
      <c r="I514" t="s">
        <v>10067</v>
      </c>
      <c r="J514" t="s">
        <v>9888</v>
      </c>
      <c r="K514" t="s">
        <v>74</v>
      </c>
      <c r="L514" t="s">
        <v>74</v>
      </c>
      <c r="M514" t="s">
        <v>78</v>
      </c>
      <c r="N514" t="s">
        <v>4535</v>
      </c>
      <c r="O514" t="s">
        <v>9889</v>
      </c>
      <c r="P514" t="s">
        <v>9890</v>
      </c>
      <c r="Q514" t="s">
        <v>9891</v>
      </c>
      <c r="R514" t="s">
        <v>74</v>
      </c>
      <c r="S514" t="s">
        <v>74</v>
      </c>
      <c r="T514" t="s">
        <v>74</v>
      </c>
      <c r="U514" t="s">
        <v>10068</v>
      </c>
      <c r="V514" t="s">
        <v>10069</v>
      </c>
      <c r="W514" t="s">
        <v>10070</v>
      </c>
      <c r="X514" t="s">
        <v>10071</v>
      </c>
      <c r="Y514" t="s">
        <v>10072</v>
      </c>
      <c r="Z514" t="s">
        <v>10073</v>
      </c>
      <c r="AA514" t="s">
        <v>74</v>
      </c>
      <c r="AB514" t="s">
        <v>74</v>
      </c>
      <c r="AC514" t="s">
        <v>74</v>
      </c>
      <c r="AD514" t="s">
        <v>74</v>
      </c>
      <c r="AE514" t="s">
        <v>74</v>
      </c>
      <c r="AF514" t="s">
        <v>74</v>
      </c>
      <c r="AG514">
        <v>11</v>
      </c>
      <c r="AH514">
        <v>0</v>
      </c>
      <c r="AI514">
        <v>0</v>
      </c>
      <c r="AJ514">
        <v>0</v>
      </c>
      <c r="AK514">
        <v>0</v>
      </c>
      <c r="AL514" t="s">
        <v>9899</v>
      </c>
      <c r="AM514" t="s">
        <v>9900</v>
      </c>
      <c r="AN514" t="s">
        <v>9901</v>
      </c>
      <c r="AO514" t="s">
        <v>74</v>
      </c>
      <c r="AP514" t="s">
        <v>74</v>
      </c>
      <c r="AQ514" t="s">
        <v>74</v>
      </c>
      <c r="AR514" t="s">
        <v>74</v>
      </c>
      <c r="AS514" t="s">
        <v>74</v>
      </c>
      <c r="AT514" t="s">
        <v>74</v>
      </c>
      <c r="AU514">
        <v>2021</v>
      </c>
      <c r="AV514" t="s">
        <v>74</v>
      </c>
      <c r="AW514" t="s">
        <v>74</v>
      </c>
      <c r="AX514" t="s">
        <v>74</v>
      </c>
      <c r="AY514" t="s">
        <v>74</v>
      </c>
      <c r="AZ514" t="s">
        <v>74</v>
      </c>
      <c r="BA514" t="s">
        <v>74</v>
      </c>
      <c r="BB514" t="s">
        <v>74</v>
      </c>
      <c r="BC514" t="s">
        <v>74</v>
      </c>
      <c r="BD514">
        <v>916</v>
      </c>
      <c r="BE514" t="s">
        <v>74</v>
      </c>
      <c r="BF514" t="s">
        <v>74</v>
      </c>
      <c r="BG514" t="s">
        <v>74</v>
      </c>
      <c r="BH514" t="s">
        <v>74</v>
      </c>
      <c r="BI514">
        <v>8</v>
      </c>
      <c r="BJ514" t="s">
        <v>9902</v>
      </c>
      <c r="BK514" t="s">
        <v>4553</v>
      </c>
      <c r="BL514" t="s">
        <v>9903</v>
      </c>
      <c r="BM514" t="s">
        <v>9904</v>
      </c>
      <c r="BN514" t="s">
        <v>74</v>
      </c>
      <c r="BO514" t="s">
        <v>74</v>
      </c>
      <c r="BP514" t="s">
        <v>74</v>
      </c>
      <c r="BQ514" t="s">
        <v>74</v>
      </c>
      <c r="BR514" t="s">
        <v>106</v>
      </c>
      <c r="BS514" t="s">
        <v>10074</v>
      </c>
      <c r="BT514" t="str">
        <f>HYPERLINK("https%3A%2F%2Fwww.webofscience.com%2Fwos%2Fwoscc%2Ffull-record%2FWOS:001070848406078","View Full Record in Web of Science")</f>
        <v>View Full Record in Web of Science</v>
      </c>
    </row>
    <row r="515" spans="1:72" x14ac:dyDescent="0.15">
      <c r="A515" t="s">
        <v>4529</v>
      </c>
      <c r="B515" t="s">
        <v>10075</v>
      </c>
      <c r="C515" t="s">
        <v>74</v>
      </c>
      <c r="D515" t="s">
        <v>9885</v>
      </c>
      <c r="E515" t="s">
        <v>74</v>
      </c>
      <c r="F515" t="s">
        <v>10076</v>
      </c>
      <c r="G515" t="s">
        <v>74</v>
      </c>
      <c r="H515" t="s">
        <v>74</v>
      </c>
      <c r="I515" t="s">
        <v>10077</v>
      </c>
      <c r="J515" t="s">
        <v>9888</v>
      </c>
      <c r="K515" t="s">
        <v>74</v>
      </c>
      <c r="L515" t="s">
        <v>74</v>
      </c>
      <c r="M515" t="s">
        <v>78</v>
      </c>
      <c r="N515" t="s">
        <v>4535</v>
      </c>
      <c r="O515" t="s">
        <v>9889</v>
      </c>
      <c r="P515" t="s">
        <v>9890</v>
      </c>
      <c r="Q515" t="s">
        <v>9891</v>
      </c>
      <c r="R515" t="s">
        <v>74</v>
      </c>
      <c r="S515" t="s">
        <v>74</v>
      </c>
      <c r="T515" t="s">
        <v>74</v>
      </c>
      <c r="U515" t="s">
        <v>10078</v>
      </c>
      <c r="V515" t="s">
        <v>10079</v>
      </c>
      <c r="W515" t="s">
        <v>10080</v>
      </c>
      <c r="X515" t="s">
        <v>10081</v>
      </c>
      <c r="Y515" t="s">
        <v>10082</v>
      </c>
      <c r="Z515" t="s">
        <v>10083</v>
      </c>
      <c r="AA515" t="s">
        <v>74</v>
      </c>
      <c r="AB515" t="s">
        <v>74</v>
      </c>
      <c r="AC515" t="s">
        <v>74</v>
      </c>
      <c r="AD515" t="s">
        <v>74</v>
      </c>
      <c r="AE515" t="s">
        <v>74</v>
      </c>
      <c r="AF515" t="s">
        <v>74</v>
      </c>
      <c r="AG515">
        <v>13</v>
      </c>
      <c r="AH515">
        <v>0</v>
      </c>
      <c r="AI515">
        <v>0</v>
      </c>
      <c r="AJ515">
        <v>0</v>
      </c>
      <c r="AK515">
        <v>0</v>
      </c>
      <c r="AL515" t="s">
        <v>9899</v>
      </c>
      <c r="AM515" t="s">
        <v>9900</v>
      </c>
      <c r="AN515" t="s">
        <v>9901</v>
      </c>
      <c r="AO515" t="s">
        <v>74</v>
      </c>
      <c r="AP515" t="s">
        <v>74</v>
      </c>
      <c r="AQ515" t="s">
        <v>74</v>
      </c>
      <c r="AR515" t="s">
        <v>74</v>
      </c>
      <c r="AS515" t="s">
        <v>74</v>
      </c>
      <c r="AT515" t="s">
        <v>74</v>
      </c>
      <c r="AU515">
        <v>2021</v>
      </c>
      <c r="AV515" t="s">
        <v>74</v>
      </c>
      <c r="AW515" t="s">
        <v>74</v>
      </c>
      <c r="AX515" t="s">
        <v>74</v>
      </c>
      <c r="AY515" t="s">
        <v>74</v>
      </c>
      <c r="AZ515" t="s">
        <v>74</v>
      </c>
      <c r="BA515" t="s">
        <v>74</v>
      </c>
      <c r="BB515" t="s">
        <v>74</v>
      </c>
      <c r="BC515" t="s">
        <v>74</v>
      </c>
      <c r="BD515">
        <v>293</v>
      </c>
      <c r="BE515" t="s">
        <v>74</v>
      </c>
      <c r="BF515" t="s">
        <v>74</v>
      </c>
      <c r="BG515" t="s">
        <v>74</v>
      </c>
      <c r="BH515" t="s">
        <v>74</v>
      </c>
      <c r="BI515">
        <v>8</v>
      </c>
      <c r="BJ515" t="s">
        <v>9902</v>
      </c>
      <c r="BK515" t="s">
        <v>4553</v>
      </c>
      <c r="BL515" t="s">
        <v>9903</v>
      </c>
      <c r="BM515" t="s">
        <v>9904</v>
      </c>
      <c r="BN515" t="s">
        <v>74</v>
      </c>
      <c r="BO515" t="s">
        <v>74</v>
      </c>
      <c r="BP515" t="s">
        <v>74</v>
      </c>
      <c r="BQ515" t="s">
        <v>74</v>
      </c>
      <c r="BR515" t="s">
        <v>106</v>
      </c>
      <c r="BS515" t="s">
        <v>10084</v>
      </c>
      <c r="BT515" t="str">
        <f>HYPERLINK("https%3A%2F%2Fwww.webofscience.com%2Fwos%2Fwoscc%2Ffull-record%2FWOS:001070848402117","View Full Record in Web of Science")</f>
        <v>View Full Record in Web of Science</v>
      </c>
    </row>
    <row r="516" spans="1:72" x14ac:dyDescent="0.15">
      <c r="A516" t="s">
        <v>4529</v>
      </c>
      <c r="B516" t="s">
        <v>10085</v>
      </c>
      <c r="C516" t="s">
        <v>74</v>
      </c>
      <c r="D516" t="s">
        <v>9885</v>
      </c>
      <c r="E516" t="s">
        <v>74</v>
      </c>
      <c r="F516" t="s">
        <v>10086</v>
      </c>
      <c r="G516" t="s">
        <v>74</v>
      </c>
      <c r="H516" t="s">
        <v>9933</v>
      </c>
      <c r="I516" t="s">
        <v>10087</v>
      </c>
      <c r="J516" t="s">
        <v>9888</v>
      </c>
      <c r="K516" t="s">
        <v>74</v>
      </c>
      <c r="L516" t="s">
        <v>74</v>
      </c>
      <c r="M516" t="s">
        <v>78</v>
      </c>
      <c r="N516" t="s">
        <v>4535</v>
      </c>
      <c r="O516" t="s">
        <v>9889</v>
      </c>
      <c r="P516" t="s">
        <v>9890</v>
      </c>
      <c r="Q516" t="s">
        <v>9891</v>
      </c>
      <c r="R516" t="s">
        <v>74</v>
      </c>
      <c r="S516" t="s">
        <v>74</v>
      </c>
      <c r="T516" t="s">
        <v>74</v>
      </c>
      <c r="U516" t="s">
        <v>74</v>
      </c>
      <c r="V516" t="s">
        <v>10088</v>
      </c>
      <c r="W516" t="s">
        <v>10089</v>
      </c>
      <c r="X516" t="s">
        <v>10090</v>
      </c>
      <c r="Y516" t="s">
        <v>10091</v>
      </c>
      <c r="Z516" t="s">
        <v>10092</v>
      </c>
      <c r="AA516" t="s">
        <v>74</v>
      </c>
      <c r="AB516" t="s">
        <v>74</v>
      </c>
      <c r="AC516" t="s">
        <v>74</v>
      </c>
      <c r="AD516" t="s">
        <v>74</v>
      </c>
      <c r="AE516" t="s">
        <v>74</v>
      </c>
      <c r="AF516" t="s">
        <v>74</v>
      </c>
      <c r="AG516">
        <v>27</v>
      </c>
      <c r="AH516">
        <v>0</v>
      </c>
      <c r="AI516">
        <v>0</v>
      </c>
      <c r="AJ516">
        <v>10</v>
      </c>
      <c r="AK516">
        <v>10</v>
      </c>
      <c r="AL516" t="s">
        <v>9899</v>
      </c>
      <c r="AM516" t="s">
        <v>9900</v>
      </c>
      <c r="AN516" t="s">
        <v>9901</v>
      </c>
      <c r="AO516" t="s">
        <v>74</v>
      </c>
      <c r="AP516" t="s">
        <v>74</v>
      </c>
      <c r="AQ516" t="s">
        <v>74</v>
      </c>
      <c r="AR516" t="s">
        <v>74</v>
      </c>
      <c r="AS516" t="s">
        <v>74</v>
      </c>
      <c r="AT516" t="s">
        <v>74</v>
      </c>
      <c r="AU516">
        <v>2021</v>
      </c>
      <c r="AV516" t="s">
        <v>74</v>
      </c>
      <c r="AW516" t="s">
        <v>74</v>
      </c>
      <c r="AX516" t="s">
        <v>74</v>
      </c>
      <c r="AY516" t="s">
        <v>74</v>
      </c>
      <c r="AZ516" t="s">
        <v>74</v>
      </c>
      <c r="BA516" t="s">
        <v>74</v>
      </c>
      <c r="BB516" t="s">
        <v>74</v>
      </c>
      <c r="BC516" t="s">
        <v>74</v>
      </c>
      <c r="BD516">
        <v>1031</v>
      </c>
      <c r="BE516" t="s">
        <v>74</v>
      </c>
      <c r="BF516" t="s">
        <v>74</v>
      </c>
      <c r="BG516" t="s">
        <v>74</v>
      </c>
      <c r="BH516" t="s">
        <v>74</v>
      </c>
      <c r="BI516">
        <v>8</v>
      </c>
      <c r="BJ516" t="s">
        <v>9902</v>
      </c>
      <c r="BK516" t="s">
        <v>4553</v>
      </c>
      <c r="BL516" t="s">
        <v>9903</v>
      </c>
      <c r="BM516" t="s">
        <v>9904</v>
      </c>
      <c r="BN516" t="s">
        <v>74</v>
      </c>
      <c r="BO516" t="s">
        <v>74</v>
      </c>
      <c r="BP516" t="s">
        <v>74</v>
      </c>
      <c r="BQ516" t="s">
        <v>74</v>
      </c>
      <c r="BR516" t="s">
        <v>106</v>
      </c>
      <c r="BS516" t="s">
        <v>10093</v>
      </c>
      <c r="BT516" t="str">
        <f>HYPERLINK("https%3A%2F%2Fwww.webofscience.com%2Fwos%2Fwoscc%2Ffull-record%2FWOS:001070848400094","View Full Record in Web of Science")</f>
        <v>View Full Record in Web of Science</v>
      </c>
    </row>
    <row r="517" spans="1:72" x14ac:dyDescent="0.15">
      <c r="A517" t="s">
        <v>4529</v>
      </c>
      <c r="B517" t="s">
        <v>10094</v>
      </c>
      <c r="C517" t="s">
        <v>74</v>
      </c>
      <c r="D517" t="s">
        <v>9885</v>
      </c>
      <c r="E517" t="s">
        <v>74</v>
      </c>
      <c r="F517" t="s">
        <v>10095</v>
      </c>
      <c r="G517" t="s">
        <v>74</v>
      </c>
      <c r="H517" t="s">
        <v>9933</v>
      </c>
      <c r="I517" t="s">
        <v>10096</v>
      </c>
      <c r="J517" t="s">
        <v>9888</v>
      </c>
      <c r="K517" t="s">
        <v>74</v>
      </c>
      <c r="L517" t="s">
        <v>74</v>
      </c>
      <c r="M517" t="s">
        <v>78</v>
      </c>
      <c r="N517" t="s">
        <v>4535</v>
      </c>
      <c r="O517" t="s">
        <v>9889</v>
      </c>
      <c r="P517" t="s">
        <v>9890</v>
      </c>
      <c r="Q517" t="s">
        <v>9891</v>
      </c>
      <c r="R517" t="s">
        <v>74</v>
      </c>
      <c r="S517" t="s">
        <v>74</v>
      </c>
      <c r="T517" t="s">
        <v>74</v>
      </c>
      <c r="U517" t="s">
        <v>10097</v>
      </c>
      <c r="V517" t="s">
        <v>10098</v>
      </c>
      <c r="W517" t="s">
        <v>10099</v>
      </c>
      <c r="X517" t="s">
        <v>10023</v>
      </c>
      <c r="Y517" t="s">
        <v>10100</v>
      </c>
      <c r="Z517" t="s">
        <v>10101</v>
      </c>
      <c r="AA517" t="s">
        <v>74</v>
      </c>
      <c r="AB517" t="s">
        <v>74</v>
      </c>
      <c r="AC517" t="s">
        <v>74</v>
      </c>
      <c r="AD517" t="s">
        <v>74</v>
      </c>
      <c r="AE517" t="s">
        <v>74</v>
      </c>
      <c r="AF517" t="s">
        <v>74</v>
      </c>
      <c r="AG517">
        <v>15</v>
      </c>
      <c r="AH517">
        <v>0</v>
      </c>
      <c r="AI517">
        <v>0</v>
      </c>
      <c r="AJ517">
        <v>0</v>
      </c>
      <c r="AK517">
        <v>0</v>
      </c>
      <c r="AL517" t="s">
        <v>9899</v>
      </c>
      <c r="AM517" t="s">
        <v>9900</v>
      </c>
      <c r="AN517" t="s">
        <v>9901</v>
      </c>
      <c r="AO517" t="s">
        <v>74</v>
      </c>
      <c r="AP517" t="s">
        <v>74</v>
      </c>
      <c r="AQ517" t="s">
        <v>74</v>
      </c>
      <c r="AR517" t="s">
        <v>74</v>
      </c>
      <c r="AS517" t="s">
        <v>74</v>
      </c>
      <c r="AT517" t="s">
        <v>74</v>
      </c>
      <c r="AU517">
        <v>2021</v>
      </c>
      <c r="AV517" t="s">
        <v>74</v>
      </c>
      <c r="AW517" t="s">
        <v>74</v>
      </c>
      <c r="AX517" t="s">
        <v>74</v>
      </c>
      <c r="AY517" t="s">
        <v>74</v>
      </c>
      <c r="AZ517" t="s">
        <v>74</v>
      </c>
      <c r="BA517" t="s">
        <v>74</v>
      </c>
      <c r="BB517" t="s">
        <v>74</v>
      </c>
      <c r="BC517" t="s">
        <v>74</v>
      </c>
      <c r="BD517">
        <v>928</v>
      </c>
      <c r="BE517" t="s">
        <v>74</v>
      </c>
      <c r="BF517" t="s">
        <v>74</v>
      </c>
      <c r="BG517" t="s">
        <v>74</v>
      </c>
      <c r="BH517" t="s">
        <v>74</v>
      </c>
      <c r="BI517">
        <v>8</v>
      </c>
      <c r="BJ517" t="s">
        <v>9902</v>
      </c>
      <c r="BK517" t="s">
        <v>4553</v>
      </c>
      <c r="BL517" t="s">
        <v>9903</v>
      </c>
      <c r="BM517" t="s">
        <v>9904</v>
      </c>
      <c r="BN517" t="s">
        <v>74</v>
      </c>
      <c r="BO517" t="s">
        <v>74</v>
      </c>
      <c r="BP517" t="s">
        <v>74</v>
      </c>
      <c r="BQ517" t="s">
        <v>74</v>
      </c>
      <c r="BR517" t="s">
        <v>106</v>
      </c>
      <c r="BS517" t="s">
        <v>10102</v>
      </c>
      <c r="BT517" t="str">
        <f>HYPERLINK("https%3A%2F%2Fwww.webofscience.com%2Fwos%2Fwoscc%2Ffull-record%2FWOS:001070848406087","View Full Record in Web of Science")</f>
        <v>View Full Record in Web of Science</v>
      </c>
    </row>
    <row r="518" spans="1:72" x14ac:dyDescent="0.15">
      <c r="A518" t="s">
        <v>4529</v>
      </c>
      <c r="B518" t="s">
        <v>10103</v>
      </c>
      <c r="C518" t="s">
        <v>74</v>
      </c>
      <c r="D518" t="s">
        <v>9885</v>
      </c>
      <c r="E518" t="s">
        <v>74</v>
      </c>
      <c r="F518" t="s">
        <v>10104</v>
      </c>
      <c r="G518" t="s">
        <v>74</v>
      </c>
      <c r="H518" t="s">
        <v>74</v>
      </c>
      <c r="I518" t="s">
        <v>10105</v>
      </c>
      <c r="J518" t="s">
        <v>9888</v>
      </c>
      <c r="K518" t="s">
        <v>74</v>
      </c>
      <c r="L518" t="s">
        <v>74</v>
      </c>
      <c r="M518" t="s">
        <v>78</v>
      </c>
      <c r="N518" t="s">
        <v>4535</v>
      </c>
      <c r="O518" t="s">
        <v>9889</v>
      </c>
      <c r="P518" t="s">
        <v>9890</v>
      </c>
      <c r="Q518" t="s">
        <v>9891</v>
      </c>
      <c r="R518" t="s">
        <v>74</v>
      </c>
      <c r="S518" t="s">
        <v>74</v>
      </c>
      <c r="T518" t="s">
        <v>74</v>
      </c>
      <c r="U518" t="s">
        <v>74</v>
      </c>
      <c r="V518" t="s">
        <v>10106</v>
      </c>
      <c r="W518" t="s">
        <v>10107</v>
      </c>
      <c r="X518" t="s">
        <v>10108</v>
      </c>
      <c r="Y518" t="s">
        <v>10109</v>
      </c>
      <c r="Z518" t="s">
        <v>10110</v>
      </c>
      <c r="AA518" t="s">
        <v>74</v>
      </c>
      <c r="AB518" t="s">
        <v>74</v>
      </c>
      <c r="AC518" t="s">
        <v>10111</v>
      </c>
      <c r="AD518" t="s">
        <v>10112</v>
      </c>
      <c r="AE518" t="s">
        <v>10113</v>
      </c>
      <c r="AF518" t="s">
        <v>74</v>
      </c>
      <c r="AG518">
        <v>3</v>
      </c>
      <c r="AH518">
        <v>0</v>
      </c>
      <c r="AI518">
        <v>0</v>
      </c>
      <c r="AJ518">
        <v>0</v>
      </c>
      <c r="AK518">
        <v>0</v>
      </c>
      <c r="AL518" t="s">
        <v>9899</v>
      </c>
      <c r="AM518" t="s">
        <v>9900</v>
      </c>
      <c r="AN518" t="s">
        <v>9901</v>
      </c>
      <c r="AO518" t="s">
        <v>74</v>
      </c>
      <c r="AP518" t="s">
        <v>74</v>
      </c>
      <c r="AQ518" t="s">
        <v>74</v>
      </c>
      <c r="AR518" t="s">
        <v>74</v>
      </c>
      <c r="AS518" t="s">
        <v>74</v>
      </c>
      <c r="AT518" t="s">
        <v>74</v>
      </c>
      <c r="AU518">
        <v>2021</v>
      </c>
      <c r="AV518" t="s">
        <v>74</v>
      </c>
      <c r="AW518" t="s">
        <v>74</v>
      </c>
      <c r="AX518" t="s">
        <v>74</v>
      </c>
      <c r="AY518" t="s">
        <v>74</v>
      </c>
      <c r="AZ518" t="s">
        <v>74</v>
      </c>
      <c r="BA518" t="s">
        <v>74</v>
      </c>
      <c r="BB518" t="s">
        <v>74</v>
      </c>
      <c r="BC518" t="s">
        <v>74</v>
      </c>
      <c r="BD518">
        <v>308</v>
      </c>
      <c r="BE518" t="s">
        <v>74</v>
      </c>
      <c r="BF518" t="s">
        <v>74</v>
      </c>
      <c r="BG518" t="s">
        <v>74</v>
      </c>
      <c r="BH518" t="s">
        <v>74</v>
      </c>
      <c r="BI518">
        <v>4</v>
      </c>
      <c r="BJ518" t="s">
        <v>9902</v>
      </c>
      <c r="BK518" t="s">
        <v>4553</v>
      </c>
      <c r="BL518" t="s">
        <v>9903</v>
      </c>
      <c r="BM518" t="s">
        <v>9904</v>
      </c>
      <c r="BN518" t="s">
        <v>74</v>
      </c>
      <c r="BO518" t="s">
        <v>74</v>
      </c>
      <c r="BP518" t="s">
        <v>74</v>
      </c>
      <c r="BQ518" t="s">
        <v>74</v>
      </c>
      <c r="BR518" t="s">
        <v>106</v>
      </c>
      <c r="BS518" t="s">
        <v>10114</v>
      </c>
      <c r="BT518" t="str">
        <f>HYPERLINK("https%3A%2F%2Fwww.webofscience.com%2Fwos%2Fwoscc%2Ffull-record%2FWOS:001070848403001","View Full Record in Web of Science")</f>
        <v>View Full Record in Web of Science</v>
      </c>
    </row>
    <row r="519" spans="1:72" x14ac:dyDescent="0.15">
      <c r="A519" t="s">
        <v>4529</v>
      </c>
      <c r="B519" t="s">
        <v>10115</v>
      </c>
      <c r="C519" t="s">
        <v>74</v>
      </c>
      <c r="D519" t="s">
        <v>9885</v>
      </c>
      <c r="E519" t="s">
        <v>74</v>
      </c>
      <c r="F519" t="s">
        <v>10116</v>
      </c>
      <c r="G519" t="s">
        <v>74</v>
      </c>
      <c r="H519" t="s">
        <v>9992</v>
      </c>
      <c r="I519" t="s">
        <v>10117</v>
      </c>
      <c r="J519" t="s">
        <v>9888</v>
      </c>
      <c r="K519" t="s">
        <v>74</v>
      </c>
      <c r="L519" t="s">
        <v>74</v>
      </c>
      <c r="M519" t="s">
        <v>78</v>
      </c>
      <c r="N519" t="s">
        <v>4535</v>
      </c>
      <c r="O519" t="s">
        <v>9889</v>
      </c>
      <c r="P519" t="s">
        <v>9890</v>
      </c>
      <c r="Q519" t="s">
        <v>9891</v>
      </c>
      <c r="R519" t="s">
        <v>74</v>
      </c>
      <c r="S519" t="s">
        <v>74</v>
      </c>
      <c r="T519" t="s">
        <v>74</v>
      </c>
      <c r="U519" t="s">
        <v>10118</v>
      </c>
      <c r="V519" t="s">
        <v>10119</v>
      </c>
      <c r="W519" t="s">
        <v>10120</v>
      </c>
      <c r="X519" t="s">
        <v>10121</v>
      </c>
      <c r="Y519" t="s">
        <v>10122</v>
      </c>
      <c r="Z519" t="s">
        <v>10123</v>
      </c>
      <c r="AA519" t="s">
        <v>74</v>
      </c>
      <c r="AB519" t="s">
        <v>74</v>
      </c>
      <c r="AC519" t="s">
        <v>74</v>
      </c>
      <c r="AD519" t="s">
        <v>74</v>
      </c>
      <c r="AE519" t="s">
        <v>74</v>
      </c>
      <c r="AF519" t="s">
        <v>74</v>
      </c>
      <c r="AG519">
        <v>15</v>
      </c>
      <c r="AH519">
        <v>0</v>
      </c>
      <c r="AI519">
        <v>0</v>
      </c>
      <c r="AJ519">
        <v>0</v>
      </c>
      <c r="AK519">
        <v>0</v>
      </c>
      <c r="AL519" t="s">
        <v>9899</v>
      </c>
      <c r="AM519" t="s">
        <v>9900</v>
      </c>
      <c r="AN519" t="s">
        <v>9901</v>
      </c>
      <c r="AO519" t="s">
        <v>74</v>
      </c>
      <c r="AP519" t="s">
        <v>74</v>
      </c>
      <c r="AQ519" t="s">
        <v>74</v>
      </c>
      <c r="AR519" t="s">
        <v>74</v>
      </c>
      <c r="AS519" t="s">
        <v>74</v>
      </c>
      <c r="AT519" t="s">
        <v>74</v>
      </c>
      <c r="AU519">
        <v>2021</v>
      </c>
      <c r="AV519" t="s">
        <v>74</v>
      </c>
      <c r="AW519" t="s">
        <v>74</v>
      </c>
      <c r="AX519" t="s">
        <v>74</v>
      </c>
      <c r="AY519" t="s">
        <v>74</v>
      </c>
      <c r="AZ519" t="s">
        <v>74</v>
      </c>
      <c r="BA519" t="s">
        <v>74</v>
      </c>
      <c r="BB519" t="s">
        <v>74</v>
      </c>
      <c r="BC519" t="s">
        <v>74</v>
      </c>
      <c r="BD519">
        <v>933</v>
      </c>
      <c r="BE519" t="s">
        <v>74</v>
      </c>
      <c r="BF519" t="s">
        <v>74</v>
      </c>
      <c r="BG519" t="s">
        <v>74</v>
      </c>
      <c r="BH519" t="s">
        <v>74</v>
      </c>
      <c r="BI519">
        <v>8</v>
      </c>
      <c r="BJ519" t="s">
        <v>9902</v>
      </c>
      <c r="BK519" t="s">
        <v>4553</v>
      </c>
      <c r="BL519" t="s">
        <v>9903</v>
      </c>
      <c r="BM519" t="s">
        <v>9904</v>
      </c>
      <c r="BN519" t="s">
        <v>74</v>
      </c>
      <c r="BO519" t="s">
        <v>74</v>
      </c>
      <c r="BP519" t="s">
        <v>74</v>
      </c>
      <c r="BQ519" t="s">
        <v>74</v>
      </c>
      <c r="BR519" t="s">
        <v>106</v>
      </c>
      <c r="BS519" t="s">
        <v>10124</v>
      </c>
      <c r="BT519" t="str">
        <f>HYPERLINK("https%3A%2F%2Fwww.webofscience.com%2Fwos%2Fwoscc%2Ffull-record%2FWOS:001070848406092","View Full Record in Web of Science")</f>
        <v>View Full Record in Web of Science</v>
      </c>
    </row>
    <row r="520" spans="1:72" x14ac:dyDescent="0.15">
      <c r="A520" t="s">
        <v>4529</v>
      </c>
      <c r="B520" t="s">
        <v>10125</v>
      </c>
      <c r="C520" t="s">
        <v>74</v>
      </c>
      <c r="D520" t="s">
        <v>9885</v>
      </c>
      <c r="E520" t="s">
        <v>74</v>
      </c>
      <c r="F520" t="s">
        <v>10126</v>
      </c>
      <c r="G520" t="s">
        <v>74</v>
      </c>
      <c r="H520" t="s">
        <v>10127</v>
      </c>
      <c r="I520" t="s">
        <v>10128</v>
      </c>
      <c r="J520" t="s">
        <v>9888</v>
      </c>
      <c r="K520" t="s">
        <v>74</v>
      </c>
      <c r="L520" t="s">
        <v>74</v>
      </c>
      <c r="M520" t="s">
        <v>78</v>
      </c>
      <c r="N520" t="s">
        <v>4535</v>
      </c>
      <c r="O520" t="s">
        <v>9889</v>
      </c>
      <c r="P520" t="s">
        <v>9890</v>
      </c>
      <c r="Q520" t="s">
        <v>9891</v>
      </c>
      <c r="R520" t="s">
        <v>74</v>
      </c>
      <c r="S520" t="s">
        <v>74</v>
      </c>
      <c r="T520" t="s">
        <v>74</v>
      </c>
      <c r="U520" t="s">
        <v>74</v>
      </c>
      <c r="V520" t="s">
        <v>10129</v>
      </c>
      <c r="W520" t="s">
        <v>10130</v>
      </c>
      <c r="X520" t="s">
        <v>10131</v>
      </c>
      <c r="Y520" t="s">
        <v>10132</v>
      </c>
      <c r="Z520" t="s">
        <v>10133</v>
      </c>
      <c r="AA520" t="s">
        <v>74</v>
      </c>
      <c r="AB520" t="s">
        <v>74</v>
      </c>
      <c r="AC520" t="s">
        <v>10134</v>
      </c>
      <c r="AD520" t="s">
        <v>10135</v>
      </c>
      <c r="AE520" t="s">
        <v>10136</v>
      </c>
      <c r="AF520" t="s">
        <v>74</v>
      </c>
      <c r="AG520">
        <v>5</v>
      </c>
      <c r="AH520">
        <v>0</v>
      </c>
      <c r="AI520">
        <v>0</v>
      </c>
      <c r="AJ520">
        <v>0</v>
      </c>
      <c r="AK520">
        <v>0</v>
      </c>
      <c r="AL520" t="s">
        <v>9899</v>
      </c>
      <c r="AM520" t="s">
        <v>9900</v>
      </c>
      <c r="AN520" t="s">
        <v>9901</v>
      </c>
      <c r="AO520" t="s">
        <v>74</v>
      </c>
      <c r="AP520" t="s">
        <v>74</v>
      </c>
      <c r="AQ520" t="s">
        <v>74</v>
      </c>
      <c r="AR520" t="s">
        <v>74</v>
      </c>
      <c r="AS520" t="s">
        <v>74</v>
      </c>
      <c r="AT520" t="s">
        <v>74</v>
      </c>
      <c r="AU520">
        <v>2021</v>
      </c>
      <c r="AV520" t="s">
        <v>74</v>
      </c>
      <c r="AW520" t="s">
        <v>74</v>
      </c>
      <c r="AX520" t="s">
        <v>74</v>
      </c>
      <c r="AY520" t="s">
        <v>74</v>
      </c>
      <c r="AZ520" t="s">
        <v>74</v>
      </c>
      <c r="BA520" t="s">
        <v>74</v>
      </c>
      <c r="BB520" t="s">
        <v>74</v>
      </c>
      <c r="BC520" t="s">
        <v>74</v>
      </c>
      <c r="BD520">
        <v>939</v>
      </c>
      <c r="BE520" t="s">
        <v>74</v>
      </c>
      <c r="BF520" t="s">
        <v>74</v>
      </c>
      <c r="BG520" t="s">
        <v>74</v>
      </c>
      <c r="BH520" t="s">
        <v>74</v>
      </c>
      <c r="BI520">
        <v>8</v>
      </c>
      <c r="BJ520" t="s">
        <v>9902</v>
      </c>
      <c r="BK520" t="s">
        <v>4553</v>
      </c>
      <c r="BL520" t="s">
        <v>9903</v>
      </c>
      <c r="BM520" t="s">
        <v>9904</v>
      </c>
      <c r="BN520" t="s">
        <v>74</v>
      </c>
      <c r="BO520" t="s">
        <v>74</v>
      </c>
      <c r="BP520" t="s">
        <v>74</v>
      </c>
      <c r="BQ520" t="s">
        <v>74</v>
      </c>
      <c r="BR520" t="s">
        <v>106</v>
      </c>
      <c r="BS520" t="s">
        <v>10137</v>
      </c>
      <c r="BT520" t="str">
        <f>HYPERLINK("https%3A%2F%2Fwww.webofscience.com%2Fwos%2Fwoscc%2Ffull-record%2FWOS:001070848406097","View Full Record in Web of Science")</f>
        <v>View Full Record in Web of Science</v>
      </c>
    </row>
    <row r="521" spans="1:72" x14ac:dyDescent="0.15">
      <c r="A521" t="s">
        <v>4529</v>
      </c>
      <c r="B521" t="s">
        <v>10138</v>
      </c>
      <c r="C521" t="s">
        <v>74</v>
      </c>
      <c r="D521" t="s">
        <v>9885</v>
      </c>
      <c r="E521" t="s">
        <v>74</v>
      </c>
      <c r="F521" t="s">
        <v>10139</v>
      </c>
      <c r="G521" t="s">
        <v>74</v>
      </c>
      <c r="H521" t="s">
        <v>74</v>
      </c>
      <c r="I521" t="s">
        <v>10140</v>
      </c>
      <c r="J521" t="s">
        <v>9888</v>
      </c>
      <c r="K521" t="s">
        <v>74</v>
      </c>
      <c r="L521" t="s">
        <v>74</v>
      </c>
      <c r="M521" t="s">
        <v>78</v>
      </c>
      <c r="N521" t="s">
        <v>4535</v>
      </c>
      <c r="O521" t="s">
        <v>9889</v>
      </c>
      <c r="P521" t="s">
        <v>9890</v>
      </c>
      <c r="Q521" t="s">
        <v>9891</v>
      </c>
      <c r="R521" t="s">
        <v>74</v>
      </c>
      <c r="S521" t="s">
        <v>74</v>
      </c>
      <c r="T521" t="s">
        <v>74</v>
      </c>
      <c r="U521" t="s">
        <v>74</v>
      </c>
      <c r="V521" t="s">
        <v>10141</v>
      </c>
      <c r="W521" t="s">
        <v>10142</v>
      </c>
      <c r="X521" t="s">
        <v>10143</v>
      </c>
      <c r="Y521" t="s">
        <v>10144</v>
      </c>
      <c r="Z521" t="s">
        <v>10145</v>
      </c>
      <c r="AA521" t="s">
        <v>74</v>
      </c>
      <c r="AB521" t="s">
        <v>74</v>
      </c>
      <c r="AC521" t="s">
        <v>10146</v>
      </c>
      <c r="AD521" t="s">
        <v>10147</v>
      </c>
      <c r="AE521" t="s">
        <v>10148</v>
      </c>
      <c r="AF521" t="s">
        <v>74</v>
      </c>
      <c r="AG521">
        <v>4</v>
      </c>
      <c r="AH521">
        <v>0</v>
      </c>
      <c r="AI521">
        <v>0</v>
      </c>
      <c r="AJ521">
        <v>0</v>
      </c>
      <c r="AK521">
        <v>0</v>
      </c>
      <c r="AL521" t="s">
        <v>9899</v>
      </c>
      <c r="AM521" t="s">
        <v>9900</v>
      </c>
      <c r="AN521" t="s">
        <v>9901</v>
      </c>
      <c r="AO521" t="s">
        <v>74</v>
      </c>
      <c r="AP521" t="s">
        <v>74</v>
      </c>
      <c r="AQ521" t="s">
        <v>74</v>
      </c>
      <c r="AR521" t="s">
        <v>74</v>
      </c>
      <c r="AS521" t="s">
        <v>74</v>
      </c>
      <c r="AT521" t="s">
        <v>74</v>
      </c>
      <c r="AU521">
        <v>2021</v>
      </c>
      <c r="AV521" t="s">
        <v>74</v>
      </c>
      <c r="AW521" t="s">
        <v>74</v>
      </c>
      <c r="AX521" t="s">
        <v>74</v>
      </c>
      <c r="AY521" t="s">
        <v>74</v>
      </c>
      <c r="AZ521" t="s">
        <v>74</v>
      </c>
      <c r="BA521" t="s">
        <v>74</v>
      </c>
      <c r="BB521" t="s">
        <v>74</v>
      </c>
      <c r="BC521" t="s">
        <v>74</v>
      </c>
      <c r="BD521">
        <v>535</v>
      </c>
      <c r="BE521" t="s">
        <v>74</v>
      </c>
      <c r="BF521" t="s">
        <v>74</v>
      </c>
      <c r="BG521" t="s">
        <v>74</v>
      </c>
      <c r="BH521" t="s">
        <v>74</v>
      </c>
      <c r="BI521">
        <v>8</v>
      </c>
      <c r="BJ521" t="s">
        <v>9902</v>
      </c>
      <c r="BK521" t="s">
        <v>4553</v>
      </c>
      <c r="BL521" t="s">
        <v>9903</v>
      </c>
      <c r="BM521" t="s">
        <v>9904</v>
      </c>
      <c r="BN521" t="s">
        <v>74</v>
      </c>
      <c r="BO521" t="s">
        <v>74</v>
      </c>
      <c r="BP521" t="s">
        <v>74</v>
      </c>
      <c r="BQ521" t="s">
        <v>74</v>
      </c>
      <c r="BR521" t="s">
        <v>106</v>
      </c>
      <c r="BS521" t="s">
        <v>10149</v>
      </c>
      <c r="BT521" t="str">
        <f>HYPERLINK("https%3A%2F%2Fwww.webofscience.com%2Fwos%2Fwoscc%2Ffull-record%2FWOS:001070848404050","View Full Record in Web of Science")</f>
        <v>View Full Record in Web of Science</v>
      </c>
    </row>
    <row r="522" spans="1:72" x14ac:dyDescent="0.15">
      <c r="A522" t="s">
        <v>4529</v>
      </c>
      <c r="B522" t="s">
        <v>10150</v>
      </c>
      <c r="C522" t="s">
        <v>74</v>
      </c>
      <c r="D522" t="s">
        <v>9885</v>
      </c>
      <c r="E522" t="s">
        <v>74</v>
      </c>
      <c r="F522" t="s">
        <v>10151</v>
      </c>
      <c r="G522" t="s">
        <v>74</v>
      </c>
      <c r="H522" t="s">
        <v>10152</v>
      </c>
      <c r="I522" t="s">
        <v>10153</v>
      </c>
      <c r="J522" t="s">
        <v>9888</v>
      </c>
      <c r="K522" t="s">
        <v>74</v>
      </c>
      <c r="L522" t="s">
        <v>74</v>
      </c>
      <c r="M522" t="s">
        <v>78</v>
      </c>
      <c r="N522" t="s">
        <v>4535</v>
      </c>
      <c r="O522" t="s">
        <v>9889</v>
      </c>
      <c r="P522" t="s">
        <v>9890</v>
      </c>
      <c r="Q522" t="s">
        <v>9891</v>
      </c>
      <c r="R522" t="s">
        <v>74</v>
      </c>
      <c r="S522" t="s">
        <v>74</v>
      </c>
      <c r="T522" t="s">
        <v>74</v>
      </c>
      <c r="U522" t="s">
        <v>74</v>
      </c>
      <c r="V522" t="s">
        <v>10154</v>
      </c>
      <c r="W522" t="s">
        <v>10155</v>
      </c>
      <c r="X522" t="s">
        <v>10156</v>
      </c>
      <c r="Y522" t="s">
        <v>10157</v>
      </c>
      <c r="Z522" t="s">
        <v>10158</v>
      </c>
      <c r="AA522" t="s">
        <v>74</v>
      </c>
      <c r="AB522" t="s">
        <v>74</v>
      </c>
      <c r="AC522" t="s">
        <v>74</v>
      </c>
      <c r="AD522" t="s">
        <v>74</v>
      </c>
      <c r="AE522" t="s">
        <v>74</v>
      </c>
      <c r="AF522" t="s">
        <v>74</v>
      </c>
      <c r="AG522">
        <v>17</v>
      </c>
      <c r="AH522">
        <v>0</v>
      </c>
      <c r="AI522">
        <v>0</v>
      </c>
      <c r="AJ522">
        <v>0</v>
      </c>
      <c r="AK522">
        <v>0</v>
      </c>
      <c r="AL522" t="s">
        <v>9899</v>
      </c>
      <c r="AM522" t="s">
        <v>9900</v>
      </c>
      <c r="AN522" t="s">
        <v>9901</v>
      </c>
      <c r="AO522" t="s">
        <v>74</v>
      </c>
      <c r="AP522" t="s">
        <v>74</v>
      </c>
      <c r="AQ522" t="s">
        <v>74</v>
      </c>
      <c r="AR522" t="s">
        <v>74</v>
      </c>
      <c r="AS522" t="s">
        <v>74</v>
      </c>
      <c r="AT522" t="s">
        <v>74</v>
      </c>
      <c r="AU522">
        <v>2021</v>
      </c>
      <c r="AV522" t="s">
        <v>74</v>
      </c>
      <c r="AW522" t="s">
        <v>74</v>
      </c>
      <c r="AX522" t="s">
        <v>74</v>
      </c>
      <c r="AY522" t="s">
        <v>74</v>
      </c>
      <c r="AZ522" t="s">
        <v>74</v>
      </c>
      <c r="BA522" t="s">
        <v>74</v>
      </c>
      <c r="BB522" t="s">
        <v>74</v>
      </c>
      <c r="BC522" t="s">
        <v>74</v>
      </c>
      <c r="BD522">
        <v>967</v>
      </c>
      <c r="BE522" t="s">
        <v>74</v>
      </c>
      <c r="BF522" t="s">
        <v>74</v>
      </c>
      <c r="BG522" t="s">
        <v>74</v>
      </c>
      <c r="BH522" t="s">
        <v>74</v>
      </c>
      <c r="BI522">
        <v>8</v>
      </c>
      <c r="BJ522" t="s">
        <v>9902</v>
      </c>
      <c r="BK522" t="s">
        <v>4553</v>
      </c>
      <c r="BL522" t="s">
        <v>9903</v>
      </c>
      <c r="BM522" t="s">
        <v>9904</v>
      </c>
      <c r="BN522" t="s">
        <v>74</v>
      </c>
      <c r="BO522" t="s">
        <v>74</v>
      </c>
      <c r="BP522" t="s">
        <v>74</v>
      </c>
      <c r="BQ522" t="s">
        <v>74</v>
      </c>
      <c r="BR522" t="s">
        <v>106</v>
      </c>
      <c r="BS522" t="s">
        <v>10159</v>
      </c>
      <c r="BT522" t="str">
        <f>HYPERLINK("https%3A%2F%2Fwww.webofscience.com%2Fwos%2Fwoscc%2Ffull-record%2FWOS:001070848406120","View Full Record in Web of Science")</f>
        <v>View Full Record in Web of Science</v>
      </c>
    </row>
    <row r="523" spans="1:72" x14ac:dyDescent="0.15">
      <c r="A523" t="s">
        <v>4529</v>
      </c>
      <c r="B523" t="s">
        <v>10160</v>
      </c>
      <c r="C523" t="s">
        <v>74</v>
      </c>
      <c r="D523" t="s">
        <v>9885</v>
      </c>
      <c r="E523" t="s">
        <v>74</v>
      </c>
      <c r="F523" t="s">
        <v>10161</v>
      </c>
      <c r="G523" t="s">
        <v>74</v>
      </c>
      <c r="H523" t="s">
        <v>10054</v>
      </c>
      <c r="I523" t="s">
        <v>10162</v>
      </c>
      <c r="J523" t="s">
        <v>9888</v>
      </c>
      <c r="K523" t="s">
        <v>74</v>
      </c>
      <c r="L523" t="s">
        <v>74</v>
      </c>
      <c r="M523" t="s">
        <v>78</v>
      </c>
      <c r="N523" t="s">
        <v>4535</v>
      </c>
      <c r="O523" t="s">
        <v>9889</v>
      </c>
      <c r="P523" t="s">
        <v>9890</v>
      </c>
      <c r="Q523" t="s">
        <v>9891</v>
      </c>
      <c r="R523" t="s">
        <v>74</v>
      </c>
      <c r="S523" t="s">
        <v>74</v>
      </c>
      <c r="T523" t="s">
        <v>74</v>
      </c>
      <c r="U523" t="s">
        <v>74</v>
      </c>
      <c r="V523" t="s">
        <v>10163</v>
      </c>
      <c r="W523" t="s">
        <v>10164</v>
      </c>
      <c r="X523" t="s">
        <v>10165</v>
      </c>
      <c r="Y523" t="s">
        <v>10166</v>
      </c>
      <c r="Z523" t="s">
        <v>10167</v>
      </c>
      <c r="AA523" t="s">
        <v>10168</v>
      </c>
      <c r="AB523" t="s">
        <v>10169</v>
      </c>
      <c r="AC523" t="s">
        <v>10170</v>
      </c>
      <c r="AD523" t="s">
        <v>10171</v>
      </c>
      <c r="AE523" t="s">
        <v>10172</v>
      </c>
      <c r="AF523" t="s">
        <v>74</v>
      </c>
      <c r="AG523">
        <v>8</v>
      </c>
      <c r="AH523">
        <v>0</v>
      </c>
      <c r="AI523">
        <v>0</v>
      </c>
      <c r="AJ523">
        <v>0</v>
      </c>
      <c r="AK523">
        <v>0</v>
      </c>
      <c r="AL523" t="s">
        <v>9899</v>
      </c>
      <c r="AM523" t="s">
        <v>9900</v>
      </c>
      <c r="AN523" t="s">
        <v>9901</v>
      </c>
      <c r="AO523" t="s">
        <v>74</v>
      </c>
      <c r="AP523" t="s">
        <v>74</v>
      </c>
      <c r="AQ523" t="s">
        <v>74</v>
      </c>
      <c r="AR523" t="s">
        <v>74</v>
      </c>
      <c r="AS523" t="s">
        <v>74</v>
      </c>
      <c r="AT523" t="s">
        <v>74</v>
      </c>
      <c r="AU523">
        <v>2021</v>
      </c>
      <c r="AV523" t="s">
        <v>74</v>
      </c>
      <c r="AW523" t="s">
        <v>74</v>
      </c>
      <c r="AX523" t="s">
        <v>74</v>
      </c>
      <c r="AY523" t="s">
        <v>74</v>
      </c>
      <c r="AZ523" t="s">
        <v>74</v>
      </c>
      <c r="BA523" t="s">
        <v>74</v>
      </c>
      <c r="BB523" t="s">
        <v>74</v>
      </c>
      <c r="BC523" t="s">
        <v>74</v>
      </c>
      <c r="BD523">
        <v>968</v>
      </c>
      <c r="BE523" t="s">
        <v>74</v>
      </c>
      <c r="BF523" t="s">
        <v>74</v>
      </c>
      <c r="BG523" t="s">
        <v>74</v>
      </c>
      <c r="BH523" t="s">
        <v>74</v>
      </c>
      <c r="BI523">
        <v>8</v>
      </c>
      <c r="BJ523" t="s">
        <v>9902</v>
      </c>
      <c r="BK523" t="s">
        <v>4553</v>
      </c>
      <c r="BL523" t="s">
        <v>9903</v>
      </c>
      <c r="BM523" t="s">
        <v>9904</v>
      </c>
      <c r="BN523" t="s">
        <v>74</v>
      </c>
      <c r="BO523" t="s">
        <v>74</v>
      </c>
      <c r="BP523" t="s">
        <v>74</v>
      </c>
      <c r="BQ523" t="s">
        <v>74</v>
      </c>
      <c r="BR523" t="s">
        <v>106</v>
      </c>
      <c r="BS523" t="s">
        <v>10173</v>
      </c>
      <c r="BT523" t="str">
        <f>HYPERLINK("https%3A%2F%2Fwww.webofscience.com%2Fwos%2Fwoscc%2Ffull-record%2FWOS:001070848406121","View Full Record in Web of Science")</f>
        <v>View Full Record in Web of Science</v>
      </c>
    </row>
    <row r="524" spans="1:72" x14ac:dyDescent="0.15">
      <c r="A524" t="s">
        <v>4529</v>
      </c>
      <c r="B524" t="s">
        <v>10174</v>
      </c>
      <c r="C524" t="s">
        <v>74</v>
      </c>
      <c r="D524" t="s">
        <v>9885</v>
      </c>
      <c r="E524" t="s">
        <v>74</v>
      </c>
      <c r="F524" t="s">
        <v>10175</v>
      </c>
      <c r="G524" t="s">
        <v>74</v>
      </c>
      <c r="H524" t="s">
        <v>74</v>
      </c>
      <c r="I524" t="s">
        <v>10176</v>
      </c>
      <c r="J524" t="s">
        <v>9888</v>
      </c>
      <c r="K524" t="s">
        <v>74</v>
      </c>
      <c r="L524" t="s">
        <v>74</v>
      </c>
      <c r="M524" t="s">
        <v>78</v>
      </c>
      <c r="N524" t="s">
        <v>4535</v>
      </c>
      <c r="O524" t="s">
        <v>9889</v>
      </c>
      <c r="P524" t="s">
        <v>9890</v>
      </c>
      <c r="Q524" t="s">
        <v>9891</v>
      </c>
      <c r="R524" t="s">
        <v>74</v>
      </c>
      <c r="S524" t="s">
        <v>74</v>
      </c>
      <c r="T524" t="s">
        <v>74</v>
      </c>
      <c r="U524" t="s">
        <v>74</v>
      </c>
      <c r="V524" t="s">
        <v>10177</v>
      </c>
      <c r="W524" t="s">
        <v>10178</v>
      </c>
      <c r="X524" t="s">
        <v>10179</v>
      </c>
      <c r="Y524" t="s">
        <v>10180</v>
      </c>
      <c r="Z524" t="s">
        <v>10181</v>
      </c>
      <c r="AA524" t="s">
        <v>74</v>
      </c>
      <c r="AB524" t="s">
        <v>74</v>
      </c>
      <c r="AC524" t="s">
        <v>10182</v>
      </c>
      <c r="AD524" t="s">
        <v>10183</v>
      </c>
      <c r="AE524" t="s">
        <v>10184</v>
      </c>
      <c r="AF524" t="s">
        <v>74</v>
      </c>
      <c r="AG524">
        <v>15</v>
      </c>
      <c r="AH524">
        <v>0</v>
      </c>
      <c r="AI524">
        <v>0</v>
      </c>
      <c r="AJ524">
        <v>0</v>
      </c>
      <c r="AK524">
        <v>0</v>
      </c>
      <c r="AL524" t="s">
        <v>9899</v>
      </c>
      <c r="AM524" t="s">
        <v>9900</v>
      </c>
      <c r="AN524" t="s">
        <v>9901</v>
      </c>
      <c r="AO524" t="s">
        <v>74</v>
      </c>
      <c r="AP524" t="s">
        <v>74</v>
      </c>
      <c r="AQ524" t="s">
        <v>74</v>
      </c>
      <c r="AR524" t="s">
        <v>74</v>
      </c>
      <c r="AS524" t="s">
        <v>74</v>
      </c>
      <c r="AT524" t="s">
        <v>74</v>
      </c>
      <c r="AU524">
        <v>2021</v>
      </c>
      <c r="AV524" t="s">
        <v>74</v>
      </c>
      <c r="AW524" t="s">
        <v>74</v>
      </c>
      <c r="AX524" t="s">
        <v>74</v>
      </c>
      <c r="AY524" t="s">
        <v>74</v>
      </c>
      <c r="AZ524" t="s">
        <v>74</v>
      </c>
      <c r="BA524" t="s">
        <v>74</v>
      </c>
      <c r="BB524" t="s">
        <v>74</v>
      </c>
      <c r="BC524" t="s">
        <v>74</v>
      </c>
      <c r="BD524">
        <v>114</v>
      </c>
      <c r="BE524" t="s">
        <v>74</v>
      </c>
      <c r="BF524" t="s">
        <v>74</v>
      </c>
      <c r="BG524" t="s">
        <v>74</v>
      </c>
      <c r="BH524" t="s">
        <v>74</v>
      </c>
      <c r="BI524">
        <v>8</v>
      </c>
      <c r="BJ524" t="s">
        <v>9902</v>
      </c>
      <c r="BK524" t="s">
        <v>4553</v>
      </c>
      <c r="BL524" t="s">
        <v>9903</v>
      </c>
      <c r="BM524" t="s">
        <v>9904</v>
      </c>
      <c r="BN524" t="s">
        <v>74</v>
      </c>
      <c r="BO524" t="s">
        <v>74</v>
      </c>
      <c r="BP524" t="s">
        <v>74</v>
      </c>
      <c r="BQ524" t="s">
        <v>74</v>
      </c>
      <c r="BR524" t="s">
        <v>106</v>
      </c>
      <c r="BS524" t="s">
        <v>10185</v>
      </c>
      <c r="BT524" t="str">
        <f>HYPERLINK("https%3A%2F%2Fwww.webofscience.com%2Fwos%2Fwoscc%2Ffull-record%2FWOS:001070848401082","View Full Record in Web of Science")</f>
        <v>View Full Record in Web of Science</v>
      </c>
    </row>
    <row r="525" spans="1:72" x14ac:dyDescent="0.15">
      <c r="A525" t="s">
        <v>4529</v>
      </c>
      <c r="B525" t="s">
        <v>10186</v>
      </c>
      <c r="C525" t="s">
        <v>74</v>
      </c>
      <c r="D525" t="s">
        <v>9885</v>
      </c>
      <c r="E525" t="s">
        <v>74</v>
      </c>
      <c r="F525" t="s">
        <v>10187</v>
      </c>
      <c r="G525" t="s">
        <v>74</v>
      </c>
      <c r="H525" t="s">
        <v>10188</v>
      </c>
      <c r="I525" t="s">
        <v>10189</v>
      </c>
      <c r="J525" t="s">
        <v>9888</v>
      </c>
      <c r="K525" t="s">
        <v>74</v>
      </c>
      <c r="L525" t="s">
        <v>74</v>
      </c>
      <c r="M525" t="s">
        <v>78</v>
      </c>
      <c r="N525" t="s">
        <v>4535</v>
      </c>
      <c r="O525" t="s">
        <v>9889</v>
      </c>
      <c r="P525" t="s">
        <v>9890</v>
      </c>
      <c r="Q525" t="s">
        <v>9891</v>
      </c>
      <c r="R525" t="s">
        <v>74</v>
      </c>
      <c r="S525" t="s">
        <v>74</v>
      </c>
      <c r="T525" t="s">
        <v>74</v>
      </c>
      <c r="U525" t="s">
        <v>74</v>
      </c>
      <c r="V525" t="s">
        <v>10190</v>
      </c>
      <c r="W525" t="s">
        <v>10191</v>
      </c>
      <c r="X525" t="s">
        <v>10192</v>
      </c>
      <c r="Y525" t="s">
        <v>10193</v>
      </c>
      <c r="Z525" t="s">
        <v>10194</v>
      </c>
      <c r="AA525" t="s">
        <v>10195</v>
      </c>
      <c r="AB525" t="s">
        <v>10196</v>
      </c>
      <c r="AC525" t="s">
        <v>74</v>
      </c>
      <c r="AD525" t="s">
        <v>74</v>
      </c>
      <c r="AE525" t="s">
        <v>74</v>
      </c>
      <c r="AF525" t="s">
        <v>74</v>
      </c>
      <c r="AG525">
        <v>6</v>
      </c>
      <c r="AH525">
        <v>0</v>
      </c>
      <c r="AI525">
        <v>0</v>
      </c>
      <c r="AJ525">
        <v>0</v>
      </c>
      <c r="AK525">
        <v>0</v>
      </c>
      <c r="AL525" t="s">
        <v>9899</v>
      </c>
      <c r="AM525" t="s">
        <v>9900</v>
      </c>
      <c r="AN525" t="s">
        <v>9901</v>
      </c>
      <c r="AO525" t="s">
        <v>74</v>
      </c>
      <c r="AP525" t="s">
        <v>74</v>
      </c>
      <c r="AQ525" t="s">
        <v>74</v>
      </c>
      <c r="AR525" t="s">
        <v>74</v>
      </c>
      <c r="AS525" t="s">
        <v>74</v>
      </c>
      <c r="AT525" t="s">
        <v>74</v>
      </c>
      <c r="AU525">
        <v>2021</v>
      </c>
      <c r="AV525" t="s">
        <v>74</v>
      </c>
      <c r="AW525" t="s">
        <v>74</v>
      </c>
      <c r="AX525" t="s">
        <v>74</v>
      </c>
      <c r="AY525" t="s">
        <v>74</v>
      </c>
      <c r="AZ525" t="s">
        <v>74</v>
      </c>
      <c r="BA525" t="s">
        <v>74</v>
      </c>
      <c r="BB525" t="s">
        <v>74</v>
      </c>
      <c r="BC525" t="s">
        <v>74</v>
      </c>
      <c r="BD525">
        <v>358</v>
      </c>
      <c r="BE525" t="s">
        <v>74</v>
      </c>
      <c r="BF525" t="s">
        <v>74</v>
      </c>
      <c r="BG525" t="s">
        <v>74</v>
      </c>
      <c r="BH525" t="s">
        <v>74</v>
      </c>
      <c r="BI525">
        <v>6</v>
      </c>
      <c r="BJ525" t="s">
        <v>9902</v>
      </c>
      <c r="BK525" t="s">
        <v>4553</v>
      </c>
      <c r="BL525" t="s">
        <v>9903</v>
      </c>
      <c r="BM525" t="s">
        <v>9904</v>
      </c>
      <c r="BN525" t="s">
        <v>74</v>
      </c>
      <c r="BO525" t="s">
        <v>74</v>
      </c>
      <c r="BP525" t="s">
        <v>74</v>
      </c>
      <c r="BQ525" t="s">
        <v>74</v>
      </c>
      <c r="BR525" t="s">
        <v>106</v>
      </c>
      <c r="BS525" t="s">
        <v>10197</v>
      </c>
      <c r="BT525" t="str">
        <f>HYPERLINK("https%3A%2F%2Fwww.webofscience.com%2Fwos%2Fwoscc%2Ffull-record%2FWOS:001070848403043","View Full Record in Web of Science")</f>
        <v>View Full Record in Web of Science</v>
      </c>
    </row>
    <row r="526" spans="1:72" x14ac:dyDescent="0.15">
      <c r="A526" t="s">
        <v>4529</v>
      </c>
      <c r="B526" t="s">
        <v>10198</v>
      </c>
      <c r="C526" t="s">
        <v>74</v>
      </c>
      <c r="D526" t="s">
        <v>9885</v>
      </c>
      <c r="E526" t="s">
        <v>74</v>
      </c>
      <c r="F526" t="s">
        <v>10199</v>
      </c>
      <c r="G526" t="s">
        <v>74</v>
      </c>
      <c r="H526" t="s">
        <v>10188</v>
      </c>
      <c r="I526" t="s">
        <v>10200</v>
      </c>
      <c r="J526" t="s">
        <v>9888</v>
      </c>
      <c r="K526" t="s">
        <v>74</v>
      </c>
      <c r="L526" t="s">
        <v>74</v>
      </c>
      <c r="M526" t="s">
        <v>78</v>
      </c>
      <c r="N526" t="s">
        <v>4535</v>
      </c>
      <c r="O526" t="s">
        <v>9889</v>
      </c>
      <c r="P526" t="s">
        <v>9890</v>
      </c>
      <c r="Q526" t="s">
        <v>9891</v>
      </c>
      <c r="R526" t="s">
        <v>74</v>
      </c>
      <c r="S526" t="s">
        <v>74</v>
      </c>
      <c r="T526" t="s">
        <v>74</v>
      </c>
      <c r="U526" t="s">
        <v>74</v>
      </c>
      <c r="V526" t="s">
        <v>10201</v>
      </c>
      <c r="W526" t="s">
        <v>10202</v>
      </c>
      <c r="X526" t="s">
        <v>9984</v>
      </c>
      <c r="Y526" t="s">
        <v>10203</v>
      </c>
      <c r="Z526" t="s">
        <v>10204</v>
      </c>
      <c r="AA526" t="s">
        <v>74</v>
      </c>
      <c r="AB526" t="s">
        <v>74</v>
      </c>
      <c r="AC526" t="s">
        <v>10205</v>
      </c>
      <c r="AD526" t="s">
        <v>10206</v>
      </c>
      <c r="AE526" t="s">
        <v>10207</v>
      </c>
      <c r="AF526" t="s">
        <v>74</v>
      </c>
      <c r="AG526">
        <v>8</v>
      </c>
      <c r="AH526">
        <v>0</v>
      </c>
      <c r="AI526">
        <v>0</v>
      </c>
      <c r="AJ526">
        <v>0</v>
      </c>
      <c r="AK526">
        <v>0</v>
      </c>
      <c r="AL526" t="s">
        <v>9899</v>
      </c>
      <c r="AM526" t="s">
        <v>9900</v>
      </c>
      <c r="AN526" t="s">
        <v>9901</v>
      </c>
      <c r="AO526" t="s">
        <v>74</v>
      </c>
      <c r="AP526" t="s">
        <v>74</v>
      </c>
      <c r="AQ526" t="s">
        <v>74</v>
      </c>
      <c r="AR526" t="s">
        <v>74</v>
      </c>
      <c r="AS526" t="s">
        <v>74</v>
      </c>
      <c r="AT526" t="s">
        <v>74</v>
      </c>
      <c r="AU526">
        <v>2021</v>
      </c>
      <c r="AV526" t="s">
        <v>74</v>
      </c>
      <c r="AW526" t="s">
        <v>74</v>
      </c>
      <c r="AX526" t="s">
        <v>74</v>
      </c>
      <c r="AY526" t="s">
        <v>74</v>
      </c>
      <c r="AZ526" t="s">
        <v>74</v>
      </c>
      <c r="BA526" t="s">
        <v>74</v>
      </c>
      <c r="BB526" t="s">
        <v>74</v>
      </c>
      <c r="BC526" t="s">
        <v>74</v>
      </c>
      <c r="BD526">
        <v>1137</v>
      </c>
      <c r="BE526" t="s">
        <v>74</v>
      </c>
      <c r="BF526" t="s">
        <v>74</v>
      </c>
      <c r="BG526" t="s">
        <v>74</v>
      </c>
      <c r="BH526" t="s">
        <v>74</v>
      </c>
      <c r="BI526">
        <v>6</v>
      </c>
      <c r="BJ526" t="s">
        <v>9902</v>
      </c>
      <c r="BK526" t="s">
        <v>4553</v>
      </c>
      <c r="BL526" t="s">
        <v>9903</v>
      </c>
      <c r="BM526" t="s">
        <v>9904</v>
      </c>
      <c r="BN526" t="s">
        <v>74</v>
      </c>
      <c r="BO526" t="s">
        <v>74</v>
      </c>
      <c r="BP526" t="s">
        <v>74</v>
      </c>
      <c r="BQ526" t="s">
        <v>74</v>
      </c>
      <c r="BR526" t="s">
        <v>106</v>
      </c>
      <c r="BS526" t="s">
        <v>10208</v>
      </c>
      <c r="BT526" t="str">
        <f>HYPERLINK("https%3A%2F%2Fwww.webofscience.com%2Fwos%2Fwoscc%2Ffull-record%2FWOS:001070848401080","View Full Record in Web of Science")</f>
        <v>View Full Record in Web of Science</v>
      </c>
    </row>
    <row r="527" spans="1:72" x14ac:dyDescent="0.15">
      <c r="A527" t="s">
        <v>4529</v>
      </c>
      <c r="B527" t="s">
        <v>10209</v>
      </c>
      <c r="C527" t="s">
        <v>74</v>
      </c>
      <c r="D527" t="s">
        <v>9885</v>
      </c>
      <c r="E527" t="s">
        <v>74</v>
      </c>
      <c r="F527" t="s">
        <v>10210</v>
      </c>
      <c r="G527" t="s">
        <v>74</v>
      </c>
      <c r="H527" t="s">
        <v>10054</v>
      </c>
      <c r="I527" t="s">
        <v>10211</v>
      </c>
      <c r="J527" t="s">
        <v>9888</v>
      </c>
      <c r="K527" t="s">
        <v>74</v>
      </c>
      <c r="L527" t="s">
        <v>74</v>
      </c>
      <c r="M527" t="s">
        <v>78</v>
      </c>
      <c r="N527" t="s">
        <v>4535</v>
      </c>
      <c r="O527" t="s">
        <v>9889</v>
      </c>
      <c r="P527" t="s">
        <v>9890</v>
      </c>
      <c r="Q527" t="s">
        <v>9891</v>
      </c>
      <c r="R527" t="s">
        <v>74</v>
      </c>
      <c r="S527" t="s">
        <v>74</v>
      </c>
      <c r="T527" t="s">
        <v>74</v>
      </c>
      <c r="U527" t="s">
        <v>74</v>
      </c>
      <c r="V527" t="s">
        <v>10212</v>
      </c>
      <c r="W527" t="s">
        <v>10213</v>
      </c>
      <c r="X527" t="s">
        <v>10058</v>
      </c>
      <c r="Y527" t="s">
        <v>10214</v>
      </c>
      <c r="Z527" t="s">
        <v>10215</v>
      </c>
      <c r="AA527" t="s">
        <v>74</v>
      </c>
      <c r="AB527" t="s">
        <v>74</v>
      </c>
      <c r="AC527" t="s">
        <v>10216</v>
      </c>
      <c r="AD527" t="s">
        <v>10217</v>
      </c>
      <c r="AE527" t="s">
        <v>10218</v>
      </c>
      <c r="AF527" t="s">
        <v>74</v>
      </c>
      <c r="AG527">
        <v>17</v>
      </c>
      <c r="AH527">
        <v>0</v>
      </c>
      <c r="AI527">
        <v>0</v>
      </c>
      <c r="AJ527">
        <v>0</v>
      </c>
      <c r="AK527">
        <v>0</v>
      </c>
      <c r="AL527" t="s">
        <v>9899</v>
      </c>
      <c r="AM527" t="s">
        <v>9900</v>
      </c>
      <c r="AN527" t="s">
        <v>9901</v>
      </c>
      <c r="AO527" t="s">
        <v>74</v>
      </c>
      <c r="AP527" t="s">
        <v>74</v>
      </c>
      <c r="AQ527" t="s">
        <v>74</v>
      </c>
      <c r="AR527" t="s">
        <v>74</v>
      </c>
      <c r="AS527" t="s">
        <v>74</v>
      </c>
      <c r="AT527" t="s">
        <v>74</v>
      </c>
      <c r="AU527">
        <v>2021</v>
      </c>
      <c r="AV527" t="s">
        <v>74</v>
      </c>
      <c r="AW527" t="s">
        <v>74</v>
      </c>
      <c r="AX527" t="s">
        <v>74</v>
      </c>
      <c r="AY527" t="s">
        <v>74</v>
      </c>
      <c r="AZ527" t="s">
        <v>74</v>
      </c>
      <c r="BA527" t="s">
        <v>74</v>
      </c>
      <c r="BB527" t="s">
        <v>74</v>
      </c>
      <c r="BC527" t="s">
        <v>74</v>
      </c>
      <c r="BD527">
        <v>980</v>
      </c>
      <c r="BE527" t="s">
        <v>74</v>
      </c>
      <c r="BF527" t="s">
        <v>74</v>
      </c>
      <c r="BG527" t="s">
        <v>74</v>
      </c>
      <c r="BH527" t="s">
        <v>74</v>
      </c>
      <c r="BI527">
        <v>8</v>
      </c>
      <c r="BJ527" t="s">
        <v>9902</v>
      </c>
      <c r="BK527" t="s">
        <v>4553</v>
      </c>
      <c r="BL527" t="s">
        <v>9903</v>
      </c>
      <c r="BM527" t="s">
        <v>9904</v>
      </c>
      <c r="BN527" t="s">
        <v>74</v>
      </c>
      <c r="BO527" t="s">
        <v>74</v>
      </c>
      <c r="BP527" t="s">
        <v>74</v>
      </c>
      <c r="BQ527" t="s">
        <v>74</v>
      </c>
      <c r="BR527" t="s">
        <v>106</v>
      </c>
      <c r="BS527" t="s">
        <v>10219</v>
      </c>
      <c r="BT527" t="str">
        <f>HYPERLINK("https%3A%2F%2Fwww.webofscience.com%2Fwos%2Fwoscc%2Ffull-record%2FWOS:001070848407002","View Full Record in Web of Science")</f>
        <v>View Full Record in Web of Science</v>
      </c>
    </row>
    <row r="528" spans="1:72" x14ac:dyDescent="0.15">
      <c r="A528" t="s">
        <v>4529</v>
      </c>
      <c r="B528" t="s">
        <v>10220</v>
      </c>
      <c r="C528" t="s">
        <v>74</v>
      </c>
      <c r="D528" t="s">
        <v>9885</v>
      </c>
      <c r="E528" t="s">
        <v>74</v>
      </c>
      <c r="F528" t="s">
        <v>10221</v>
      </c>
      <c r="G528" t="s">
        <v>74</v>
      </c>
      <c r="H528" t="s">
        <v>9933</v>
      </c>
      <c r="I528" t="s">
        <v>10222</v>
      </c>
      <c r="J528" t="s">
        <v>9888</v>
      </c>
      <c r="K528" t="s">
        <v>74</v>
      </c>
      <c r="L528" t="s">
        <v>74</v>
      </c>
      <c r="M528" t="s">
        <v>78</v>
      </c>
      <c r="N528" t="s">
        <v>4535</v>
      </c>
      <c r="O528" t="s">
        <v>9889</v>
      </c>
      <c r="P528" t="s">
        <v>9890</v>
      </c>
      <c r="Q528" t="s">
        <v>9891</v>
      </c>
      <c r="R528" t="s">
        <v>74</v>
      </c>
      <c r="S528" t="s">
        <v>74</v>
      </c>
      <c r="T528" t="s">
        <v>74</v>
      </c>
      <c r="U528" t="s">
        <v>74</v>
      </c>
      <c r="V528" t="s">
        <v>10223</v>
      </c>
      <c r="W528" t="s">
        <v>10224</v>
      </c>
      <c r="X528" t="s">
        <v>10225</v>
      </c>
      <c r="Y528" t="s">
        <v>10226</v>
      </c>
      <c r="Z528" t="s">
        <v>10227</v>
      </c>
      <c r="AA528" t="s">
        <v>74</v>
      </c>
      <c r="AB528" t="s">
        <v>74</v>
      </c>
      <c r="AC528" t="s">
        <v>74</v>
      </c>
      <c r="AD528" t="s">
        <v>74</v>
      </c>
      <c r="AE528" t="s">
        <v>74</v>
      </c>
      <c r="AF528" t="s">
        <v>74</v>
      </c>
      <c r="AG528">
        <v>23</v>
      </c>
      <c r="AH528">
        <v>0</v>
      </c>
      <c r="AI528">
        <v>0</v>
      </c>
      <c r="AJ528">
        <v>0</v>
      </c>
      <c r="AK528">
        <v>0</v>
      </c>
      <c r="AL528" t="s">
        <v>9899</v>
      </c>
      <c r="AM528" t="s">
        <v>9900</v>
      </c>
      <c r="AN528" t="s">
        <v>9901</v>
      </c>
      <c r="AO528" t="s">
        <v>74</v>
      </c>
      <c r="AP528" t="s">
        <v>74</v>
      </c>
      <c r="AQ528" t="s">
        <v>74</v>
      </c>
      <c r="AR528" t="s">
        <v>74</v>
      </c>
      <c r="AS528" t="s">
        <v>74</v>
      </c>
      <c r="AT528" t="s">
        <v>74</v>
      </c>
      <c r="AU528">
        <v>2021</v>
      </c>
      <c r="AV528" t="s">
        <v>74</v>
      </c>
      <c r="AW528" t="s">
        <v>74</v>
      </c>
      <c r="AX528" t="s">
        <v>74</v>
      </c>
      <c r="AY528" t="s">
        <v>74</v>
      </c>
      <c r="AZ528" t="s">
        <v>74</v>
      </c>
      <c r="BA528" t="s">
        <v>74</v>
      </c>
      <c r="BB528" t="s">
        <v>74</v>
      </c>
      <c r="BC528" t="s">
        <v>74</v>
      </c>
      <c r="BD528">
        <v>983</v>
      </c>
      <c r="BE528" t="s">
        <v>74</v>
      </c>
      <c r="BF528" t="s">
        <v>74</v>
      </c>
      <c r="BG528" t="s">
        <v>74</v>
      </c>
      <c r="BH528" t="s">
        <v>74</v>
      </c>
      <c r="BI528">
        <v>8</v>
      </c>
      <c r="BJ528" t="s">
        <v>9902</v>
      </c>
      <c r="BK528" t="s">
        <v>4553</v>
      </c>
      <c r="BL528" t="s">
        <v>9903</v>
      </c>
      <c r="BM528" t="s">
        <v>9904</v>
      </c>
      <c r="BN528" t="s">
        <v>74</v>
      </c>
      <c r="BO528" t="s">
        <v>74</v>
      </c>
      <c r="BP528" t="s">
        <v>74</v>
      </c>
      <c r="BQ528" t="s">
        <v>74</v>
      </c>
      <c r="BR528" t="s">
        <v>106</v>
      </c>
      <c r="BS528" t="s">
        <v>10228</v>
      </c>
      <c r="BT528" t="str">
        <f>HYPERLINK("https%3A%2F%2Fwww.webofscience.com%2Fwos%2Fwoscc%2Ffull-record%2FWOS:001070848407005","View Full Record in Web of Science")</f>
        <v>View Full Record in Web of Science</v>
      </c>
    </row>
    <row r="529" spans="1:72" x14ac:dyDescent="0.15">
      <c r="A529" t="s">
        <v>4529</v>
      </c>
      <c r="B529" t="s">
        <v>10229</v>
      </c>
      <c r="C529" t="s">
        <v>74</v>
      </c>
      <c r="D529" t="s">
        <v>9885</v>
      </c>
      <c r="E529" t="s">
        <v>74</v>
      </c>
      <c r="F529" t="s">
        <v>10230</v>
      </c>
      <c r="G529" t="s">
        <v>74</v>
      </c>
      <c r="H529" t="s">
        <v>74</v>
      </c>
      <c r="I529" t="s">
        <v>10231</v>
      </c>
      <c r="J529" t="s">
        <v>9888</v>
      </c>
      <c r="K529" t="s">
        <v>74</v>
      </c>
      <c r="L529" t="s">
        <v>74</v>
      </c>
      <c r="M529" t="s">
        <v>78</v>
      </c>
      <c r="N529" t="s">
        <v>4535</v>
      </c>
      <c r="O529" t="s">
        <v>9889</v>
      </c>
      <c r="P529" t="s">
        <v>9890</v>
      </c>
      <c r="Q529" t="s">
        <v>9891</v>
      </c>
      <c r="R529" t="s">
        <v>74</v>
      </c>
      <c r="S529" t="s">
        <v>74</v>
      </c>
      <c r="T529" t="s">
        <v>74</v>
      </c>
      <c r="U529" t="s">
        <v>74</v>
      </c>
      <c r="V529" t="s">
        <v>10232</v>
      </c>
      <c r="W529" t="s">
        <v>10233</v>
      </c>
      <c r="X529" t="s">
        <v>10234</v>
      </c>
      <c r="Y529" t="s">
        <v>10235</v>
      </c>
      <c r="Z529" t="s">
        <v>10236</v>
      </c>
      <c r="AA529" t="s">
        <v>74</v>
      </c>
      <c r="AB529" t="s">
        <v>74</v>
      </c>
      <c r="AC529" t="s">
        <v>74</v>
      </c>
      <c r="AD529" t="s">
        <v>74</v>
      </c>
      <c r="AE529" t="s">
        <v>74</v>
      </c>
      <c r="AF529" t="s">
        <v>74</v>
      </c>
      <c r="AG529">
        <v>8</v>
      </c>
      <c r="AH529">
        <v>0</v>
      </c>
      <c r="AI529">
        <v>0</v>
      </c>
      <c r="AJ529">
        <v>0</v>
      </c>
      <c r="AK529">
        <v>0</v>
      </c>
      <c r="AL529" t="s">
        <v>9899</v>
      </c>
      <c r="AM529" t="s">
        <v>9900</v>
      </c>
      <c r="AN529" t="s">
        <v>9901</v>
      </c>
      <c r="AO529" t="s">
        <v>74</v>
      </c>
      <c r="AP529" t="s">
        <v>74</v>
      </c>
      <c r="AQ529" t="s">
        <v>74</v>
      </c>
      <c r="AR529" t="s">
        <v>74</v>
      </c>
      <c r="AS529" t="s">
        <v>74</v>
      </c>
      <c r="AT529" t="s">
        <v>74</v>
      </c>
      <c r="AU529">
        <v>2021</v>
      </c>
      <c r="AV529" t="s">
        <v>74</v>
      </c>
      <c r="AW529" t="s">
        <v>74</v>
      </c>
      <c r="AX529" t="s">
        <v>74</v>
      </c>
      <c r="AY529" t="s">
        <v>74</v>
      </c>
      <c r="AZ529" t="s">
        <v>74</v>
      </c>
      <c r="BA529" t="s">
        <v>74</v>
      </c>
      <c r="BB529" t="s">
        <v>74</v>
      </c>
      <c r="BC529" t="s">
        <v>74</v>
      </c>
      <c r="BD529">
        <v>131</v>
      </c>
      <c r="BE529" t="s">
        <v>74</v>
      </c>
      <c r="BF529" t="s">
        <v>74</v>
      </c>
      <c r="BG529" t="s">
        <v>74</v>
      </c>
      <c r="BH529" t="s">
        <v>74</v>
      </c>
      <c r="BI529">
        <v>8</v>
      </c>
      <c r="BJ529" t="s">
        <v>9902</v>
      </c>
      <c r="BK529" t="s">
        <v>4553</v>
      </c>
      <c r="BL529" t="s">
        <v>9903</v>
      </c>
      <c r="BM529" t="s">
        <v>9904</v>
      </c>
      <c r="BN529" t="s">
        <v>74</v>
      </c>
      <c r="BO529" t="s">
        <v>74</v>
      </c>
      <c r="BP529" t="s">
        <v>74</v>
      </c>
      <c r="BQ529" t="s">
        <v>74</v>
      </c>
      <c r="BR529" t="s">
        <v>106</v>
      </c>
      <c r="BS529" t="s">
        <v>10237</v>
      </c>
      <c r="BT529" t="str">
        <f>HYPERLINK("https%3A%2F%2Fwww.webofscience.com%2Fwos%2Fwoscc%2Ffull-record%2FWOS:001070848401125","View Full Record in Web of Science")</f>
        <v>View Full Record in Web of Science</v>
      </c>
    </row>
    <row r="530" spans="1:72" x14ac:dyDescent="0.15">
      <c r="A530" t="s">
        <v>4529</v>
      </c>
      <c r="B530" t="s">
        <v>10238</v>
      </c>
      <c r="C530" t="s">
        <v>74</v>
      </c>
      <c r="D530" t="s">
        <v>9885</v>
      </c>
      <c r="E530" t="s">
        <v>74</v>
      </c>
      <c r="F530" t="s">
        <v>10239</v>
      </c>
      <c r="G530" t="s">
        <v>74</v>
      </c>
      <c r="H530" t="s">
        <v>74</v>
      </c>
      <c r="I530" t="s">
        <v>10240</v>
      </c>
      <c r="J530" t="s">
        <v>9888</v>
      </c>
      <c r="K530" t="s">
        <v>74</v>
      </c>
      <c r="L530" t="s">
        <v>74</v>
      </c>
      <c r="M530" t="s">
        <v>78</v>
      </c>
      <c r="N530" t="s">
        <v>4535</v>
      </c>
      <c r="O530" t="s">
        <v>9889</v>
      </c>
      <c r="P530" t="s">
        <v>9890</v>
      </c>
      <c r="Q530" t="s">
        <v>9891</v>
      </c>
      <c r="R530" t="s">
        <v>74</v>
      </c>
      <c r="S530" t="s">
        <v>74</v>
      </c>
      <c r="T530" t="s">
        <v>74</v>
      </c>
      <c r="U530" t="s">
        <v>10241</v>
      </c>
      <c r="V530" t="s">
        <v>10242</v>
      </c>
      <c r="W530" t="s">
        <v>10243</v>
      </c>
      <c r="X530" t="s">
        <v>10244</v>
      </c>
      <c r="Y530" t="s">
        <v>10245</v>
      </c>
      <c r="Z530" t="s">
        <v>10246</v>
      </c>
      <c r="AA530" t="s">
        <v>74</v>
      </c>
      <c r="AB530" t="s">
        <v>74</v>
      </c>
      <c r="AC530" t="s">
        <v>10247</v>
      </c>
      <c r="AD530" t="s">
        <v>10248</v>
      </c>
      <c r="AE530" t="s">
        <v>10249</v>
      </c>
      <c r="AF530" t="s">
        <v>74</v>
      </c>
      <c r="AG530">
        <v>13</v>
      </c>
      <c r="AH530">
        <v>0</v>
      </c>
      <c r="AI530">
        <v>0</v>
      </c>
      <c r="AJ530">
        <v>0</v>
      </c>
      <c r="AK530">
        <v>0</v>
      </c>
      <c r="AL530" t="s">
        <v>9899</v>
      </c>
      <c r="AM530" t="s">
        <v>9900</v>
      </c>
      <c r="AN530" t="s">
        <v>9901</v>
      </c>
      <c r="AO530" t="s">
        <v>74</v>
      </c>
      <c r="AP530" t="s">
        <v>74</v>
      </c>
      <c r="AQ530" t="s">
        <v>74</v>
      </c>
      <c r="AR530" t="s">
        <v>74</v>
      </c>
      <c r="AS530" t="s">
        <v>74</v>
      </c>
      <c r="AT530" t="s">
        <v>74</v>
      </c>
      <c r="AU530">
        <v>2021</v>
      </c>
      <c r="AV530" t="s">
        <v>74</v>
      </c>
      <c r="AW530" t="s">
        <v>74</v>
      </c>
      <c r="AX530" t="s">
        <v>74</v>
      </c>
      <c r="AY530" t="s">
        <v>74</v>
      </c>
      <c r="AZ530" t="s">
        <v>74</v>
      </c>
      <c r="BA530" t="s">
        <v>74</v>
      </c>
      <c r="BB530" t="s">
        <v>74</v>
      </c>
      <c r="BC530" t="s">
        <v>74</v>
      </c>
      <c r="BD530">
        <v>1148</v>
      </c>
      <c r="BE530" t="s">
        <v>74</v>
      </c>
      <c r="BF530" t="s">
        <v>74</v>
      </c>
      <c r="BG530" t="s">
        <v>74</v>
      </c>
      <c r="BH530" t="s">
        <v>74</v>
      </c>
      <c r="BI530">
        <v>8</v>
      </c>
      <c r="BJ530" t="s">
        <v>9902</v>
      </c>
      <c r="BK530" t="s">
        <v>4553</v>
      </c>
      <c r="BL530" t="s">
        <v>9903</v>
      </c>
      <c r="BM530" t="s">
        <v>9904</v>
      </c>
      <c r="BN530" t="s">
        <v>74</v>
      </c>
      <c r="BO530" t="s">
        <v>74</v>
      </c>
      <c r="BP530" t="s">
        <v>74</v>
      </c>
      <c r="BQ530" t="s">
        <v>74</v>
      </c>
      <c r="BR530" t="s">
        <v>106</v>
      </c>
      <c r="BS530" t="s">
        <v>10250</v>
      </c>
      <c r="BT530" t="str">
        <f>HYPERLINK("https%3A%2F%2Fwww.webofscience.com%2Fwos%2Fwoscc%2Ffull-record%2FWOS:001070848401090","View Full Record in Web of Science")</f>
        <v>View Full Record in Web of Science</v>
      </c>
    </row>
    <row r="531" spans="1:72" x14ac:dyDescent="0.15">
      <c r="A531" t="s">
        <v>4529</v>
      </c>
      <c r="B531" t="s">
        <v>10251</v>
      </c>
      <c r="C531" t="s">
        <v>74</v>
      </c>
      <c r="D531" t="s">
        <v>9885</v>
      </c>
      <c r="E531" t="s">
        <v>74</v>
      </c>
      <c r="F531" t="s">
        <v>10252</v>
      </c>
      <c r="G531" t="s">
        <v>74</v>
      </c>
      <c r="H531" t="s">
        <v>74</v>
      </c>
      <c r="I531" t="s">
        <v>10253</v>
      </c>
      <c r="J531" t="s">
        <v>9888</v>
      </c>
      <c r="K531" t="s">
        <v>74</v>
      </c>
      <c r="L531" t="s">
        <v>74</v>
      </c>
      <c r="M531" t="s">
        <v>78</v>
      </c>
      <c r="N531" t="s">
        <v>4535</v>
      </c>
      <c r="O531" t="s">
        <v>9889</v>
      </c>
      <c r="P531" t="s">
        <v>9890</v>
      </c>
      <c r="Q531" t="s">
        <v>9891</v>
      </c>
      <c r="R531" t="s">
        <v>74</v>
      </c>
      <c r="S531" t="s">
        <v>74</v>
      </c>
      <c r="T531" t="s">
        <v>74</v>
      </c>
      <c r="U531" t="s">
        <v>74</v>
      </c>
      <c r="V531" t="s">
        <v>10254</v>
      </c>
      <c r="W531" t="s">
        <v>10255</v>
      </c>
      <c r="X531" t="s">
        <v>10256</v>
      </c>
      <c r="Y531" t="s">
        <v>10257</v>
      </c>
      <c r="Z531" t="s">
        <v>10258</v>
      </c>
      <c r="AA531" t="s">
        <v>74</v>
      </c>
      <c r="AB531" t="s">
        <v>74</v>
      </c>
      <c r="AC531" t="s">
        <v>74</v>
      </c>
      <c r="AD531" t="s">
        <v>74</v>
      </c>
      <c r="AE531" t="s">
        <v>74</v>
      </c>
      <c r="AF531" t="s">
        <v>74</v>
      </c>
      <c r="AG531">
        <v>32</v>
      </c>
      <c r="AH531">
        <v>0</v>
      </c>
      <c r="AI531">
        <v>0</v>
      </c>
      <c r="AJ531">
        <v>0</v>
      </c>
      <c r="AK531">
        <v>0</v>
      </c>
      <c r="AL531" t="s">
        <v>9899</v>
      </c>
      <c r="AM531" t="s">
        <v>9900</v>
      </c>
      <c r="AN531" t="s">
        <v>9901</v>
      </c>
      <c r="AO531" t="s">
        <v>74</v>
      </c>
      <c r="AP531" t="s">
        <v>74</v>
      </c>
      <c r="AQ531" t="s">
        <v>74</v>
      </c>
      <c r="AR531" t="s">
        <v>74</v>
      </c>
      <c r="AS531" t="s">
        <v>74</v>
      </c>
      <c r="AT531" t="s">
        <v>74</v>
      </c>
      <c r="AU531">
        <v>2021</v>
      </c>
      <c r="AV531" t="s">
        <v>74</v>
      </c>
      <c r="AW531" t="s">
        <v>74</v>
      </c>
      <c r="AX531" t="s">
        <v>74</v>
      </c>
      <c r="AY531" t="s">
        <v>74</v>
      </c>
      <c r="AZ531" t="s">
        <v>74</v>
      </c>
      <c r="BA531" t="s">
        <v>74</v>
      </c>
      <c r="BB531" t="s">
        <v>74</v>
      </c>
      <c r="BC531" t="s">
        <v>74</v>
      </c>
      <c r="BD531">
        <v>995</v>
      </c>
      <c r="BE531" t="s">
        <v>74</v>
      </c>
      <c r="BF531" t="s">
        <v>74</v>
      </c>
      <c r="BG531" t="s">
        <v>74</v>
      </c>
      <c r="BH531" t="s">
        <v>74</v>
      </c>
      <c r="BI531">
        <v>8</v>
      </c>
      <c r="BJ531" t="s">
        <v>9902</v>
      </c>
      <c r="BK531" t="s">
        <v>4553</v>
      </c>
      <c r="BL531" t="s">
        <v>9903</v>
      </c>
      <c r="BM531" t="s">
        <v>9904</v>
      </c>
      <c r="BN531" t="s">
        <v>74</v>
      </c>
      <c r="BO531" t="s">
        <v>74</v>
      </c>
      <c r="BP531" t="s">
        <v>74</v>
      </c>
      <c r="BQ531" t="s">
        <v>74</v>
      </c>
      <c r="BR531" t="s">
        <v>106</v>
      </c>
      <c r="BS531" t="s">
        <v>10259</v>
      </c>
      <c r="BT531" t="str">
        <f>HYPERLINK("https%3A%2F%2Fwww.webofscience.com%2Fwos%2Fwoscc%2Ffull-record%2FWOS:001070848407015","View Full Record in Web of Science")</f>
        <v>View Full Record in Web of Science</v>
      </c>
    </row>
    <row r="532" spans="1:72" x14ac:dyDescent="0.15">
      <c r="A532" t="s">
        <v>4529</v>
      </c>
      <c r="B532" t="s">
        <v>10260</v>
      </c>
      <c r="C532" t="s">
        <v>74</v>
      </c>
      <c r="D532" t="s">
        <v>9885</v>
      </c>
      <c r="E532" t="s">
        <v>74</v>
      </c>
      <c r="F532" t="s">
        <v>10261</v>
      </c>
      <c r="G532" t="s">
        <v>74</v>
      </c>
      <c r="H532" t="s">
        <v>74</v>
      </c>
      <c r="I532" t="s">
        <v>10262</v>
      </c>
      <c r="J532" t="s">
        <v>9888</v>
      </c>
      <c r="K532" t="s">
        <v>74</v>
      </c>
      <c r="L532" t="s">
        <v>74</v>
      </c>
      <c r="M532" t="s">
        <v>78</v>
      </c>
      <c r="N532" t="s">
        <v>4535</v>
      </c>
      <c r="O532" t="s">
        <v>9889</v>
      </c>
      <c r="P532" t="s">
        <v>9890</v>
      </c>
      <c r="Q532" t="s">
        <v>9891</v>
      </c>
      <c r="R532" t="s">
        <v>74</v>
      </c>
      <c r="S532" t="s">
        <v>74</v>
      </c>
      <c r="T532" t="s">
        <v>74</v>
      </c>
      <c r="U532" t="s">
        <v>74</v>
      </c>
      <c r="V532" t="s">
        <v>10263</v>
      </c>
      <c r="W532" t="s">
        <v>10264</v>
      </c>
      <c r="X532" t="s">
        <v>10265</v>
      </c>
      <c r="Y532" t="s">
        <v>10266</v>
      </c>
      <c r="Z532" t="s">
        <v>10267</v>
      </c>
      <c r="AA532" t="s">
        <v>74</v>
      </c>
      <c r="AB532" t="s">
        <v>74</v>
      </c>
      <c r="AC532" t="s">
        <v>10268</v>
      </c>
      <c r="AD532" t="s">
        <v>10269</v>
      </c>
      <c r="AE532" t="s">
        <v>10270</v>
      </c>
      <c r="AF532" t="s">
        <v>74</v>
      </c>
      <c r="AG532">
        <v>14</v>
      </c>
      <c r="AH532">
        <v>0</v>
      </c>
      <c r="AI532">
        <v>0</v>
      </c>
      <c r="AJ532">
        <v>0</v>
      </c>
      <c r="AK532">
        <v>0</v>
      </c>
      <c r="AL532" t="s">
        <v>9899</v>
      </c>
      <c r="AM532" t="s">
        <v>9900</v>
      </c>
      <c r="AN532" t="s">
        <v>9901</v>
      </c>
      <c r="AO532" t="s">
        <v>74</v>
      </c>
      <c r="AP532" t="s">
        <v>74</v>
      </c>
      <c r="AQ532" t="s">
        <v>74</v>
      </c>
      <c r="AR532" t="s">
        <v>74</v>
      </c>
      <c r="AS532" t="s">
        <v>74</v>
      </c>
      <c r="AT532" t="s">
        <v>74</v>
      </c>
      <c r="AU532">
        <v>2021</v>
      </c>
      <c r="AV532" t="s">
        <v>74</v>
      </c>
      <c r="AW532" t="s">
        <v>74</v>
      </c>
      <c r="AX532" t="s">
        <v>74</v>
      </c>
      <c r="AY532" t="s">
        <v>74</v>
      </c>
      <c r="AZ532" t="s">
        <v>74</v>
      </c>
      <c r="BA532" t="s">
        <v>74</v>
      </c>
      <c r="BB532" t="s">
        <v>74</v>
      </c>
      <c r="BC532" t="s">
        <v>74</v>
      </c>
      <c r="BD532">
        <v>134</v>
      </c>
      <c r="BE532" t="s">
        <v>74</v>
      </c>
      <c r="BF532" t="s">
        <v>74</v>
      </c>
      <c r="BG532" t="s">
        <v>74</v>
      </c>
      <c r="BH532" t="s">
        <v>74</v>
      </c>
      <c r="BI532">
        <v>6</v>
      </c>
      <c r="BJ532" t="s">
        <v>9902</v>
      </c>
      <c r="BK532" t="s">
        <v>4553</v>
      </c>
      <c r="BL532" t="s">
        <v>9903</v>
      </c>
      <c r="BM532" t="s">
        <v>9904</v>
      </c>
      <c r="BN532" t="s">
        <v>74</v>
      </c>
      <c r="BO532" t="s">
        <v>74</v>
      </c>
      <c r="BP532" t="s">
        <v>74</v>
      </c>
      <c r="BQ532" t="s">
        <v>74</v>
      </c>
      <c r="BR532" t="s">
        <v>106</v>
      </c>
      <c r="BS532" t="s">
        <v>10271</v>
      </c>
      <c r="BT532" t="str">
        <f>HYPERLINK("https%3A%2F%2Fwww.webofscience.com%2Fwos%2Fwoscc%2Ffull-record%2FWOS:001070848401128","View Full Record in Web of Science")</f>
        <v>View Full Record in Web of Science</v>
      </c>
    </row>
    <row r="533" spans="1:72" x14ac:dyDescent="0.15">
      <c r="A533" t="s">
        <v>4529</v>
      </c>
      <c r="B533" t="s">
        <v>10272</v>
      </c>
      <c r="C533" t="s">
        <v>74</v>
      </c>
      <c r="D533" t="s">
        <v>9885</v>
      </c>
      <c r="E533" t="s">
        <v>74</v>
      </c>
      <c r="F533" t="s">
        <v>10273</v>
      </c>
      <c r="G533" t="s">
        <v>74</v>
      </c>
      <c r="H533" t="s">
        <v>9933</v>
      </c>
      <c r="I533" t="s">
        <v>10274</v>
      </c>
      <c r="J533" t="s">
        <v>9888</v>
      </c>
      <c r="K533" t="s">
        <v>74</v>
      </c>
      <c r="L533" t="s">
        <v>74</v>
      </c>
      <c r="M533" t="s">
        <v>78</v>
      </c>
      <c r="N533" t="s">
        <v>4535</v>
      </c>
      <c r="O533" t="s">
        <v>9889</v>
      </c>
      <c r="P533" t="s">
        <v>9890</v>
      </c>
      <c r="Q533" t="s">
        <v>9891</v>
      </c>
      <c r="R533" t="s">
        <v>74</v>
      </c>
      <c r="S533" t="s">
        <v>74</v>
      </c>
      <c r="T533" t="s">
        <v>74</v>
      </c>
      <c r="U533" t="s">
        <v>74</v>
      </c>
      <c r="V533" t="s">
        <v>10275</v>
      </c>
      <c r="W533" t="s">
        <v>10276</v>
      </c>
      <c r="X533" t="s">
        <v>10277</v>
      </c>
      <c r="Y533" t="s">
        <v>10278</v>
      </c>
      <c r="Z533" t="s">
        <v>10279</v>
      </c>
      <c r="AA533" t="s">
        <v>74</v>
      </c>
      <c r="AB533" t="s">
        <v>74</v>
      </c>
      <c r="AC533" t="s">
        <v>74</v>
      </c>
      <c r="AD533" t="s">
        <v>74</v>
      </c>
      <c r="AE533" t="s">
        <v>74</v>
      </c>
      <c r="AF533" t="s">
        <v>74</v>
      </c>
      <c r="AG533">
        <v>22</v>
      </c>
      <c r="AH533">
        <v>0</v>
      </c>
      <c r="AI533">
        <v>0</v>
      </c>
      <c r="AJ533">
        <v>1</v>
      </c>
      <c r="AK533">
        <v>1</v>
      </c>
      <c r="AL533" t="s">
        <v>9899</v>
      </c>
      <c r="AM533" t="s">
        <v>9900</v>
      </c>
      <c r="AN533" t="s">
        <v>9901</v>
      </c>
      <c r="AO533" t="s">
        <v>74</v>
      </c>
      <c r="AP533" t="s">
        <v>74</v>
      </c>
      <c r="AQ533" t="s">
        <v>74</v>
      </c>
      <c r="AR533" t="s">
        <v>74</v>
      </c>
      <c r="AS533" t="s">
        <v>74</v>
      </c>
      <c r="AT533" t="s">
        <v>74</v>
      </c>
      <c r="AU533">
        <v>2021</v>
      </c>
      <c r="AV533" t="s">
        <v>74</v>
      </c>
      <c r="AW533" t="s">
        <v>74</v>
      </c>
      <c r="AX533" t="s">
        <v>74</v>
      </c>
      <c r="AY533" t="s">
        <v>74</v>
      </c>
      <c r="AZ533" t="s">
        <v>74</v>
      </c>
      <c r="BA533" t="s">
        <v>74</v>
      </c>
      <c r="BB533" t="s">
        <v>74</v>
      </c>
      <c r="BC533" t="s">
        <v>74</v>
      </c>
      <c r="BD533">
        <v>179</v>
      </c>
      <c r="BE533" t="s">
        <v>74</v>
      </c>
      <c r="BF533" t="s">
        <v>74</v>
      </c>
      <c r="BG533" t="s">
        <v>74</v>
      </c>
      <c r="BH533" t="s">
        <v>74</v>
      </c>
      <c r="BI533">
        <v>8</v>
      </c>
      <c r="BJ533" t="s">
        <v>9902</v>
      </c>
      <c r="BK533" t="s">
        <v>4553</v>
      </c>
      <c r="BL533" t="s">
        <v>9903</v>
      </c>
      <c r="BM533" t="s">
        <v>9904</v>
      </c>
      <c r="BN533" t="s">
        <v>74</v>
      </c>
      <c r="BO533" t="s">
        <v>74</v>
      </c>
      <c r="BP533" t="s">
        <v>74</v>
      </c>
      <c r="BQ533" t="s">
        <v>74</v>
      </c>
      <c r="BR533" t="s">
        <v>106</v>
      </c>
      <c r="BS533" t="s">
        <v>10280</v>
      </c>
      <c r="BT533" t="str">
        <f>HYPERLINK("https%3A%2F%2Fwww.webofscience.com%2Fwos%2Fwoscc%2Ffull-record%2FWOS:001070848402027","View Full Record in Web of Science")</f>
        <v>View Full Record in Web of Science</v>
      </c>
    </row>
    <row r="534" spans="1:72" x14ac:dyDescent="0.15">
      <c r="A534" t="s">
        <v>4529</v>
      </c>
      <c r="B534" t="s">
        <v>10281</v>
      </c>
      <c r="C534" t="s">
        <v>74</v>
      </c>
      <c r="D534" t="s">
        <v>9885</v>
      </c>
      <c r="E534" t="s">
        <v>74</v>
      </c>
      <c r="F534" t="s">
        <v>10282</v>
      </c>
      <c r="G534" t="s">
        <v>74</v>
      </c>
      <c r="H534" t="s">
        <v>74</v>
      </c>
      <c r="I534" t="s">
        <v>10283</v>
      </c>
      <c r="J534" t="s">
        <v>9888</v>
      </c>
      <c r="K534" t="s">
        <v>74</v>
      </c>
      <c r="L534" t="s">
        <v>74</v>
      </c>
      <c r="M534" t="s">
        <v>78</v>
      </c>
      <c r="N534" t="s">
        <v>4535</v>
      </c>
      <c r="O534" t="s">
        <v>9889</v>
      </c>
      <c r="P534" t="s">
        <v>9890</v>
      </c>
      <c r="Q534" t="s">
        <v>9891</v>
      </c>
      <c r="R534" t="s">
        <v>74</v>
      </c>
      <c r="S534" t="s">
        <v>74</v>
      </c>
      <c r="T534" t="s">
        <v>74</v>
      </c>
      <c r="U534" t="s">
        <v>74</v>
      </c>
      <c r="V534" t="s">
        <v>10284</v>
      </c>
      <c r="W534" t="s">
        <v>10285</v>
      </c>
      <c r="X534" t="s">
        <v>10286</v>
      </c>
      <c r="Y534" t="s">
        <v>10287</v>
      </c>
      <c r="Z534" t="s">
        <v>10288</v>
      </c>
      <c r="AA534" t="s">
        <v>74</v>
      </c>
      <c r="AB534" t="s">
        <v>74</v>
      </c>
      <c r="AC534" t="s">
        <v>10289</v>
      </c>
      <c r="AD534" t="s">
        <v>10290</v>
      </c>
      <c r="AE534" t="s">
        <v>10291</v>
      </c>
      <c r="AF534" t="s">
        <v>74</v>
      </c>
      <c r="AG534">
        <v>7</v>
      </c>
      <c r="AH534">
        <v>0</v>
      </c>
      <c r="AI534">
        <v>0</v>
      </c>
      <c r="AJ534">
        <v>0</v>
      </c>
      <c r="AK534">
        <v>0</v>
      </c>
      <c r="AL534" t="s">
        <v>9899</v>
      </c>
      <c r="AM534" t="s">
        <v>9900</v>
      </c>
      <c r="AN534" t="s">
        <v>9901</v>
      </c>
      <c r="AO534" t="s">
        <v>74</v>
      </c>
      <c r="AP534" t="s">
        <v>74</v>
      </c>
      <c r="AQ534" t="s">
        <v>74</v>
      </c>
      <c r="AR534" t="s">
        <v>74</v>
      </c>
      <c r="AS534" t="s">
        <v>74</v>
      </c>
      <c r="AT534" t="s">
        <v>74</v>
      </c>
      <c r="AU534">
        <v>2021</v>
      </c>
      <c r="AV534" t="s">
        <v>74</v>
      </c>
      <c r="AW534" t="s">
        <v>74</v>
      </c>
      <c r="AX534" t="s">
        <v>74</v>
      </c>
      <c r="AY534" t="s">
        <v>74</v>
      </c>
      <c r="AZ534" t="s">
        <v>74</v>
      </c>
      <c r="BA534" t="s">
        <v>74</v>
      </c>
      <c r="BB534" t="s">
        <v>74</v>
      </c>
      <c r="BC534" t="s">
        <v>74</v>
      </c>
      <c r="BD534">
        <v>136</v>
      </c>
      <c r="BE534" t="s">
        <v>74</v>
      </c>
      <c r="BF534" t="s">
        <v>74</v>
      </c>
      <c r="BG534" t="s">
        <v>74</v>
      </c>
      <c r="BH534" t="s">
        <v>74</v>
      </c>
      <c r="BI534">
        <v>7</v>
      </c>
      <c r="BJ534" t="s">
        <v>9902</v>
      </c>
      <c r="BK534" t="s">
        <v>4553</v>
      </c>
      <c r="BL534" t="s">
        <v>9903</v>
      </c>
      <c r="BM534" t="s">
        <v>9904</v>
      </c>
      <c r="BN534" t="s">
        <v>74</v>
      </c>
      <c r="BO534" t="s">
        <v>74</v>
      </c>
      <c r="BP534" t="s">
        <v>74</v>
      </c>
      <c r="BQ534" t="s">
        <v>74</v>
      </c>
      <c r="BR534" t="s">
        <v>106</v>
      </c>
      <c r="BS534" t="s">
        <v>10292</v>
      </c>
      <c r="BT534" t="str">
        <f>HYPERLINK("https%3A%2F%2Fwww.webofscience.com%2Fwos%2Fwoscc%2Ffull-record%2FWOS:001070848401130","View Full Record in Web of Science")</f>
        <v>View Full Record in Web of Science</v>
      </c>
    </row>
    <row r="535" spans="1:72" x14ac:dyDescent="0.15">
      <c r="A535" t="s">
        <v>4529</v>
      </c>
      <c r="B535" t="s">
        <v>10293</v>
      </c>
      <c r="C535" t="s">
        <v>74</v>
      </c>
      <c r="D535" t="s">
        <v>9885</v>
      </c>
      <c r="E535" t="s">
        <v>74</v>
      </c>
      <c r="F535" t="s">
        <v>10294</v>
      </c>
      <c r="G535" t="s">
        <v>74</v>
      </c>
      <c r="H535" t="s">
        <v>9933</v>
      </c>
      <c r="I535" t="s">
        <v>10295</v>
      </c>
      <c r="J535" t="s">
        <v>9888</v>
      </c>
      <c r="K535" t="s">
        <v>74</v>
      </c>
      <c r="L535" t="s">
        <v>74</v>
      </c>
      <c r="M535" t="s">
        <v>78</v>
      </c>
      <c r="N535" t="s">
        <v>4535</v>
      </c>
      <c r="O535" t="s">
        <v>9889</v>
      </c>
      <c r="P535" t="s">
        <v>9890</v>
      </c>
      <c r="Q535" t="s">
        <v>9891</v>
      </c>
      <c r="R535" t="s">
        <v>74</v>
      </c>
      <c r="S535" t="s">
        <v>74</v>
      </c>
      <c r="T535" t="s">
        <v>74</v>
      </c>
      <c r="U535" t="s">
        <v>74</v>
      </c>
      <c r="V535" t="s">
        <v>10296</v>
      </c>
      <c r="W535" t="s">
        <v>10297</v>
      </c>
      <c r="X535" t="s">
        <v>10023</v>
      </c>
      <c r="Y535" t="s">
        <v>10298</v>
      </c>
      <c r="Z535" t="s">
        <v>10299</v>
      </c>
      <c r="AA535" t="s">
        <v>74</v>
      </c>
      <c r="AB535" t="s">
        <v>74</v>
      </c>
      <c r="AC535" t="s">
        <v>74</v>
      </c>
      <c r="AD535" t="s">
        <v>74</v>
      </c>
      <c r="AE535" t="s">
        <v>74</v>
      </c>
      <c r="AF535" t="s">
        <v>74</v>
      </c>
      <c r="AG535">
        <v>12</v>
      </c>
      <c r="AH535">
        <v>0</v>
      </c>
      <c r="AI535">
        <v>0</v>
      </c>
      <c r="AJ535">
        <v>0</v>
      </c>
      <c r="AK535">
        <v>0</v>
      </c>
      <c r="AL535" t="s">
        <v>9899</v>
      </c>
      <c r="AM535" t="s">
        <v>9900</v>
      </c>
      <c r="AN535" t="s">
        <v>9901</v>
      </c>
      <c r="AO535" t="s">
        <v>74</v>
      </c>
      <c r="AP535" t="s">
        <v>74</v>
      </c>
      <c r="AQ535" t="s">
        <v>74</v>
      </c>
      <c r="AR535" t="s">
        <v>74</v>
      </c>
      <c r="AS535" t="s">
        <v>74</v>
      </c>
      <c r="AT535" t="s">
        <v>74</v>
      </c>
      <c r="AU535">
        <v>2021</v>
      </c>
      <c r="AV535" t="s">
        <v>74</v>
      </c>
      <c r="AW535" t="s">
        <v>74</v>
      </c>
      <c r="AX535" t="s">
        <v>74</v>
      </c>
      <c r="AY535" t="s">
        <v>74</v>
      </c>
      <c r="AZ535" t="s">
        <v>74</v>
      </c>
      <c r="BA535" t="s">
        <v>74</v>
      </c>
      <c r="BB535" t="s">
        <v>74</v>
      </c>
      <c r="BC535" t="s">
        <v>74</v>
      </c>
      <c r="BD535">
        <v>548</v>
      </c>
      <c r="BE535" t="s">
        <v>74</v>
      </c>
      <c r="BF535" t="s">
        <v>74</v>
      </c>
      <c r="BG535" t="s">
        <v>74</v>
      </c>
      <c r="BH535" t="s">
        <v>74</v>
      </c>
      <c r="BI535">
        <v>7</v>
      </c>
      <c r="BJ535" t="s">
        <v>9902</v>
      </c>
      <c r="BK535" t="s">
        <v>4553</v>
      </c>
      <c r="BL535" t="s">
        <v>9903</v>
      </c>
      <c r="BM535" t="s">
        <v>9904</v>
      </c>
      <c r="BN535" t="s">
        <v>74</v>
      </c>
      <c r="BO535" t="s">
        <v>74</v>
      </c>
      <c r="BP535" t="s">
        <v>74</v>
      </c>
      <c r="BQ535" t="s">
        <v>74</v>
      </c>
      <c r="BR535" t="s">
        <v>106</v>
      </c>
      <c r="BS535" t="s">
        <v>10300</v>
      </c>
      <c r="BT535" t="str">
        <f>HYPERLINK("https%3A%2F%2Fwww.webofscience.com%2Fwos%2Fwoscc%2Ffull-record%2FWOS:001070848404059","View Full Record in Web of Science")</f>
        <v>View Full Record in Web of Science</v>
      </c>
    </row>
    <row r="536" spans="1:72" x14ac:dyDescent="0.15">
      <c r="A536" t="s">
        <v>4529</v>
      </c>
      <c r="B536" t="s">
        <v>10301</v>
      </c>
      <c r="C536" t="s">
        <v>74</v>
      </c>
      <c r="D536" t="s">
        <v>9885</v>
      </c>
      <c r="E536" t="s">
        <v>74</v>
      </c>
      <c r="F536" t="s">
        <v>10302</v>
      </c>
      <c r="G536" t="s">
        <v>74</v>
      </c>
      <c r="H536" t="s">
        <v>10303</v>
      </c>
      <c r="I536" t="s">
        <v>10304</v>
      </c>
      <c r="J536" t="s">
        <v>9888</v>
      </c>
      <c r="K536" t="s">
        <v>74</v>
      </c>
      <c r="L536" t="s">
        <v>74</v>
      </c>
      <c r="M536" t="s">
        <v>78</v>
      </c>
      <c r="N536" t="s">
        <v>4535</v>
      </c>
      <c r="O536" t="s">
        <v>9889</v>
      </c>
      <c r="P536" t="s">
        <v>9890</v>
      </c>
      <c r="Q536" t="s">
        <v>9891</v>
      </c>
      <c r="R536" t="s">
        <v>74</v>
      </c>
      <c r="S536" t="s">
        <v>74</v>
      </c>
      <c r="T536" t="s">
        <v>74</v>
      </c>
      <c r="U536" t="s">
        <v>10305</v>
      </c>
      <c r="V536" t="s">
        <v>10306</v>
      </c>
      <c r="W536" t="s">
        <v>10307</v>
      </c>
      <c r="X536" t="s">
        <v>10156</v>
      </c>
      <c r="Y536" t="s">
        <v>10308</v>
      </c>
      <c r="Z536" t="s">
        <v>10309</v>
      </c>
      <c r="AA536" t="s">
        <v>74</v>
      </c>
      <c r="AB536" t="s">
        <v>74</v>
      </c>
      <c r="AC536" t="s">
        <v>10310</v>
      </c>
      <c r="AD536" t="s">
        <v>10311</v>
      </c>
      <c r="AE536" t="s">
        <v>10312</v>
      </c>
      <c r="AF536" t="s">
        <v>74</v>
      </c>
      <c r="AG536">
        <v>16</v>
      </c>
      <c r="AH536">
        <v>0</v>
      </c>
      <c r="AI536">
        <v>0</v>
      </c>
      <c r="AJ536">
        <v>0</v>
      </c>
      <c r="AK536">
        <v>0</v>
      </c>
      <c r="AL536" t="s">
        <v>9899</v>
      </c>
      <c r="AM536" t="s">
        <v>9900</v>
      </c>
      <c r="AN536" t="s">
        <v>9901</v>
      </c>
      <c r="AO536" t="s">
        <v>74</v>
      </c>
      <c r="AP536" t="s">
        <v>74</v>
      </c>
      <c r="AQ536" t="s">
        <v>74</v>
      </c>
      <c r="AR536" t="s">
        <v>74</v>
      </c>
      <c r="AS536" t="s">
        <v>74</v>
      </c>
      <c r="AT536" t="s">
        <v>74</v>
      </c>
      <c r="AU536">
        <v>2021</v>
      </c>
      <c r="AV536" t="s">
        <v>74</v>
      </c>
      <c r="AW536" t="s">
        <v>74</v>
      </c>
      <c r="AX536" t="s">
        <v>74</v>
      </c>
      <c r="AY536" t="s">
        <v>74</v>
      </c>
      <c r="AZ536" t="s">
        <v>74</v>
      </c>
      <c r="BA536" t="s">
        <v>74</v>
      </c>
      <c r="BB536" t="s">
        <v>74</v>
      </c>
      <c r="BC536" t="s">
        <v>74</v>
      </c>
      <c r="BD536">
        <v>462</v>
      </c>
      <c r="BE536" t="s">
        <v>74</v>
      </c>
      <c r="BF536" t="s">
        <v>74</v>
      </c>
      <c r="BG536" t="s">
        <v>74</v>
      </c>
      <c r="BH536" t="s">
        <v>74</v>
      </c>
      <c r="BI536">
        <v>8</v>
      </c>
      <c r="BJ536" t="s">
        <v>9902</v>
      </c>
      <c r="BK536" t="s">
        <v>4553</v>
      </c>
      <c r="BL536" t="s">
        <v>9903</v>
      </c>
      <c r="BM536" t="s">
        <v>9904</v>
      </c>
      <c r="BN536" t="s">
        <v>74</v>
      </c>
      <c r="BO536" t="s">
        <v>74</v>
      </c>
      <c r="BP536" t="s">
        <v>74</v>
      </c>
      <c r="BQ536" t="s">
        <v>74</v>
      </c>
      <c r="BR536" t="s">
        <v>106</v>
      </c>
      <c r="BS536" t="s">
        <v>10313</v>
      </c>
      <c r="BT536" t="str">
        <f>HYPERLINK("https%3A%2F%2Fwww.webofscience.com%2Fwos%2Fwoscc%2Ffull-record%2FWOS:001070848403129","View Full Record in Web of Science")</f>
        <v>View Full Record in Web of Science</v>
      </c>
    </row>
    <row r="537" spans="1:72" x14ac:dyDescent="0.15">
      <c r="A537" t="s">
        <v>4529</v>
      </c>
      <c r="B537" t="s">
        <v>10314</v>
      </c>
      <c r="C537" t="s">
        <v>74</v>
      </c>
      <c r="D537" t="s">
        <v>9885</v>
      </c>
      <c r="E537" t="s">
        <v>74</v>
      </c>
      <c r="F537" t="s">
        <v>10315</v>
      </c>
      <c r="G537" t="s">
        <v>74</v>
      </c>
      <c r="H537" t="s">
        <v>10316</v>
      </c>
      <c r="I537" t="s">
        <v>10317</v>
      </c>
      <c r="J537" t="s">
        <v>9888</v>
      </c>
      <c r="K537" t="s">
        <v>74</v>
      </c>
      <c r="L537" t="s">
        <v>74</v>
      </c>
      <c r="M537" t="s">
        <v>78</v>
      </c>
      <c r="N537" t="s">
        <v>4535</v>
      </c>
      <c r="O537" t="s">
        <v>9889</v>
      </c>
      <c r="P537" t="s">
        <v>9890</v>
      </c>
      <c r="Q537" t="s">
        <v>9891</v>
      </c>
      <c r="R537" t="s">
        <v>74</v>
      </c>
      <c r="S537" t="s">
        <v>74</v>
      </c>
      <c r="T537" t="s">
        <v>74</v>
      </c>
      <c r="U537" t="s">
        <v>74</v>
      </c>
      <c r="V537" t="s">
        <v>10318</v>
      </c>
      <c r="W537" t="s">
        <v>10319</v>
      </c>
      <c r="X537" t="s">
        <v>10320</v>
      </c>
      <c r="Y537" t="s">
        <v>10321</v>
      </c>
      <c r="Z537" t="s">
        <v>10322</v>
      </c>
      <c r="AA537" t="s">
        <v>74</v>
      </c>
      <c r="AB537" t="s">
        <v>74</v>
      </c>
      <c r="AC537" t="s">
        <v>10323</v>
      </c>
      <c r="AD537" t="s">
        <v>10324</v>
      </c>
      <c r="AE537" t="s">
        <v>10325</v>
      </c>
      <c r="AF537" t="s">
        <v>74</v>
      </c>
      <c r="AG537">
        <v>20</v>
      </c>
      <c r="AH537">
        <v>0</v>
      </c>
      <c r="AI537">
        <v>0</v>
      </c>
      <c r="AJ537">
        <v>0</v>
      </c>
      <c r="AK537">
        <v>0</v>
      </c>
      <c r="AL537" t="s">
        <v>9899</v>
      </c>
      <c r="AM537" t="s">
        <v>9900</v>
      </c>
      <c r="AN537" t="s">
        <v>9901</v>
      </c>
      <c r="AO537" t="s">
        <v>74</v>
      </c>
      <c r="AP537" t="s">
        <v>74</v>
      </c>
      <c r="AQ537" t="s">
        <v>74</v>
      </c>
      <c r="AR537" t="s">
        <v>74</v>
      </c>
      <c r="AS537" t="s">
        <v>74</v>
      </c>
      <c r="AT537" t="s">
        <v>74</v>
      </c>
      <c r="AU537">
        <v>2021</v>
      </c>
      <c r="AV537" t="s">
        <v>74</v>
      </c>
      <c r="AW537" t="s">
        <v>74</v>
      </c>
      <c r="AX537" t="s">
        <v>74</v>
      </c>
      <c r="AY537" t="s">
        <v>74</v>
      </c>
      <c r="AZ537" t="s">
        <v>74</v>
      </c>
      <c r="BA537" t="s">
        <v>74</v>
      </c>
      <c r="BB537" t="s">
        <v>74</v>
      </c>
      <c r="BC537" t="s">
        <v>74</v>
      </c>
      <c r="BD537">
        <v>466</v>
      </c>
      <c r="BE537" t="s">
        <v>74</v>
      </c>
      <c r="BF537" t="s">
        <v>74</v>
      </c>
      <c r="BG537" t="s">
        <v>74</v>
      </c>
      <c r="BH537" t="s">
        <v>74</v>
      </c>
      <c r="BI537">
        <v>8</v>
      </c>
      <c r="BJ537" t="s">
        <v>9902</v>
      </c>
      <c r="BK537" t="s">
        <v>4553</v>
      </c>
      <c r="BL537" t="s">
        <v>9903</v>
      </c>
      <c r="BM537" t="s">
        <v>9904</v>
      </c>
      <c r="BN537" t="s">
        <v>74</v>
      </c>
      <c r="BO537" t="s">
        <v>74</v>
      </c>
      <c r="BP537" t="s">
        <v>74</v>
      </c>
      <c r="BQ537" t="s">
        <v>74</v>
      </c>
      <c r="BR537" t="s">
        <v>106</v>
      </c>
      <c r="BS537" t="s">
        <v>10326</v>
      </c>
      <c r="BT537" t="str">
        <f>HYPERLINK("https%3A%2F%2Fwww.webofscience.com%2Fwos%2Fwoscc%2Ffull-record%2FWOS:001070848404001","View Full Record in Web of Science")</f>
        <v>View Full Record in Web of Science</v>
      </c>
    </row>
    <row r="538" spans="1:72" x14ac:dyDescent="0.15">
      <c r="A538" t="s">
        <v>4529</v>
      </c>
      <c r="B538" t="s">
        <v>10327</v>
      </c>
      <c r="C538" t="s">
        <v>74</v>
      </c>
      <c r="D538" t="s">
        <v>9885</v>
      </c>
      <c r="E538" t="s">
        <v>74</v>
      </c>
      <c r="F538" t="s">
        <v>10328</v>
      </c>
      <c r="G538" t="s">
        <v>74</v>
      </c>
      <c r="H538" t="s">
        <v>10005</v>
      </c>
      <c r="I538" t="s">
        <v>10329</v>
      </c>
      <c r="J538" t="s">
        <v>9888</v>
      </c>
      <c r="K538" t="s">
        <v>74</v>
      </c>
      <c r="L538" t="s">
        <v>74</v>
      </c>
      <c r="M538" t="s">
        <v>78</v>
      </c>
      <c r="N538" t="s">
        <v>4535</v>
      </c>
      <c r="O538" t="s">
        <v>9889</v>
      </c>
      <c r="P538" t="s">
        <v>9890</v>
      </c>
      <c r="Q538" t="s">
        <v>9891</v>
      </c>
      <c r="R538" t="s">
        <v>74</v>
      </c>
      <c r="S538" t="s">
        <v>74</v>
      </c>
      <c r="T538" t="s">
        <v>74</v>
      </c>
      <c r="U538" t="s">
        <v>74</v>
      </c>
      <c r="V538" t="s">
        <v>10330</v>
      </c>
      <c r="W538" t="s">
        <v>10331</v>
      </c>
      <c r="X538" t="s">
        <v>10332</v>
      </c>
      <c r="Y538" t="s">
        <v>10333</v>
      </c>
      <c r="Z538" t="s">
        <v>10334</v>
      </c>
      <c r="AA538" t="s">
        <v>10335</v>
      </c>
      <c r="AB538" t="s">
        <v>74</v>
      </c>
      <c r="AC538" t="s">
        <v>10336</v>
      </c>
      <c r="AD538" t="s">
        <v>10337</v>
      </c>
      <c r="AE538" t="s">
        <v>10338</v>
      </c>
      <c r="AF538" t="s">
        <v>74</v>
      </c>
      <c r="AG538">
        <v>14</v>
      </c>
      <c r="AH538">
        <v>0</v>
      </c>
      <c r="AI538">
        <v>0</v>
      </c>
      <c r="AJ538">
        <v>0</v>
      </c>
      <c r="AK538">
        <v>0</v>
      </c>
      <c r="AL538" t="s">
        <v>9899</v>
      </c>
      <c r="AM538" t="s">
        <v>9900</v>
      </c>
      <c r="AN538" t="s">
        <v>9901</v>
      </c>
      <c r="AO538" t="s">
        <v>74</v>
      </c>
      <c r="AP538" t="s">
        <v>74</v>
      </c>
      <c r="AQ538" t="s">
        <v>74</v>
      </c>
      <c r="AR538" t="s">
        <v>74</v>
      </c>
      <c r="AS538" t="s">
        <v>74</v>
      </c>
      <c r="AT538" t="s">
        <v>74</v>
      </c>
      <c r="AU538">
        <v>2021</v>
      </c>
      <c r="AV538" t="s">
        <v>74</v>
      </c>
      <c r="AW538" t="s">
        <v>74</v>
      </c>
      <c r="AX538" t="s">
        <v>74</v>
      </c>
      <c r="AY538" t="s">
        <v>74</v>
      </c>
      <c r="AZ538" t="s">
        <v>74</v>
      </c>
      <c r="BA538" t="s">
        <v>74</v>
      </c>
      <c r="BB538" t="s">
        <v>74</v>
      </c>
      <c r="BC538" t="s">
        <v>74</v>
      </c>
      <c r="BD538">
        <v>1034</v>
      </c>
      <c r="BE538" t="s">
        <v>74</v>
      </c>
      <c r="BF538" t="s">
        <v>74</v>
      </c>
      <c r="BG538" t="s">
        <v>74</v>
      </c>
      <c r="BH538" t="s">
        <v>74</v>
      </c>
      <c r="BI538">
        <v>8</v>
      </c>
      <c r="BJ538" t="s">
        <v>9902</v>
      </c>
      <c r="BK538" t="s">
        <v>4553</v>
      </c>
      <c r="BL538" t="s">
        <v>9903</v>
      </c>
      <c r="BM538" t="s">
        <v>9904</v>
      </c>
      <c r="BN538" t="s">
        <v>74</v>
      </c>
      <c r="BO538" t="s">
        <v>74</v>
      </c>
      <c r="BP538" t="s">
        <v>74</v>
      </c>
      <c r="BQ538" t="s">
        <v>74</v>
      </c>
      <c r="BR538" t="s">
        <v>106</v>
      </c>
      <c r="BS538" t="s">
        <v>10339</v>
      </c>
      <c r="BT538" t="str">
        <f>HYPERLINK("https%3A%2F%2Fwww.webofscience.com%2Fwos%2Fwoscc%2Ffull-record%2FWOS:001070848400097","View Full Record in Web of Science")</f>
        <v>View Full Record in Web of Science</v>
      </c>
    </row>
    <row r="539" spans="1:72" x14ac:dyDescent="0.15">
      <c r="A539" t="s">
        <v>72</v>
      </c>
      <c r="B539" t="s">
        <v>10340</v>
      </c>
      <c r="C539" t="s">
        <v>74</v>
      </c>
      <c r="D539" t="s">
        <v>74</v>
      </c>
      <c r="E539" t="s">
        <v>74</v>
      </c>
      <c r="F539" t="s">
        <v>10341</v>
      </c>
      <c r="G539" t="s">
        <v>74</v>
      </c>
      <c r="H539" t="s">
        <v>74</v>
      </c>
      <c r="I539" t="s">
        <v>10342</v>
      </c>
      <c r="J539" t="s">
        <v>10343</v>
      </c>
      <c r="K539" t="s">
        <v>74</v>
      </c>
      <c r="L539" t="s">
        <v>74</v>
      </c>
      <c r="M539" t="s">
        <v>78</v>
      </c>
      <c r="N539" t="s">
        <v>79</v>
      </c>
      <c r="O539" t="s">
        <v>74</v>
      </c>
      <c r="P539" t="s">
        <v>74</v>
      </c>
      <c r="Q539" t="s">
        <v>74</v>
      </c>
      <c r="R539" t="s">
        <v>74</v>
      </c>
      <c r="S539" t="s">
        <v>74</v>
      </c>
      <c r="T539" t="s">
        <v>10344</v>
      </c>
      <c r="U539" t="s">
        <v>10345</v>
      </c>
      <c r="V539" t="s">
        <v>10346</v>
      </c>
      <c r="W539" t="s">
        <v>10347</v>
      </c>
      <c r="X539" t="s">
        <v>10348</v>
      </c>
      <c r="Y539" t="s">
        <v>10349</v>
      </c>
      <c r="Z539" t="s">
        <v>10350</v>
      </c>
      <c r="AA539" t="s">
        <v>10351</v>
      </c>
      <c r="AB539" t="s">
        <v>10352</v>
      </c>
      <c r="AC539" t="s">
        <v>10353</v>
      </c>
      <c r="AD539" t="s">
        <v>10353</v>
      </c>
      <c r="AE539" t="s">
        <v>10354</v>
      </c>
      <c r="AF539" t="s">
        <v>74</v>
      </c>
      <c r="AG539">
        <v>55</v>
      </c>
      <c r="AH539">
        <v>1</v>
      </c>
      <c r="AI539">
        <v>1</v>
      </c>
      <c r="AJ539">
        <v>0</v>
      </c>
      <c r="AK539">
        <v>6</v>
      </c>
      <c r="AL539" t="s">
        <v>10355</v>
      </c>
      <c r="AM539" t="s">
        <v>10356</v>
      </c>
      <c r="AN539" t="s">
        <v>10357</v>
      </c>
      <c r="AO539" t="s">
        <v>10358</v>
      </c>
      <c r="AP539" t="s">
        <v>74</v>
      </c>
      <c r="AQ539" t="s">
        <v>74</v>
      </c>
      <c r="AR539" t="s">
        <v>10359</v>
      </c>
      <c r="AS539" t="s">
        <v>10360</v>
      </c>
      <c r="AT539" t="s">
        <v>74</v>
      </c>
      <c r="AU539">
        <v>2021</v>
      </c>
      <c r="AV539">
        <v>18</v>
      </c>
      <c r="AW539">
        <v>2</v>
      </c>
      <c r="AX539" t="s">
        <v>74</v>
      </c>
      <c r="AY539" t="s">
        <v>74</v>
      </c>
      <c r="AZ539" t="s">
        <v>74</v>
      </c>
      <c r="BA539" t="s">
        <v>74</v>
      </c>
      <c r="BB539">
        <v>253</v>
      </c>
      <c r="BC539">
        <v>265</v>
      </c>
      <c r="BD539" t="s">
        <v>74</v>
      </c>
      <c r="BE539" t="s">
        <v>10361</v>
      </c>
      <c r="BF539" t="str">
        <f>HYPERLINK("http://dx.doi.org/10.13168/AGG.2021.0018","http://dx.doi.org/10.13168/AGG.2021.0018")</f>
        <v>http://dx.doi.org/10.13168/AGG.2021.0018</v>
      </c>
      <c r="BG539" t="s">
        <v>74</v>
      </c>
      <c r="BH539" t="s">
        <v>74</v>
      </c>
      <c r="BI539">
        <v>13</v>
      </c>
      <c r="BJ539" t="s">
        <v>10362</v>
      </c>
      <c r="BK539" t="s">
        <v>103</v>
      </c>
      <c r="BL539" t="s">
        <v>10362</v>
      </c>
      <c r="BM539" t="s">
        <v>10363</v>
      </c>
      <c r="BN539" t="s">
        <v>74</v>
      </c>
      <c r="BO539" t="s">
        <v>218</v>
      </c>
      <c r="BP539" t="s">
        <v>74</v>
      </c>
      <c r="BQ539" t="s">
        <v>74</v>
      </c>
      <c r="BR539" t="s">
        <v>106</v>
      </c>
      <c r="BS539" t="s">
        <v>10364</v>
      </c>
      <c r="BT539" t="str">
        <f>HYPERLINK("https%3A%2F%2Fwww.webofscience.com%2Fwos%2Fwoscc%2Ffull-record%2FWOS:000661266800010","View Full Record in Web of Science")</f>
        <v>View Full Record in Web of Science</v>
      </c>
    </row>
    <row r="540" spans="1:72" x14ac:dyDescent="0.15">
      <c r="A540" t="s">
        <v>4589</v>
      </c>
      <c r="B540" t="s">
        <v>10365</v>
      </c>
      <c r="C540" t="s">
        <v>74</v>
      </c>
      <c r="D540" t="s">
        <v>10366</v>
      </c>
      <c r="E540" t="s">
        <v>74</v>
      </c>
      <c r="F540" t="s">
        <v>10367</v>
      </c>
      <c r="G540" t="s">
        <v>74</v>
      </c>
      <c r="H540" t="s">
        <v>74</v>
      </c>
      <c r="I540" t="s">
        <v>10368</v>
      </c>
      <c r="J540" t="s">
        <v>10369</v>
      </c>
      <c r="K540" t="s">
        <v>10370</v>
      </c>
      <c r="L540" t="s">
        <v>74</v>
      </c>
      <c r="M540" t="s">
        <v>78</v>
      </c>
      <c r="N540" t="s">
        <v>6692</v>
      </c>
      <c r="O540" t="s">
        <v>74</v>
      </c>
      <c r="P540" t="s">
        <v>74</v>
      </c>
      <c r="Q540" t="s">
        <v>74</v>
      </c>
      <c r="R540" t="s">
        <v>74</v>
      </c>
      <c r="S540" t="s">
        <v>74</v>
      </c>
      <c r="T540" t="s">
        <v>10371</v>
      </c>
      <c r="U540" t="s">
        <v>10372</v>
      </c>
      <c r="V540" t="s">
        <v>10373</v>
      </c>
      <c r="W540" t="s">
        <v>10374</v>
      </c>
      <c r="X540" t="s">
        <v>10375</v>
      </c>
      <c r="Y540" t="s">
        <v>10376</v>
      </c>
      <c r="Z540" t="s">
        <v>10377</v>
      </c>
      <c r="AA540" t="s">
        <v>10378</v>
      </c>
      <c r="AB540" t="s">
        <v>10379</v>
      </c>
      <c r="AC540" t="s">
        <v>10380</v>
      </c>
      <c r="AD540" t="s">
        <v>10381</v>
      </c>
      <c r="AE540" t="s">
        <v>10382</v>
      </c>
      <c r="AF540" t="s">
        <v>74</v>
      </c>
      <c r="AG540">
        <v>119</v>
      </c>
      <c r="AH540">
        <v>260</v>
      </c>
      <c r="AI540">
        <v>280</v>
      </c>
      <c r="AJ540">
        <v>77</v>
      </c>
      <c r="AK540">
        <v>404</v>
      </c>
      <c r="AL540" t="s">
        <v>6705</v>
      </c>
      <c r="AM540" t="s">
        <v>6706</v>
      </c>
      <c r="AN540" t="s">
        <v>6707</v>
      </c>
      <c r="AO540" t="s">
        <v>10383</v>
      </c>
      <c r="AP540" t="s">
        <v>74</v>
      </c>
      <c r="AQ540" t="s">
        <v>74</v>
      </c>
      <c r="AR540" t="s">
        <v>10384</v>
      </c>
      <c r="AS540" t="s">
        <v>10385</v>
      </c>
      <c r="AT540" t="s">
        <v>74</v>
      </c>
      <c r="AU540">
        <v>2021</v>
      </c>
      <c r="AV540">
        <v>13</v>
      </c>
      <c r="AW540" t="s">
        <v>74</v>
      </c>
      <c r="AX540" t="s">
        <v>74</v>
      </c>
      <c r="AY540" t="s">
        <v>74</v>
      </c>
      <c r="AZ540" t="s">
        <v>74</v>
      </c>
      <c r="BA540" t="s">
        <v>74</v>
      </c>
      <c r="BB540">
        <v>313</v>
      </c>
      <c r="BC540">
        <v>342</v>
      </c>
      <c r="BD540" t="s">
        <v>74</v>
      </c>
      <c r="BE540" t="s">
        <v>10386</v>
      </c>
      <c r="BF540" t="str">
        <f>HYPERLINK("http://dx.doi.org/10.1146/annurev-marine-032720-095144","http://dx.doi.org/10.1146/annurev-marine-032720-095144")</f>
        <v>http://dx.doi.org/10.1146/annurev-marine-032720-095144</v>
      </c>
      <c r="BG540" t="s">
        <v>74</v>
      </c>
      <c r="BH540" t="s">
        <v>74</v>
      </c>
      <c r="BI540">
        <v>30</v>
      </c>
      <c r="BJ540" t="s">
        <v>455</v>
      </c>
      <c r="BK540" t="s">
        <v>6716</v>
      </c>
      <c r="BL540" t="s">
        <v>456</v>
      </c>
      <c r="BM540" t="s">
        <v>10387</v>
      </c>
      <c r="BN540">
        <v>32976730</v>
      </c>
      <c r="BO540" t="s">
        <v>74</v>
      </c>
      <c r="BP540" t="s">
        <v>1589</v>
      </c>
      <c r="BQ540" t="s">
        <v>1590</v>
      </c>
      <c r="BR540" t="s">
        <v>106</v>
      </c>
      <c r="BS540" t="s">
        <v>10388</v>
      </c>
      <c r="BT540" t="str">
        <f>HYPERLINK("https%3A%2F%2Fwww.webofscience.com%2Fwos%2Fwoscc%2Ffull-record%2FWOS:000614649200014","View Full Record in Web of Science")</f>
        <v>View Full Record in Web of Science</v>
      </c>
    </row>
    <row r="541" spans="1:72" x14ac:dyDescent="0.15">
      <c r="A541" t="s">
        <v>72</v>
      </c>
      <c r="B541" t="s">
        <v>10389</v>
      </c>
      <c r="C541" t="s">
        <v>74</v>
      </c>
      <c r="D541" t="s">
        <v>74</v>
      </c>
      <c r="E541" t="s">
        <v>74</v>
      </c>
      <c r="F541" t="s">
        <v>10390</v>
      </c>
      <c r="G541" t="s">
        <v>74</v>
      </c>
      <c r="H541" t="s">
        <v>74</v>
      </c>
      <c r="I541" t="s">
        <v>10391</v>
      </c>
      <c r="J541" t="s">
        <v>9454</v>
      </c>
      <c r="K541" t="s">
        <v>74</v>
      </c>
      <c r="L541" t="s">
        <v>74</v>
      </c>
      <c r="M541" t="s">
        <v>78</v>
      </c>
      <c r="N541" t="s">
        <v>79</v>
      </c>
      <c r="O541" t="s">
        <v>74</v>
      </c>
      <c r="P541" t="s">
        <v>74</v>
      </c>
      <c r="Q541" t="s">
        <v>74</v>
      </c>
      <c r="R541" t="s">
        <v>74</v>
      </c>
      <c r="S541" t="s">
        <v>74</v>
      </c>
      <c r="T541" t="s">
        <v>10392</v>
      </c>
      <c r="U541" t="s">
        <v>10393</v>
      </c>
      <c r="V541" t="s">
        <v>10394</v>
      </c>
      <c r="W541" t="s">
        <v>10395</v>
      </c>
      <c r="X541" t="s">
        <v>10396</v>
      </c>
      <c r="Y541" t="s">
        <v>10397</v>
      </c>
      <c r="Z541" t="s">
        <v>10398</v>
      </c>
      <c r="AA541" t="s">
        <v>10399</v>
      </c>
      <c r="AB541" t="s">
        <v>10400</v>
      </c>
      <c r="AC541" t="s">
        <v>10401</v>
      </c>
      <c r="AD541" t="s">
        <v>10402</v>
      </c>
      <c r="AE541" t="s">
        <v>10403</v>
      </c>
      <c r="AF541" t="s">
        <v>74</v>
      </c>
      <c r="AG541">
        <v>61</v>
      </c>
      <c r="AH541">
        <v>12</v>
      </c>
      <c r="AI541">
        <v>12</v>
      </c>
      <c r="AJ541">
        <v>2</v>
      </c>
      <c r="AK541">
        <v>29</v>
      </c>
      <c r="AL541" t="s">
        <v>9467</v>
      </c>
      <c r="AM541" t="s">
        <v>629</v>
      </c>
      <c r="AN541" t="s">
        <v>9468</v>
      </c>
      <c r="AO541" t="s">
        <v>9469</v>
      </c>
      <c r="AP541" t="s">
        <v>9470</v>
      </c>
      <c r="AQ541" t="s">
        <v>74</v>
      </c>
      <c r="AR541" t="s">
        <v>9471</v>
      </c>
      <c r="AS541" t="s">
        <v>9472</v>
      </c>
      <c r="AT541" t="s">
        <v>374</v>
      </c>
      <c r="AU541">
        <v>2021</v>
      </c>
      <c r="AV541">
        <v>87</v>
      </c>
      <c r="AW541">
        <v>2</v>
      </c>
      <c r="AX541" t="s">
        <v>74</v>
      </c>
      <c r="AY541" t="s">
        <v>74</v>
      </c>
      <c r="AZ541" t="s">
        <v>74</v>
      </c>
      <c r="BA541" t="s">
        <v>74</v>
      </c>
      <c r="BB541" t="s">
        <v>74</v>
      </c>
      <c r="BC541" t="s">
        <v>74</v>
      </c>
      <c r="BD541" t="s">
        <v>10404</v>
      </c>
      <c r="BE541" t="s">
        <v>10405</v>
      </c>
      <c r="BF541" t="str">
        <f>HYPERLINK("http://dx.doi.org/10.1128/AEM.02247-20","http://dx.doi.org/10.1128/AEM.02247-20")</f>
        <v>http://dx.doi.org/10.1128/AEM.02247-20</v>
      </c>
      <c r="BG541" t="s">
        <v>74</v>
      </c>
      <c r="BH541" t="s">
        <v>74</v>
      </c>
      <c r="BI541">
        <v>15</v>
      </c>
      <c r="BJ541" t="s">
        <v>709</v>
      </c>
      <c r="BK541" t="s">
        <v>103</v>
      </c>
      <c r="BL541" t="s">
        <v>709</v>
      </c>
      <c r="BM541" t="s">
        <v>9475</v>
      </c>
      <c r="BN541">
        <v>33097517</v>
      </c>
      <c r="BO541" t="s">
        <v>561</v>
      </c>
      <c r="BP541" t="s">
        <v>74</v>
      </c>
      <c r="BQ541" t="s">
        <v>74</v>
      </c>
      <c r="BR541" t="s">
        <v>106</v>
      </c>
      <c r="BS541" t="s">
        <v>10406</v>
      </c>
      <c r="BT541" t="str">
        <f>HYPERLINK("https%3A%2F%2Fwww.webofscience.com%2Fwos%2Fwoscc%2Ffull-record%2FWOS:000605459800020","View Full Record in Web of Science")</f>
        <v>View Full Record in Web of Science</v>
      </c>
    </row>
    <row r="542" spans="1:72" x14ac:dyDescent="0.15">
      <c r="A542" t="s">
        <v>72</v>
      </c>
      <c r="B542" t="s">
        <v>10407</v>
      </c>
      <c r="C542" t="s">
        <v>74</v>
      </c>
      <c r="D542" t="s">
        <v>74</v>
      </c>
      <c r="E542" t="s">
        <v>74</v>
      </c>
      <c r="F542" t="s">
        <v>10408</v>
      </c>
      <c r="G542" t="s">
        <v>74</v>
      </c>
      <c r="H542" t="s">
        <v>74</v>
      </c>
      <c r="I542" t="s">
        <v>10409</v>
      </c>
      <c r="J542" t="s">
        <v>10410</v>
      </c>
      <c r="K542" t="s">
        <v>74</v>
      </c>
      <c r="L542" t="s">
        <v>74</v>
      </c>
      <c r="M542" t="s">
        <v>78</v>
      </c>
      <c r="N542" t="s">
        <v>79</v>
      </c>
      <c r="O542" t="s">
        <v>74</v>
      </c>
      <c r="P542" t="s">
        <v>74</v>
      </c>
      <c r="Q542" t="s">
        <v>74</v>
      </c>
      <c r="R542" t="s">
        <v>74</v>
      </c>
      <c r="S542" t="s">
        <v>74</v>
      </c>
      <c r="T542" t="s">
        <v>10411</v>
      </c>
      <c r="U542" t="s">
        <v>10412</v>
      </c>
      <c r="V542" t="s">
        <v>10413</v>
      </c>
      <c r="W542" t="s">
        <v>10414</v>
      </c>
      <c r="X542" t="s">
        <v>9526</v>
      </c>
      <c r="Y542" t="s">
        <v>10415</v>
      </c>
      <c r="Z542" t="s">
        <v>10416</v>
      </c>
      <c r="AA542" t="s">
        <v>10417</v>
      </c>
      <c r="AB542" t="s">
        <v>10418</v>
      </c>
      <c r="AC542" t="s">
        <v>74</v>
      </c>
      <c r="AD542" t="s">
        <v>74</v>
      </c>
      <c r="AE542" t="s">
        <v>74</v>
      </c>
      <c r="AF542" t="s">
        <v>74</v>
      </c>
      <c r="AG542">
        <v>180</v>
      </c>
      <c r="AH542">
        <v>3</v>
      </c>
      <c r="AI542">
        <v>4</v>
      </c>
      <c r="AJ542">
        <v>2</v>
      </c>
      <c r="AK542">
        <v>17</v>
      </c>
      <c r="AL542" t="s">
        <v>446</v>
      </c>
      <c r="AM542" t="s">
        <v>447</v>
      </c>
      <c r="AN542" t="s">
        <v>448</v>
      </c>
      <c r="AO542" t="s">
        <v>10419</v>
      </c>
      <c r="AP542" t="s">
        <v>10420</v>
      </c>
      <c r="AQ542" t="s">
        <v>74</v>
      </c>
      <c r="AR542" t="s">
        <v>10421</v>
      </c>
      <c r="AS542" t="s">
        <v>10422</v>
      </c>
      <c r="AT542" t="s">
        <v>74</v>
      </c>
      <c r="AU542">
        <v>2021</v>
      </c>
      <c r="AV542">
        <v>87</v>
      </c>
      <c r="AW542" t="s">
        <v>74</v>
      </c>
      <c r="AX542" t="s">
        <v>74</v>
      </c>
      <c r="AY542" t="s">
        <v>74</v>
      </c>
      <c r="AZ542" t="s">
        <v>74</v>
      </c>
      <c r="BA542" t="s">
        <v>74</v>
      </c>
      <c r="BB542">
        <v>185</v>
      </c>
      <c r="BC542">
        <v>203</v>
      </c>
      <c r="BD542" t="s">
        <v>74</v>
      </c>
      <c r="BE542" t="s">
        <v>10423</v>
      </c>
      <c r="BF542" t="str">
        <f>HYPERLINK("http://dx.doi.org/10.3354/ame01978","http://dx.doi.org/10.3354/ame01978")</f>
        <v>http://dx.doi.org/10.3354/ame01978</v>
      </c>
      <c r="BG542" t="s">
        <v>74</v>
      </c>
      <c r="BH542" t="s">
        <v>74</v>
      </c>
      <c r="BI542">
        <v>19</v>
      </c>
      <c r="BJ542" t="s">
        <v>3444</v>
      </c>
      <c r="BK542" t="s">
        <v>103</v>
      </c>
      <c r="BL542" t="s">
        <v>3445</v>
      </c>
      <c r="BM542" t="s">
        <v>10424</v>
      </c>
      <c r="BN542" t="s">
        <v>74</v>
      </c>
      <c r="BO542" t="s">
        <v>1220</v>
      </c>
      <c r="BP542" t="s">
        <v>74</v>
      </c>
      <c r="BQ542" t="s">
        <v>74</v>
      </c>
      <c r="BR542" t="s">
        <v>106</v>
      </c>
      <c r="BS542" t="s">
        <v>10425</v>
      </c>
      <c r="BT542" t="str">
        <f>HYPERLINK("https%3A%2F%2Fwww.webofscience.com%2Fwos%2Fwoscc%2Ffull-record%2FWOS:000751779200002","View Full Record in Web of Science")</f>
        <v>View Full Record in Web of Science</v>
      </c>
    </row>
    <row r="543" spans="1:72" x14ac:dyDescent="0.15">
      <c r="A543" t="s">
        <v>4529</v>
      </c>
      <c r="B543" t="s">
        <v>10426</v>
      </c>
      <c r="C543" t="s">
        <v>74</v>
      </c>
      <c r="D543" t="s">
        <v>74</v>
      </c>
      <c r="E543" t="s">
        <v>10427</v>
      </c>
      <c r="F543" t="s">
        <v>10428</v>
      </c>
      <c r="G543" t="s">
        <v>74</v>
      </c>
      <c r="H543" t="s">
        <v>74</v>
      </c>
      <c r="I543" t="s">
        <v>10429</v>
      </c>
      <c r="J543" t="s">
        <v>10430</v>
      </c>
      <c r="K543" t="s">
        <v>74</v>
      </c>
      <c r="L543" t="s">
        <v>74</v>
      </c>
      <c r="M543" t="s">
        <v>7063</v>
      </c>
      <c r="N543" t="s">
        <v>4535</v>
      </c>
      <c r="O543" t="s">
        <v>10431</v>
      </c>
      <c r="P543" t="s">
        <v>10432</v>
      </c>
      <c r="Q543" t="s">
        <v>10433</v>
      </c>
      <c r="R543" t="s">
        <v>74</v>
      </c>
      <c r="S543" t="s">
        <v>10434</v>
      </c>
      <c r="T543" t="s">
        <v>10435</v>
      </c>
      <c r="U543" t="s">
        <v>74</v>
      </c>
      <c r="V543" t="s">
        <v>10436</v>
      </c>
      <c r="W543" t="s">
        <v>10437</v>
      </c>
      <c r="X543" t="s">
        <v>74</v>
      </c>
      <c r="Y543" t="s">
        <v>10438</v>
      </c>
      <c r="Z543" t="s">
        <v>10439</v>
      </c>
      <c r="AA543" t="s">
        <v>74</v>
      </c>
      <c r="AB543" t="s">
        <v>74</v>
      </c>
      <c r="AC543" t="s">
        <v>74</v>
      </c>
      <c r="AD543" t="s">
        <v>74</v>
      </c>
      <c r="AE543" t="s">
        <v>74</v>
      </c>
      <c r="AF543" t="s">
        <v>74</v>
      </c>
      <c r="AG543">
        <v>8</v>
      </c>
      <c r="AH543">
        <v>0</v>
      </c>
      <c r="AI543">
        <v>0</v>
      </c>
      <c r="AJ543">
        <v>0</v>
      </c>
      <c r="AK543">
        <v>0</v>
      </c>
      <c r="AL543" t="s">
        <v>10440</v>
      </c>
      <c r="AM543" t="s">
        <v>473</v>
      </c>
      <c r="AN543" t="s">
        <v>10441</v>
      </c>
      <c r="AO543" t="s">
        <v>74</v>
      </c>
      <c r="AP543" t="s">
        <v>74</v>
      </c>
      <c r="AQ543" t="s">
        <v>10442</v>
      </c>
      <c r="AR543" t="s">
        <v>74</v>
      </c>
      <c r="AS543" t="s">
        <v>74</v>
      </c>
      <c r="AT543" t="s">
        <v>74</v>
      </c>
      <c r="AU543">
        <v>2021</v>
      </c>
      <c r="AV543" t="s">
        <v>74</v>
      </c>
      <c r="AW543" t="s">
        <v>74</v>
      </c>
      <c r="AX543" t="s">
        <v>74</v>
      </c>
      <c r="AY543" t="s">
        <v>74</v>
      </c>
      <c r="AZ543" t="s">
        <v>74</v>
      </c>
      <c r="BA543" t="s">
        <v>74</v>
      </c>
      <c r="BB543" t="s">
        <v>74</v>
      </c>
      <c r="BC543" t="s">
        <v>74</v>
      </c>
      <c r="BD543">
        <v>5</v>
      </c>
      <c r="BE543" t="s">
        <v>10443</v>
      </c>
      <c r="BF543" t="str">
        <f>HYPERLINK("http://dx.doi.org/10.1145/3483529.3483534","http://dx.doi.org/10.1145/3483529.3483534")</f>
        <v>http://dx.doi.org/10.1145/3483529.3483534</v>
      </c>
      <c r="BG543" t="s">
        <v>74</v>
      </c>
      <c r="BH543" t="s">
        <v>74</v>
      </c>
      <c r="BI543">
        <v>5</v>
      </c>
      <c r="BJ543" t="s">
        <v>74</v>
      </c>
      <c r="BK543" t="s">
        <v>10444</v>
      </c>
      <c r="BL543" t="s">
        <v>74</v>
      </c>
      <c r="BM543" t="s">
        <v>10445</v>
      </c>
      <c r="BN543" t="s">
        <v>74</v>
      </c>
      <c r="BO543" t="s">
        <v>74</v>
      </c>
      <c r="BP543" t="s">
        <v>74</v>
      </c>
      <c r="BQ543" t="s">
        <v>74</v>
      </c>
      <c r="BR543" t="s">
        <v>106</v>
      </c>
      <c r="BS543" t="s">
        <v>10446</v>
      </c>
      <c r="BT543" t="str">
        <f>HYPERLINK("https%3A%2F%2Fwww.webofscience.com%2Fwos%2Fwoscc%2Ffull-record%2FWOS:000934707500003","View Full Record in Web of Science")</f>
        <v>View Full Record in Web of Science</v>
      </c>
    </row>
    <row r="544" spans="1:72" x14ac:dyDescent="0.15">
      <c r="A544" t="s">
        <v>4669</v>
      </c>
      <c r="B544" t="s">
        <v>10447</v>
      </c>
      <c r="C544" t="s">
        <v>74</v>
      </c>
      <c r="D544" t="s">
        <v>10448</v>
      </c>
      <c r="E544" t="s">
        <v>74</v>
      </c>
      <c r="F544" t="s">
        <v>10449</v>
      </c>
      <c r="G544" t="s">
        <v>74</v>
      </c>
      <c r="H544" t="s">
        <v>74</v>
      </c>
      <c r="I544" t="s">
        <v>10450</v>
      </c>
      <c r="J544" t="s">
        <v>10451</v>
      </c>
      <c r="K544" t="s">
        <v>74</v>
      </c>
      <c r="L544" t="s">
        <v>74</v>
      </c>
      <c r="M544" t="s">
        <v>78</v>
      </c>
      <c r="N544" t="s">
        <v>4596</v>
      </c>
      <c r="O544" t="s">
        <v>74</v>
      </c>
      <c r="P544" t="s">
        <v>74</v>
      </c>
      <c r="Q544" t="s">
        <v>74</v>
      </c>
      <c r="R544" t="s">
        <v>74</v>
      </c>
      <c r="S544" t="s">
        <v>74</v>
      </c>
      <c r="T544" t="s">
        <v>74</v>
      </c>
      <c r="U544" t="s">
        <v>74</v>
      </c>
      <c r="V544" t="s">
        <v>74</v>
      </c>
      <c r="W544" t="s">
        <v>10452</v>
      </c>
      <c r="X544" t="s">
        <v>6786</v>
      </c>
      <c r="Y544" t="s">
        <v>10453</v>
      </c>
      <c r="Z544" t="s">
        <v>74</v>
      </c>
      <c r="AA544" t="s">
        <v>74</v>
      </c>
      <c r="AB544" t="s">
        <v>74</v>
      </c>
      <c r="AC544" t="s">
        <v>74</v>
      </c>
      <c r="AD544" t="s">
        <v>74</v>
      </c>
      <c r="AE544" t="s">
        <v>74</v>
      </c>
      <c r="AF544" t="s">
        <v>74</v>
      </c>
      <c r="AG544">
        <v>49</v>
      </c>
      <c r="AH544">
        <v>0</v>
      </c>
      <c r="AI544">
        <v>0</v>
      </c>
      <c r="AJ544">
        <v>0</v>
      </c>
      <c r="AK544">
        <v>0</v>
      </c>
      <c r="AL544" t="s">
        <v>1210</v>
      </c>
      <c r="AM544" t="s">
        <v>264</v>
      </c>
      <c r="AN544" t="s">
        <v>5964</v>
      </c>
      <c r="AO544" t="s">
        <v>74</v>
      </c>
      <c r="AP544" t="s">
        <v>74</v>
      </c>
      <c r="AQ544" t="s">
        <v>10454</v>
      </c>
      <c r="AR544" t="s">
        <v>74</v>
      </c>
      <c r="AS544" t="s">
        <v>74</v>
      </c>
      <c r="AT544" t="s">
        <v>74</v>
      </c>
      <c r="AU544">
        <v>2021</v>
      </c>
      <c r="AV544" t="s">
        <v>74</v>
      </c>
      <c r="AW544" t="s">
        <v>74</v>
      </c>
      <c r="AX544" t="s">
        <v>74</v>
      </c>
      <c r="AY544" t="s">
        <v>74</v>
      </c>
      <c r="AZ544" t="s">
        <v>74</v>
      </c>
      <c r="BA544" t="s">
        <v>74</v>
      </c>
      <c r="BB544">
        <v>103</v>
      </c>
      <c r="BC544">
        <v>117</v>
      </c>
      <c r="BD544" t="s">
        <v>74</v>
      </c>
      <c r="BE544" t="s">
        <v>74</v>
      </c>
      <c r="BF544" t="s">
        <v>74</v>
      </c>
      <c r="BG544" t="s">
        <v>10455</v>
      </c>
      <c r="BH544" t="s">
        <v>74</v>
      </c>
      <c r="BI544">
        <v>15</v>
      </c>
      <c r="BJ544" t="s">
        <v>10456</v>
      </c>
      <c r="BK544" t="s">
        <v>4683</v>
      </c>
      <c r="BL544" t="s">
        <v>10457</v>
      </c>
      <c r="BM544" t="s">
        <v>10458</v>
      </c>
      <c r="BN544" t="s">
        <v>74</v>
      </c>
      <c r="BO544" t="s">
        <v>74</v>
      </c>
      <c r="BP544" t="s">
        <v>74</v>
      </c>
      <c r="BQ544" t="s">
        <v>74</v>
      </c>
      <c r="BR544" t="s">
        <v>106</v>
      </c>
      <c r="BS544" t="s">
        <v>10459</v>
      </c>
      <c r="BT544" t="str">
        <f>HYPERLINK("https%3A%2F%2Fwww.webofscience.com%2Fwos%2Fwoscc%2Ffull-record%2FWOS:001038186200007","View Full Record in Web of Science")</f>
        <v>View Full Record in Web of Science</v>
      </c>
    </row>
    <row r="545" spans="1:72" x14ac:dyDescent="0.15">
      <c r="A545" t="s">
        <v>72</v>
      </c>
      <c r="B545" t="s">
        <v>10460</v>
      </c>
      <c r="C545" t="s">
        <v>74</v>
      </c>
      <c r="D545" t="s">
        <v>74</v>
      </c>
      <c r="E545" t="s">
        <v>74</v>
      </c>
      <c r="F545" t="s">
        <v>10461</v>
      </c>
      <c r="G545" t="s">
        <v>74</v>
      </c>
      <c r="H545" t="s">
        <v>74</v>
      </c>
      <c r="I545" t="s">
        <v>10462</v>
      </c>
      <c r="J545" t="s">
        <v>10463</v>
      </c>
      <c r="K545" t="s">
        <v>74</v>
      </c>
      <c r="L545" t="s">
        <v>74</v>
      </c>
      <c r="M545" t="s">
        <v>78</v>
      </c>
      <c r="N545" t="s">
        <v>79</v>
      </c>
      <c r="O545" t="s">
        <v>74</v>
      </c>
      <c r="P545" t="s">
        <v>74</v>
      </c>
      <c r="Q545" t="s">
        <v>74</v>
      </c>
      <c r="R545" t="s">
        <v>74</v>
      </c>
      <c r="S545" t="s">
        <v>74</v>
      </c>
      <c r="T545" t="s">
        <v>10464</v>
      </c>
      <c r="U545" t="s">
        <v>74</v>
      </c>
      <c r="V545" t="s">
        <v>10465</v>
      </c>
      <c r="W545" t="s">
        <v>10466</v>
      </c>
      <c r="X545" t="s">
        <v>10467</v>
      </c>
      <c r="Y545" t="s">
        <v>10468</v>
      </c>
      <c r="Z545" t="s">
        <v>10469</v>
      </c>
      <c r="AA545" t="s">
        <v>10470</v>
      </c>
      <c r="AB545" t="s">
        <v>10471</v>
      </c>
      <c r="AC545" t="s">
        <v>10472</v>
      </c>
      <c r="AD545" t="s">
        <v>10473</v>
      </c>
      <c r="AE545" t="s">
        <v>10474</v>
      </c>
      <c r="AF545" t="s">
        <v>74</v>
      </c>
      <c r="AG545">
        <v>14</v>
      </c>
      <c r="AH545">
        <v>0</v>
      </c>
      <c r="AI545">
        <v>0</v>
      </c>
      <c r="AJ545">
        <v>0</v>
      </c>
      <c r="AK545">
        <v>0</v>
      </c>
      <c r="AL545" t="s">
        <v>1158</v>
      </c>
      <c r="AM545" t="s">
        <v>1159</v>
      </c>
      <c r="AN545" t="s">
        <v>1160</v>
      </c>
      <c r="AO545" t="s">
        <v>10475</v>
      </c>
      <c r="AP545" t="s">
        <v>74</v>
      </c>
      <c r="AQ545" t="s">
        <v>74</v>
      </c>
      <c r="AR545" t="s">
        <v>10463</v>
      </c>
      <c r="AS545" t="s">
        <v>10476</v>
      </c>
      <c r="AT545" t="s">
        <v>74</v>
      </c>
      <c r="AU545">
        <v>2021</v>
      </c>
      <c r="AV545">
        <v>17</v>
      </c>
      <c r="AW545">
        <v>6</v>
      </c>
      <c r="AX545" t="s">
        <v>74</v>
      </c>
      <c r="AY545" t="s">
        <v>74</v>
      </c>
      <c r="AZ545" t="s">
        <v>74</v>
      </c>
      <c r="BA545" t="s">
        <v>74</v>
      </c>
      <c r="BB545">
        <v>1751</v>
      </c>
      <c r="BC545">
        <v>1754</v>
      </c>
      <c r="BD545" t="s">
        <v>74</v>
      </c>
      <c r="BE545" t="s">
        <v>10477</v>
      </c>
      <c r="BF545" t="str">
        <f>HYPERLINK("http://dx.doi.org/10.15560/17.6.1751","http://dx.doi.org/10.15560/17.6.1751")</f>
        <v>http://dx.doi.org/10.15560/17.6.1751</v>
      </c>
      <c r="BG545" t="s">
        <v>74</v>
      </c>
      <c r="BH545" t="s">
        <v>74</v>
      </c>
      <c r="BI545">
        <v>4</v>
      </c>
      <c r="BJ545" t="s">
        <v>10478</v>
      </c>
      <c r="BK545" t="s">
        <v>3050</v>
      </c>
      <c r="BL545" t="s">
        <v>10479</v>
      </c>
      <c r="BM545" t="s">
        <v>10480</v>
      </c>
      <c r="BN545" t="s">
        <v>74</v>
      </c>
      <c r="BO545" t="s">
        <v>246</v>
      </c>
      <c r="BP545" t="s">
        <v>74</v>
      </c>
      <c r="BQ545" t="s">
        <v>74</v>
      </c>
      <c r="BR545" t="s">
        <v>106</v>
      </c>
      <c r="BS545" t="s">
        <v>10481</v>
      </c>
      <c r="BT545" t="str">
        <f>HYPERLINK("https%3A%2F%2Fwww.webofscience.com%2Fwos%2Fwoscc%2Ffull-record%2FWOS:000906613400029","View Full Record in Web of Science")</f>
        <v>View Full Record in Web of Science</v>
      </c>
    </row>
    <row r="546" spans="1:72" x14ac:dyDescent="0.15">
      <c r="A546" t="s">
        <v>72</v>
      </c>
      <c r="B546" t="s">
        <v>10482</v>
      </c>
      <c r="C546" t="s">
        <v>74</v>
      </c>
      <c r="D546" t="s">
        <v>74</v>
      </c>
      <c r="E546" t="s">
        <v>74</v>
      </c>
      <c r="F546" t="s">
        <v>10483</v>
      </c>
      <c r="G546" t="s">
        <v>74</v>
      </c>
      <c r="H546" t="s">
        <v>74</v>
      </c>
      <c r="I546" t="s">
        <v>10484</v>
      </c>
      <c r="J546" t="s">
        <v>10485</v>
      </c>
      <c r="K546" t="s">
        <v>74</v>
      </c>
      <c r="L546" t="s">
        <v>74</v>
      </c>
      <c r="M546" t="s">
        <v>78</v>
      </c>
      <c r="N546" t="s">
        <v>79</v>
      </c>
      <c r="O546" t="s">
        <v>74</v>
      </c>
      <c r="P546" t="s">
        <v>74</v>
      </c>
      <c r="Q546" t="s">
        <v>74</v>
      </c>
      <c r="R546" t="s">
        <v>74</v>
      </c>
      <c r="S546" t="s">
        <v>74</v>
      </c>
      <c r="T546" t="s">
        <v>10486</v>
      </c>
      <c r="U546" t="s">
        <v>10487</v>
      </c>
      <c r="V546" t="s">
        <v>10488</v>
      </c>
      <c r="W546" t="s">
        <v>10489</v>
      </c>
      <c r="X546" t="s">
        <v>10490</v>
      </c>
      <c r="Y546" t="s">
        <v>10491</v>
      </c>
      <c r="Z546" t="s">
        <v>10492</v>
      </c>
      <c r="AA546" t="s">
        <v>74</v>
      </c>
      <c r="AB546" t="s">
        <v>74</v>
      </c>
      <c r="AC546" t="s">
        <v>10493</v>
      </c>
      <c r="AD546" t="s">
        <v>10494</v>
      </c>
      <c r="AE546" t="s">
        <v>10495</v>
      </c>
      <c r="AF546" t="s">
        <v>74</v>
      </c>
      <c r="AG546">
        <v>89</v>
      </c>
      <c r="AH546">
        <v>4</v>
      </c>
      <c r="AI546">
        <v>4</v>
      </c>
      <c r="AJ546">
        <v>0</v>
      </c>
      <c r="AK546">
        <v>3</v>
      </c>
      <c r="AL546" t="s">
        <v>10496</v>
      </c>
      <c r="AM546" t="s">
        <v>10497</v>
      </c>
      <c r="AN546" t="s">
        <v>10498</v>
      </c>
      <c r="AO546" t="s">
        <v>10499</v>
      </c>
      <c r="AP546" t="s">
        <v>10500</v>
      </c>
      <c r="AQ546" t="s">
        <v>74</v>
      </c>
      <c r="AR546" t="s">
        <v>10501</v>
      </c>
      <c r="AS546" t="s">
        <v>10502</v>
      </c>
      <c r="AT546" t="s">
        <v>374</v>
      </c>
      <c r="AU546">
        <v>2021</v>
      </c>
      <c r="AV546">
        <v>42</v>
      </c>
      <c r="AW546">
        <v>1</v>
      </c>
      <c r="AX546" t="s">
        <v>74</v>
      </c>
      <c r="AY546" t="s">
        <v>74</v>
      </c>
      <c r="AZ546" t="s">
        <v>74</v>
      </c>
      <c r="BA546" t="s">
        <v>74</v>
      </c>
      <c r="BB546">
        <v>1</v>
      </c>
      <c r="BC546">
        <v>19</v>
      </c>
      <c r="BD546" t="s">
        <v>74</v>
      </c>
      <c r="BE546" t="s">
        <v>10503</v>
      </c>
      <c r="BF546" t="str">
        <f>HYPERLINK("http://dx.doi.org/10.5252/cryptogamie-algologie2021v42a1","http://dx.doi.org/10.5252/cryptogamie-algologie2021v42a1")</f>
        <v>http://dx.doi.org/10.5252/cryptogamie-algologie2021v42a1</v>
      </c>
      <c r="BG546" t="s">
        <v>74</v>
      </c>
      <c r="BH546" t="s">
        <v>74</v>
      </c>
      <c r="BI546">
        <v>19</v>
      </c>
      <c r="BJ546" t="s">
        <v>7029</v>
      </c>
      <c r="BK546" t="s">
        <v>103</v>
      </c>
      <c r="BL546" t="s">
        <v>7029</v>
      </c>
      <c r="BM546" t="s">
        <v>10504</v>
      </c>
      <c r="BN546" t="s">
        <v>74</v>
      </c>
      <c r="BO546" t="s">
        <v>1220</v>
      </c>
      <c r="BP546" t="s">
        <v>74</v>
      </c>
      <c r="BQ546" t="s">
        <v>74</v>
      </c>
      <c r="BR546" t="s">
        <v>106</v>
      </c>
      <c r="BS546" t="s">
        <v>10505</v>
      </c>
      <c r="BT546" t="str">
        <f>HYPERLINK("https%3A%2F%2Fwww.webofscience.com%2Fwos%2Fwoscc%2Ffull-record%2FWOS:000617969600001","View Full Record in Web of Science")</f>
        <v>View Full Record in Web of Science</v>
      </c>
    </row>
    <row r="547" spans="1:72" x14ac:dyDescent="0.15">
      <c r="A547" t="s">
        <v>72</v>
      </c>
      <c r="B547" t="s">
        <v>10506</v>
      </c>
      <c r="C547" t="s">
        <v>74</v>
      </c>
      <c r="D547" t="s">
        <v>74</v>
      </c>
      <c r="E547" t="s">
        <v>74</v>
      </c>
      <c r="F547" t="s">
        <v>10507</v>
      </c>
      <c r="G547" t="s">
        <v>74</v>
      </c>
      <c r="H547" t="s">
        <v>74</v>
      </c>
      <c r="I547" t="s">
        <v>10508</v>
      </c>
      <c r="J547" t="s">
        <v>10509</v>
      </c>
      <c r="K547" t="s">
        <v>74</v>
      </c>
      <c r="L547" t="s">
        <v>74</v>
      </c>
      <c r="M547" t="s">
        <v>78</v>
      </c>
      <c r="N547" t="s">
        <v>79</v>
      </c>
      <c r="O547" t="s">
        <v>74</v>
      </c>
      <c r="P547" t="s">
        <v>74</v>
      </c>
      <c r="Q547" t="s">
        <v>74</v>
      </c>
      <c r="R547" t="s">
        <v>74</v>
      </c>
      <c r="S547" t="s">
        <v>74</v>
      </c>
      <c r="T547" t="s">
        <v>10510</v>
      </c>
      <c r="U547" t="s">
        <v>74</v>
      </c>
      <c r="V547" t="s">
        <v>10511</v>
      </c>
      <c r="W547" t="s">
        <v>10512</v>
      </c>
      <c r="X547" t="s">
        <v>10513</v>
      </c>
      <c r="Y547" t="s">
        <v>10514</v>
      </c>
      <c r="Z547" t="s">
        <v>10515</v>
      </c>
      <c r="AA547" t="s">
        <v>10516</v>
      </c>
      <c r="AB547" t="s">
        <v>74</v>
      </c>
      <c r="AC547" t="s">
        <v>10517</v>
      </c>
      <c r="AD547" t="s">
        <v>10517</v>
      </c>
      <c r="AE547" t="s">
        <v>10518</v>
      </c>
      <c r="AF547" t="s">
        <v>74</v>
      </c>
      <c r="AG547">
        <v>23</v>
      </c>
      <c r="AH547">
        <v>0</v>
      </c>
      <c r="AI547">
        <v>0</v>
      </c>
      <c r="AJ547">
        <v>0</v>
      </c>
      <c r="AK547">
        <v>0</v>
      </c>
      <c r="AL547" t="s">
        <v>10519</v>
      </c>
      <c r="AM547" t="s">
        <v>10520</v>
      </c>
      <c r="AN547" t="s">
        <v>10521</v>
      </c>
      <c r="AO547" t="s">
        <v>10522</v>
      </c>
      <c r="AP547" t="s">
        <v>10523</v>
      </c>
      <c r="AQ547" t="s">
        <v>74</v>
      </c>
      <c r="AR547" t="s">
        <v>10524</v>
      </c>
      <c r="AS547" t="s">
        <v>10525</v>
      </c>
      <c r="AT547" t="s">
        <v>74</v>
      </c>
      <c r="AU547">
        <v>2021</v>
      </c>
      <c r="AV547">
        <v>11</v>
      </c>
      <c r="AW547">
        <v>1</v>
      </c>
      <c r="AX547" t="s">
        <v>74</v>
      </c>
      <c r="AY547" t="s">
        <v>74</v>
      </c>
      <c r="AZ547" t="s">
        <v>74</v>
      </c>
      <c r="BA547" t="s">
        <v>74</v>
      </c>
      <c r="BB547">
        <v>1</v>
      </c>
      <c r="BC547">
        <v>8</v>
      </c>
      <c r="BD547" t="s">
        <v>74</v>
      </c>
      <c r="BE547" t="s">
        <v>10526</v>
      </c>
      <c r="BF547" t="str">
        <f>HYPERLINK("http://dx.doi.org/10.5817/CPR2021-1-1","http://dx.doi.org/10.5817/CPR2021-1-1")</f>
        <v>http://dx.doi.org/10.5817/CPR2021-1-1</v>
      </c>
      <c r="BG547" t="s">
        <v>74</v>
      </c>
      <c r="BH547" t="s">
        <v>74</v>
      </c>
      <c r="BI547">
        <v>8</v>
      </c>
      <c r="BJ547" t="s">
        <v>3680</v>
      </c>
      <c r="BK547" t="s">
        <v>3050</v>
      </c>
      <c r="BL547" t="s">
        <v>3681</v>
      </c>
      <c r="BM547" t="s">
        <v>10527</v>
      </c>
      <c r="BN547" t="s">
        <v>74</v>
      </c>
      <c r="BO547" t="s">
        <v>1105</v>
      </c>
      <c r="BP547" t="s">
        <v>74</v>
      </c>
      <c r="BQ547" t="s">
        <v>74</v>
      </c>
      <c r="BR547" t="s">
        <v>106</v>
      </c>
      <c r="BS547" t="s">
        <v>10528</v>
      </c>
      <c r="BT547" t="str">
        <f>HYPERLINK("https%3A%2F%2Fwww.webofscience.com%2Fwos%2Fwoscc%2Ffull-record%2FWOS:000937848600001","View Full Record in Web of Science")</f>
        <v>View Full Record in Web of Science</v>
      </c>
    </row>
    <row r="548" spans="1:72" x14ac:dyDescent="0.15">
      <c r="A548" t="s">
        <v>72</v>
      </c>
      <c r="B548" t="s">
        <v>10529</v>
      </c>
      <c r="C548" t="s">
        <v>74</v>
      </c>
      <c r="D548" t="s">
        <v>74</v>
      </c>
      <c r="E548" t="s">
        <v>74</v>
      </c>
      <c r="F548" t="s">
        <v>10530</v>
      </c>
      <c r="G548" t="s">
        <v>74</v>
      </c>
      <c r="H548" t="s">
        <v>74</v>
      </c>
      <c r="I548" t="s">
        <v>10531</v>
      </c>
      <c r="J548" t="s">
        <v>10509</v>
      </c>
      <c r="K548" t="s">
        <v>74</v>
      </c>
      <c r="L548" t="s">
        <v>74</v>
      </c>
      <c r="M548" t="s">
        <v>78</v>
      </c>
      <c r="N548" t="s">
        <v>79</v>
      </c>
      <c r="O548" t="s">
        <v>74</v>
      </c>
      <c r="P548" t="s">
        <v>74</v>
      </c>
      <c r="Q548" t="s">
        <v>74</v>
      </c>
      <c r="R548" t="s">
        <v>74</v>
      </c>
      <c r="S548" t="s">
        <v>74</v>
      </c>
      <c r="T548" t="s">
        <v>10532</v>
      </c>
      <c r="U548" t="s">
        <v>74</v>
      </c>
      <c r="V548" t="s">
        <v>10533</v>
      </c>
      <c r="W548" t="s">
        <v>10534</v>
      </c>
      <c r="X548" t="s">
        <v>10535</v>
      </c>
      <c r="Y548" t="s">
        <v>6363</v>
      </c>
      <c r="Z548" t="s">
        <v>6364</v>
      </c>
      <c r="AA548" t="s">
        <v>7165</v>
      </c>
      <c r="AB548" t="s">
        <v>74</v>
      </c>
      <c r="AC548" t="s">
        <v>6366</v>
      </c>
      <c r="AD548" t="s">
        <v>6367</v>
      </c>
      <c r="AE548" t="s">
        <v>10536</v>
      </c>
      <c r="AF548" t="s">
        <v>74</v>
      </c>
      <c r="AG548">
        <v>19</v>
      </c>
      <c r="AH548">
        <v>5</v>
      </c>
      <c r="AI548">
        <v>5</v>
      </c>
      <c r="AJ548">
        <v>0</v>
      </c>
      <c r="AK548">
        <v>0</v>
      </c>
      <c r="AL548" t="s">
        <v>10519</v>
      </c>
      <c r="AM548" t="s">
        <v>10520</v>
      </c>
      <c r="AN548" t="s">
        <v>10521</v>
      </c>
      <c r="AO548" t="s">
        <v>10522</v>
      </c>
      <c r="AP548" t="s">
        <v>10523</v>
      </c>
      <c r="AQ548" t="s">
        <v>74</v>
      </c>
      <c r="AR548" t="s">
        <v>10524</v>
      </c>
      <c r="AS548" t="s">
        <v>10525</v>
      </c>
      <c r="AT548" t="s">
        <v>74</v>
      </c>
      <c r="AU548">
        <v>2021</v>
      </c>
      <c r="AV548">
        <v>11</v>
      </c>
      <c r="AW548">
        <v>1</v>
      </c>
      <c r="AX548" t="s">
        <v>74</v>
      </c>
      <c r="AY548" t="s">
        <v>74</v>
      </c>
      <c r="AZ548" t="s">
        <v>74</v>
      </c>
      <c r="BA548" t="s">
        <v>74</v>
      </c>
      <c r="BB548">
        <v>9</v>
      </c>
      <c r="BC548">
        <v>15</v>
      </c>
      <c r="BD548" t="s">
        <v>74</v>
      </c>
      <c r="BE548" t="s">
        <v>10537</v>
      </c>
      <c r="BF548" t="str">
        <f>HYPERLINK("http://dx.doi.org/10.5817/CPR2021-1-2","http://dx.doi.org/10.5817/CPR2021-1-2")</f>
        <v>http://dx.doi.org/10.5817/CPR2021-1-2</v>
      </c>
      <c r="BG548" t="s">
        <v>74</v>
      </c>
      <c r="BH548" t="s">
        <v>74</v>
      </c>
      <c r="BI548">
        <v>7</v>
      </c>
      <c r="BJ548" t="s">
        <v>3680</v>
      </c>
      <c r="BK548" t="s">
        <v>3050</v>
      </c>
      <c r="BL548" t="s">
        <v>3681</v>
      </c>
      <c r="BM548" t="s">
        <v>10527</v>
      </c>
      <c r="BN548" t="s">
        <v>74</v>
      </c>
      <c r="BO548" t="s">
        <v>326</v>
      </c>
      <c r="BP548" t="s">
        <v>74</v>
      </c>
      <c r="BQ548" t="s">
        <v>74</v>
      </c>
      <c r="BR548" t="s">
        <v>106</v>
      </c>
      <c r="BS548" t="s">
        <v>10538</v>
      </c>
      <c r="BT548" t="str">
        <f>HYPERLINK("https%3A%2F%2Fwww.webofscience.com%2Fwos%2Fwoscc%2Ffull-record%2FWOS:000937848600002","View Full Record in Web of Science")</f>
        <v>View Full Record in Web of Science</v>
      </c>
    </row>
    <row r="549" spans="1:72" x14ac:dyDescent="0.15">
      <c r="A549" t="s">
        <v>72</v>
      </c>
      <c r="B549" t="s">
        <v>10539</v>
      </c>
      <c r="C549" t="s">
        <v>74</v>
      </c>
      <c r="D549" t="s">
        <v>74</v>
      </c>
      <c r="E549" t="s">
        <v>74</v>
      </c>
      <c r="F549" t="s">
        <v>10540</v>
      </c>
      <c r="G549" t="s">
        <v>74</v>
      </c>
      <c r="H549" t="s">
        <v>74</v>
      </c>
      <c r="I549" t="s">
        <v>10541</v>
      </c>
      <c r="J549" t="s">
        <v>10509</v>
      </c>
      <c r="K549" t="s">
        <v>74</v>
      </c>
      <c r="L549" t="s">
        <v>74</v>
      </c>
      <c r="M549" t="s">
        <v>78</v>
      </c>
      <c r="N549" t="s">
        <v>79</v>
      </c>
      <c r="O549" t="s">
        <v>74</v>
      </c>
      <c r="P549" t="s">
        <v>74</v>
      </c>
      <c r="Q549" t="s">
        <v>74</v>
      </c>
      <c r="R549" t="s">
        <v>74</v>
      </c>
      <c r="S549" t="s">
        <v>74</v>
      </c>
      <c r="T549" t="s">
        <v>10542</v>
      </c>
      <c r="U549" t="s">
        <v>74</v>
      </c>
      <c r="V549" t="s">
        <v>10543</v>
      </c>
      <c r="W549" t="s">
        <v>10544</v>
      </c>
      <c r="X549" t="s">
        <v>10545</v>
      </c>
      <c r="Y549" t="s">
        <v>10546</v>
      </c>
      <c r="Z549" t="s">
        <v>10547</v>
      </c>
      <c r="AA549" t="s">
        <v>10548</v>
      </c>
      <c r="AB549" t="s">
        <v>10549</v>
      </c>
      <c r="AC549" t="s">
        <v>74</v>
      </c>
      <c r="AD549" t="s">
        <v>74</v>
      </c>
      <c r="AE549" t="s">
        <v>74</v>
      </c>
      <c r="AF549" t="s">
        <v>74</v>
      </c>
      <c r="AG549">
        <v>22</v>
      </c>
      <c r="AH549">
        <v>3</v>
      </c>
      <c r="AI549">
        <v>3</v>
      </c>
      <c r="AJ549">
        <v>2</v>
      </c>
      <c r="AK549">
        <v>2</v>
      </c>
      <c r="AL549" t="s">
        <v>10519</v>
      </c>
      <c r="AM549" t="s">
        <v>10520</v>
      </c>
      <c r="AN549" t="s">
        <v>10521</v>
      </c>
      <c r="AO549" t="s">
        <v>10522</v>
      </c>
      <c r="AP549" t="s">
        <v>10523</v>
      </c>
      <c r="AQ549" t="s">
        <v>74</v>
      </c>
      <c r="AR549" t="s">
        <v>10524</v>
      </c>
      <c r="AS549" t="s">
        <v>10525</v>
      </c>
      <c r="AT549" t="s">
        <v>74</v>
      </c>
      <c r="AU549">
        <v>2021</v>
      </c>
      <c r="AV549">
        <v>11</v>
      </c>
      <c r="AW549">
        <v>1</v>
      </c>
      <c r="AX549" t="s">
        <v>74</v>
      </c>
      <c r="AY549" t="s">
        <v>74</v>
      </c>
      <c r="AZ549" t="s">
        <v>74</v>
      </c>
      <c r="BA549" t="s">
        <v>74</v>
      </c>
      <c r="BB549">
        <v>16</v>
      </c>
      <c r="BC549">
        <v>24</v>
      </c>
      <c r="BD549" t="s">
        <v>74</v>
      </c>
      <c r="BE549" t="s">
        <v>10550</v>
      </c>
      <c r="BF549" t="str">
        <f>HYPERLINK("http://dx.doi.org/10.5817/CPR2021-1-3","http://dx.doi.org/10.5817/CPR2021-1-3")</f>
        <v>http://dx.doi.org/10.5817/CPR2021-1-3</v>
      </c>
      <c r="BG549" t="s">
        <v>74</v>
      </c>
      <c r="BH549" t="s">
        <v>74</v>
      </c>
      <c r="BI549">
        <v>9</v>
      </c>
      <c r="BJ549" t="s">
        <v>3680</v>
      </c>
      <c r="BK549" t="s">
        <v>3050</v>
      </c>
      <c r="BL549" t="s">
        <v>3681</v>
      </c>
      <c r="BM549" t="s">
        <v>10527</v>
      </c>
      <c r="BN549" t="s">
        <v>74</v>
      </c>
      <c r="BO549" t="s">
        <v>326</v>
      </c>
      <c r="BP549" t="s">
        <v>74</v>
      </c>
      <c r="BQ549" t="s">
        <v>74</v>
      </c>
      <c r="BR549" t="s">
        <v>106</v>
      </c>
      <c r="BS549" t="s">
        <v>10551</v>
      </c>
      <c r="BT549" t="str">
        <f>HYPERLINK("https%3A%2F%2Fwww.webofscience.com%2Fwos%2Fwoscc%2Ffull-record%2FWOS:000937848600003","View Full Record in Web of Science")</f>
        <v>View Full Record in Web of Science</v>
      </c>
    </row>
    <row r="550" spans="1:72" x14ac:dyDescent="0.15">
      <c r="A550" t="s">
        <v>72</v>
      </c>
      <c r="B550" t="s">
        <v>10552</v>
      </c>
      <c r="C550" t="s">
        <v>74</v>
      </c>
      <c r="D550" t="s">
        <v>74</v>
      </c>
      <c r="E550" t="s">
        <v>74</v>
      </c>
      <c r="F550" t="s">
        <v>10553</v>
      </c>
      <c r="G550" t="s">
        <v>74</v>
      </c>
      <c r="H550" t="s">
        <v>74</v>
      </c>
      <c r="I550" t="s">
        <v>10554</v>
      </c>
      <c r="J550" t="s">
        <v>10509</v>
      </c>
      <c r="K550" t="s">
        <v>74</v>
      </c>
      <c r="L550" t="s">
        <v>74</v>
      </c>
      <c r="M550" t="s">
        <v>78</v>
      </c>
      <c r="N550" t="s">
        <v>79</v>
      </c>
      <c r="O550" t="s">
        <v>74</v>
      </c>
      <c r="P550" t="s">
        <v>74</v>
      </c>
      <c r="Q550" t="s">
        <v>74</v>
      </c>
      <c r="R550" t="s">
        <v>74</v>
      </c>
      <c r="S550" t="s">
        <v>74</v>
      </c>
      <c r="T550" t="s">
        <v>10555</v>
      </c>
      <c r="U550" t="s">
        <v>10556</v>
      </c>
      <c r="V550" t="s">
        <v>10557</v>
      </c>
      <c r="W550" t="s">
        <v>10558</v>
      </c>
      <c r="X550" t="s">
        <v>1932</v>
      </c>
      <c r="Y550" t="s">
        <v>10559</v>
      </c>
      <c r="Z550" t="s">
        <v>10560</v>
      </c>
      <c r="AA550" t="s">
        <v>74</v>
      </c>
      <c r="AB550" t="s">
        <v>74</v>
      </c>
      <c r="AC550" t="s">
        <v>10561</v>
      </c>
      <c r="AD550" t="s">
        <v>10561</v>
      </c>
      <c r="AE550" t="s">
        <v>10562</v>
      </c>
      <c r="AF550" t="s">
        <v>74</v>
      </c>
      <c r="AG550">
        <v>58</v>
      </c>
      <c r="AH550">
        <v>0</v>
      </c>
      <c r="AI550">
        <v>0</v>
      </c>
      <c r="AJ550">
        <v>1</v>
      </c>
      <c r="AK550">
        <v>3</v>
      </c>
      <c r="AL550" t="s">
        <v>10519</v>
      </c>
      <c r="AM550" t="s">
        <v>10520</v>
      </c>
      <c r="AN550" t="s">
        <v>10521</v>
      </c>
      <c r="AO550" t="s">
        <v>10522</v>
      </c>
      <c r="AP550" t="s">
        <v>10523</v>
      </c>
      <c r="AQ550" t="s">
        <v>74</v>
      </c>
      <c r="AR550" t="s">
        <v>10524</v>
      </c>
      <c r="AS550" t="s">
        <v>10525</v>
      </c>
      <c r="AT550" t="s">
        <v>74</v>
      </c>
      <c r="AU550">
        <v>2021</v>
      </c>
      <c r="AV550">
        <v>11</v>
      </c>
      <c r="AW550">
        <v>1</v>
      </c>
      <c r="AX550" t="s">
        <v>74</v>
      </c>
      <c r="AY550" t="s">
        <v>74</v>
      </c>
      <c r="AZ550" t="s">
        <v>74</v>
      </c>
      <c r="BA550" t="s">
        <v>74</v>
      </c>
      <c r="BB550">
        <v>25</v>
      </c>
      <c r="BC550">
        <v>40</v>
      </c>
      <c r="BD550" t="s">
        <v>74</v>
      </c>
      <c r="BE550" t="s">
        <v>10563</v>
      </c>
      <c r="BF550" t="str">
        <f>HYPERLINK("http://dx.doi.org/10.5817/CPR2021-1-4","http://dx.doi.org/10.5817/CPR2021-1-4")</f>
        <v>http://dx.doi.org/10.5817/CPR2021-1-4</v>
      </c>
      <c r="BG550" t="s">
        <v>74</v>
      </c>
      <c r="BH550" t="s">
        <v>74</v>
      </c>
      <c r="BI550">
        <v>16</v>
      </c>
      <c r="BJ550" t="s">
        <v>3680</v>
      </c>
      <c r="BK550" t="s">
        <v>3050</v>
      </c>
      <c r="BL550" t="s">
        <v>3681</v>
      </c>
      <c r="BM550" t="s">
        <v>10527</v>
      </c>
      <c r="BN550" t="s">
        <v>74</v>
      </c>
      <c r="BO550" t="s">
        <v>326</v>
      </c>
      <c r="BP550" t="s">
        <v>74</v>
      </c>
      <c r="BQ550" t="s">
        <v>74</v>
      </c>
      <c r="BR550" t="s">
        <v>106</v>
      </c>
      <c r="BS550" t="s">
        <v>10564</v>
      </c>
      <c r="BT550" t="str">
        <f>HYPERLINK("https%3A%2F%2Fwww.webofscience.com%2Fwos%2Fwoscc%2Ffull-record%2FWOS:000937848600004","View Full Record in Web of Science")</f>
        <v>View Full Record in Web of Science</v>
      </c>
    </row>
    <row r="551" spans="1:72" x14ac:dyDescent="0.15">
      <c r="A551" t="s">
        <v>72</v>
      </c>
      <c r="B551" t="s">
        <v>10565</v>
      </c>
      <c r="C551" t="s">
        <v>74</v>
      </c>
      <c r="D551" t="s">
        <v>74</v>
      </c>
      <c r="E551" t="s">
        <v>74</v>
      </c>
      <c r="F551" t="s">
        <v>10566</v>
      </c>
      <c r="G551" t="s">
        <v>74</v>
      </c>
      <c r="H551" t="s">
        <v>74</v>
      </c>
      <c r="I551" t="s">
        <v>10567</v>
      </c>
      <c r="J551" t="s">
        <v>10509</v>
      </c>
      <c r="K551" t="s">
        <v>74</v>
      </c>
      <c r="L551" t="s">
        <v>74</v>
      </c>
      <c r="M551" t="s">
        <v>78</v>
      </c>
      <c r="N551" t="s">
        <v>79</v>
      </c>
      <c r="O551" t="s">
        <v>74</v>
      </c>
      <c r="P551" t="s">
        <v>74</v>
      </c>
      <c r="Q551" t="s">
        <v>74</v>
      </c>
      <c r="R551" t="s">
        <v>74</v>
      </c>
      <c r="S551" t="s">
        <v>74</v>
      </c>
      <c r="T551" t="s">
        <v>10568</v>
      </c>
      <c r="U551" t="s">
        <v>74</v>
      </c>
      <c r="V551" t="s">
        <v>10569</v>
      </c>
      <c r="W551" t="s">
        <v>10570</v>
      </c>
      <c r="X551" t="s">
        <v>10571</v>
      </c>
      <c r="Y551" t="s">
        <v>10572</v>
      </c>
      <c r="Z551" t="s">
        <v>10573</v>
      </c>
      <c r="AA551" t="s">
        <v>10574</v>
      </c>
      <c r="AB551" t="s">
        <v>10575</v>
      </c>
      <c r="AC551" t="s">
        <v>10576</v>
      </c>
      <c r="AD551" t="s">
        <v>10577</v>
      </c>
      <c r="AE551" t="s">
        <v>10578</v>
      </c>
      <c r="AF551" t="s">
        <v>74</v>
      </c>
      <c r="AG551">
        <v>99</v>
      </c>
      <c r="AH551">
        <v>12</v>
      </c>
      <c r="AI551">
        <v>12</v>
      </c>
      <c r="AJ551">
        <v>3</v>
      </c>
      <c r="AK551">
        <v>4</v>
      </c>
      <c r="AL551" t="s">
        <v>10519</v>
      </c>
      <c r="AM551" t="s">
        <v>10520</v>
      </c>
      <c r="AN551" t="s">
        <v>10521</v>
      </c>
      <c r="AO551" t="s">
        <v>10522</v>
      </c>
      <c r="AP551" t="s">
        <v>10523</v>
      </c>
      <c r="AQ551" t="s">
        <v>74</v>
      </c>
      <c r="AR551" t="s">
        <v>10524</v>
      </c>
      <c r="AS551" t="s">
        <v>10525</v>
      </c>
      <c r="AT551" t="s">
        <v>74</v>
      </c>
      <c r="AU551">
        <v>2021</v>
      </c>
      <c r="AV551">
        <v>11</v>
      </c>
      <c r="AW551">
        <v>1</v>
      </c>
      <c r="AX551" t="s">
        <v>74</v>
      </c>
      <c r="AY551" t="s">
        <v>74</v>
      </c>
      <c r="AZ551" t="s">
        <v>74</v>
      </c>
      <c r="BA551" t="s">
        <v>74</v>
      </c>
      <c r="BB551">
        <v>67</v>
      </c>
      <c r="BC551">
        <v>85</v>
      </c>
      <c r="BD551" t="s">
        <v>74</v>
      </c>
      <c r="BE551" t="s">
        <v>10579</v>
      </c>
      <c r="BF551" t="str">
        <f>HYPERLINK("http://dx.doi.org/10.5817/CPR2021-1-6","http://dx.doi.org/10.5817/CPR2021-1-6")</f>
        <v>http://dx.doi.org/10.5817/CPR2021-1-6</v>
      </c>
      <c r="BG551" t="s">
        <v>74</v>
      </c>
      <c r="BH551" t="s">
        <v>74</v>
      </c>
      <c r="BI551">
        <v>19</v>
      </c>
      <c r="BJ551" t="s">
        <v>3680</v>
      </c>
      <c r="BK551" t="s">
        <v>3050</v>
      </c>
      <c r="BL551" t="s">
        <v>3681</v>
      </c>
      <c r="BM551" t="s">
        <v>10527</v>
      </c>
      <c r="BN551" t="s">
        <v>74</v>
      </c>
      <c r="BO551" t="s">
        <v>159</v>
      </c>
      <c r="BP551" t="s">
        <v>74</v>
      </c>
      <c r="BQ551" t="s">
        <v>74</v>
      </c>
      <c r="BR551" t="s">
        <v>106</v>
      </c>
      <c r="BS551" t="s">
        <v>10580</v>
      </c>
      <c r="BT551" t="str">
        <f>HYPERLINK("https%3A%2F%2Fwww.webofscience.com%2Fwos%2Fwoscc%2Ffull-record%2FWOS:000937848600006","View Full Record in Web of Science")</f>
        <v>View Full Record in Web of Science</v>
      </c>
    </row>
    <row r="552" spans="1:72" x14ac:dyDescent="0.15">
      <c r="A552" t="s">
        <v>72</v>
      </c>
      <c r="B552" t="s">
        <v>10581</v>
      </c>
      <c r="C552" t="s">
        <v>74</v>
      </c>
      <c r="D552" t="s">
        <v>74</v>
      </c>
      <c r="E552" t="s">
        <v>74</v>
      </c>
      <c r="F552" t="s">
        <v>10582</v>
      </c>
      <c r="G552" t="s">
        <v>74</v>
      </c>
      <c r="H552" t="s">
        <v>74</v>
      </c>
      <c r="I552" t="s">
        <v>10583</v>
      </c>
      <c r="J552" t="s">
        <v>10509</v>
      </c>
      <c r="K552" t="s">
        <v>74</v>
      </c>
      <c r="L552" t="s">
        <v>74</v>
      </c>
      <c r="M552" t="s">
        <v>78</v>
      </c>
      <c r="N552" t="s">
        <v>79</v>
      </c>
      <c r="O552" t="s">
        <v>74</v>
      </c>
      <c r="P552" t="s">
        <v>74</v>
      </c>
      <c r="Q552" t="s">
        <v>74</v>
      </c>
      <c r="R552" t="s">
        <v>74</v>
      </c>
      <c r="S552" t="s">
        <v>74</v>
      </c>
      <c r="T552" t="s">
        <v>10584</v>
      </c>
      <c r="U552" t="s">
        <v>74</v>
      </c>
      <c r="V552" t="s">
        <v>10585</v>
      </c>
      <c r="W552" t="s">
        <v>10586</v>
      </c>
      <c r="X552" t="s">
        <v>10587</v>
      </c>
      <c r="Y552" t="s">
        <v>10588</v>
      </c>
      <c r="Z552" t="s">
        <v>10589</v>
      </c>
      <c r="AA552" t="s">
        <v>10590</v>
      </c>
      <c r="AB552" t="s">
        <v>74</v>
      </c>
      <c r="AC552" t="s">
        <v>74</v>
      </c>
      <c r="AD552" t="s">
        <v>74</v>
      </c>
      <c r="AE552" t="s">
        <v>74</v>
      </c>
      <c r="AF552" t="s">
        <v>74</v>
      </c>
      <c r="AG552">
        <v>47</v>
      </c>
      <c r="AH552">
        <v>2</v>
      </c>
      <c r="AI552">
        <v>2</v>
      </c>
      <c r="AJ552">
        <v>0</v>
      </c>
      <c r="AK552">
        <v>2</v>
      </c>
      <c r="AL552" t="s">
        <v>10519</v>
      </c>
      <c r="AM552" t="s">
        <v>10520</v>
      </c>
      <c r="AN552" t="s">
        <v>10521</v>
      </c>
      <c r="AO552" t="s">
        <v>10522</v>
      </c>
      <c r="AP552" t="s">
        <v>10523</v>
      </c>
      <c r="AQ552" t="s">
        <v>74</v>
      </c>
      <c r="AR552" t="s">
        <v>10524</v>
      </c>
      <c r="AS552" t="s">
        <v>10525</v>
      </c>
      <c r="AT552" t="s">
        <v>74</v>
      </c>
      <c r="AU552">
        <v>2021</v>
      </c>
      <c r="AV552">
        <v>11</v>
      </c>
      <c r="AW552">
        <v>1</v>
      </c>
      <c r="AX552" t="s">
        <v>74</v>
      </c>
      <c r="AY552" t="s">
        <v>74</v>
      </c>
      <c r="AZ552" t="s">
        <v>74</v>
      </c>
      <c r="BA552" t="s">
        <v>74</v>
      </c>
      <c r="BB552">
        <v>98</v>
      </c>
      <c r="BC552">
        <v>113</v>
      </c>
      <c r="BD552" t="s">
        <v>74</v>
      </c>
      <c r="BE552" t="s">
        <v>10591</v>
      </c>
      <c r="BF552" t="str">
        <f>HYPERLINK("http://dx.doi.org/10.5817/CPR2021-1-8","http://dx.doi.org/10.5817/CPR2021-1-8")</f>
        <v>http://dx.doi.org/10.5817/CPR2021-1-8</v>
      </c>
      <c r="BG552" t="s">
        <v>74</v>
      </c>
      <c r="BH552" t="s">
        <v>74</v>
      </c>
      <c r="BI552">
        <v>16</v>
      </c>
      <c r="BJ552" t="s">
        <v>3680</v>
      </c>
      <c r="BK552" t="s">
        <v>3050</v>
      </c>
      <c r="BL552" t="s">
        <v>3681</v>
      </c>
      <c r="BM552" t="s">
        <v>10527</v>
      </c>
      <c r="BN552" t="s">
        <v>74</v>
      </c>
      <c r="BO552" t="s">
        <v>326</v>
      </c>
      <c r="BP552" t="s">
        <v>74</v>
      </c>
      <c r="BQ552" t="s">
        <v>74</v>
      </c>
      <c r="BR552" t="s">
        <v>106</v>
      </c>
      <c r="BS552" t="s">
        <v>10592</v>
      </c>
      <c r="BT552" t="str">
        <f>HYPERLINK("https%3A%2F%2Fwww.webofscience.com%2Fwos%2Fwoscc%2Ffull-record%2FWOS:000937848600008","View Full Record in Web of Science")</f>
        <v>View Full Record in Web of Science</v>
      </c>
    </row>
    <row r="553" spans="1:72" x14ac:dyDescent="0.15">
      <c r="A553" t="s">
        <v>72</v>
      </c>
      <c r="B553" t="s">
        <v>10593</v>
      </c>
      <c r="C553" t="s">
        <v>74</v>
      </c>
      <c r="D553" t="s">
        <v>74</v>
      </c>
      <c r="E553" t="s">
        <v>74</v>
      </c>
      <c r="F553" t="s">
        <v>10594</v>
      </c>
      <c r="G553" t="s">
        <v>74</v>
      </c>
      <c r="H553" t="s">
        <v>74</v>
      </c>
      <c r="I553" t="s">
        <v>10595</v>
      </c>
      <c r="J553" t="s">
        <v>10509</v>
      </c>
      <c r="K553" t="s">
        <v>74</v>
      </c>
      <c r="L553" t="s">
        <v>74</v>
      </c>
      <c r="M553" t="s">
        <v>78</v>
      </c>
      <c r="N553" t="s">
        <v>79</v>
      </c>
      <c r="O553" t="s">
        <v>74</v>
      </c>
      <c r="P553" t="s">
        <v>74</v>
      </c>
      <c r="Q553" t="s">
        <v>74</v>
      </c>
      <c r="R553" t="s">
        <v>74</v>
      </c>
      <c r="S553" t="s">
        <v>74</v>
      </c>
      <c r="T553" t="s">
        <v>10596</v>
      </c>
      <c r="U553" t="s">
        <v>74</v>
      </c>
      <c r="V553" t="s">
        <v>10597</v>
      </c>
      <c r="W553" t="s">
        <v>10598</v>
      </c>
      <c r="X553" t="s">
        <v>10599</v>
      </c>
      <c r="Y553" t="s">
        <v>10600</v>
      </c>
      <c r="Z553" t="s">
        <v>10601</v>
      </c>
      <c r="AA553" t="s">
        <v>10602</v>
      </c>
      <c r="AB553" t="s">
        <v>10603</v>
      </c>
      <c r="AC553" t="s">
        <v>10604</v>
      </c>
      <c r="AD553" t="s">
        <v>10605</v>
      </c>
      <c r="AE553" t="s">
        <v>10606</v>
      </c>
      <c r="AF553" t="s">
        <v>74</v>
      </c>
      <c r="AG553">
        <v>33</v>
      </c>
      <c r="AH553">
        <v>2</v>
      </c>
      <c r="AI553">
        <v>2</v>
      </c>
      <c r="AJ553">
        <v>0</v>
      </c>
      <c r="AK553">
        <v>0</v>
      </c>
      <c r="AL553" t="s">
        <v>10519</v>
      </c>
      <c r="AM553" t="s">
        <v>10520</v>
      </c>
      <c r="AN553" t="s">
        <v>10521</v>
      </c>
      <c r="AO553" t="s">
        <v>10522</v>
      </c>
      <c r="AP553" t="s">
        <v>10523</v>
      </c>
      <c r="AQ553" t="s">
        <v>74</v>
      </c>
      <c r="AR553" t="s">
        <v>10524</v>
      </c>
      <c r="AS553" t="s">
        <v>10525</v>
      </c>
      <c r="AT553" t="s">
        <v>74</v>
      </c>
      <c r="AU553">
        <v>2021</v>
      </c>
      <c r="AV553">
        <v>11</v>
      </c>
      <c r="AW553">
        <v>1</v>
      </c>
      <c r="AX553" t="s">
        <v>74</v>
      </c>
      <c r="AY553" t="s">
        <v>74</v>
      </c>
      <c r="AZ553" t="s">
        <v>74</v>
      </c>
      <c r="BA553" t="s">
        <v>74</v>
      </c>
      <c r="BB553">
        <v>114</v>
      </c>
      <c r="BC553">
        <v>133</v>
      </c>
      <c r="BD553" t="s">
        <v>74</v>
      </c>
      <c r="BE553" t="s">
        <v>10607</v>
      </c>
      <c r="BF553" t="str">
        <f>HYPERLINK("http://dx.doi.org/10.5817/CPR2021-1-9","http://dx.doi.org/10.5817/CPR2021-1-9")</f>
        <v>http://dx.doi.org/10.5817/CPR2021-1-9</v>
      </c>
      <c r="BG553" t="s">
        <v>74</v>
      </c>
      <c r="BH553" t="s">
        <v>74</v>
      </c>
      <c r="BI553">
        <v>20</v>
      </c>
      <c r="BJ553" t="s">
        <v>3680</v>
      </c>
      <c r="BK553" t="s">
        <v>3050</v>
      </c>
      <c r="BL553" t="s">
        <v>3681</v>
      </c>
      <c r="BM553" t="s">
        <v>10527</v>
      </c>
      <c r="BN553" t="s">
        <v>74</v>
      </c>
      <c r="BO553" t="s">
        <v>326</v>
      </c>
      <c r="BP553" t="s">
        <v>74</v>
      </c>
      <c r="BQ553" t="s">
        <v>74</v>
      </c>
      <c r="BR553" t="s">
        <v>106</v>
      </c>
      <c r="BS553" t="s">
        <v>10608</v>
      </c>
      <c r="BT553" t="str">
        <f>HYPERLINK("https%3A%2F%2Fwww.webofscience.com%2Fwos%2Fwoscc%2Ffull-record%2FWOS:000937848600009","View Full Record in Web of Science")</f>
        <v>View Full Record in Web of Science</v>
      </c>
    </row>
    <row r="554" spans="1:72" x14ac:dyDescent="0.15">
      <c r="A554" t="s">
        <v>72</v>
      </c>
      <c r="B554" t="s">
        <v>10609</v>
      </c>
      <c r="C554" t="s">
        <v>74</v>
      </c>
      <c r="D554" t="s">
        <v>74</v>
      </c>
      <c r="E554" t="s">
        <v>74</v>
      </c>
      <c r="F554" t="s">
        <v>10610</v>
      </c>
      <c r="G554" t="s">
        <v>74</v>
      </c>
      <c r="H554" t="s">
        <v>74</v>
      </c>
      <c r="I554" t="s">
        <v>10611</v>
      </c>
      <c r="J554" t="s">
        <v>10509</v>
      </c>
      <c r="K554" t="s">
        <v>74</v>
      </c>
      <c r="L554" t="s">
        <v>74</v>
      </c>
      <c r="M554" t="s">
        <v>78</v>
      </c>
      <c r="N554" t="s">
        <v>79</v>
      </c>
      <c r="O554" t="s">
        <v>74</v>
      </c>
      <c r="P554" t="s">
        <v>74</v>
      </c>
      <c r="Q554" t="s">
        <v>74</v>
      </c>
      <c r="R554" t="s">
        <v>74</v>
      </c>
      <c r="S554" t="s">
        <v>74</v>
      </c>
      <c r="T554" t="s">
        <v>10612</v>
      </c>
      <c r="U554" t="s">
        <v>10613</v>
      </c>
      <c r="V554" t="s">
        <v>10614</v>
      </c>
      <c r="W554" t="s">
        <v>10615</v>
      </c>
      <c r="X554" t="s">
        <v>10616</v>
      </c>
      <c r="Y554" t="s">
        <v>10617</v>
      </c>
      <c r="Z554" t="s">
        <v>10618</v>
      </c>
      <c r="AA554" t="s">
        <v>10619</v>
      </c>
      <c r="AB554" t="s">
        <v>10620</v>
      </c>
      <c r="AC554" t="s">
        <v>74</v>
      </c>
      <c r="AD554" t="s">
        <v>74</v>
      </c>
      <c r="AE554" t="s">
        <v>74</v>
      </c>
      <c r="AF554" t="s">
        <v>74</v>
      </c>
      <c r="AG554">
        <v>78</v>
      </c>
      <c r="AH554">
        <v>1</v>
      </c>
      <c r="AI554">
        <v>1</v>
      </c>
      <c r="AJ554">
        <v>0</v>
      </c>
      <c r="AK554">
        <v>3</v>
      </c>
      <c r="AL554" t="s">
        <v>10519</v>
      </c>
      <c r="AM554" t="s">
        <v>10520</v>
      </c>
      <c r="AN554" t="s">
        <v>10521</v>
      </c>
      <c r="AO554" t="s">
        <v>10522</v>
      </c>
      <c r="AP554" t="s">
        <v>10523</v>
      </c>
      <c r="AQ554" t="s">
        <v>74</v>
      </c>
      <c r="AR554" t="s">
        <v>10524</v>
      </c>
      <c r="AS554" t="s">
        <v>10525</v>
      </c>
      <c r="AT554" t="s">
        <v>74</v>
      </c>
      <c r="AU554">
        <v>2021</v>
      </c>
      <c r="AV554">
        <v>11</v>
      </c>
      <c r="AW554">
        <v>1</v>
      </c>
      <c r="AX554" t="s">
        <v>74</v>
      </c>
      <c r="AY554" t="s">
        <v>74</v>
      </c>
      <c r="AZ554" t="s">
        <v>74</v>
      </c>
      <c r="BA554" t="s">
        <v>74</v>
      </c>
      <c r="BB554">
        <v>134</v>
      </c>
      <c r="BC554">
        <v>153</v>
      </c>
      <c r="BD554" t="s">
        <v>74</v>
      </c>
      <c r="BE554" t="s">
        <v>10621</v>
      </c>
      <c r="BF554" t="str">
        <f>HYPERLINK("http://dx.doi.org/10.5817/CPR2021-1-10","http://dx.doi.org/10.5817/CPR2021-1-10")</f>
        <v>http://dx.doi.org/10.5817/CPR2021-1-10</v>
      </c>
      <c r="BG554" t="s">
        <v>74</v>
      </c>
      <c r="BH554" t="s">
        <v>74</v>
      </c>
      <c r="BI554">
        <v>20</v>
      </c>
      <c r="BJ554" t="s">
        <v>3680</v>
      </c>
      <c r="BK554" t="s">
        <v>3050</v>
      </c>
      <c r="BL554" t="s">
        <v>3681</v>
      </c>
      <c r="BM554" t="s">
        <v>10527</v>
      </c>
      <c r="BN554" t="s">
        <v>74</v>
      </c>
      <c r="BO554" t="s">
        <v>917</v>
      </c>
      <c r="BP554" t="s">
        <v>74</v>
      </c>
      <c r="BQ554" t="s">
        <v>74</v>
      </c>
      <c r="BR554" t="s">
        <v>106</v>
      </c>
      <c r="BS554" t="s">
        <v>10622</v>
      </c>
      <c r="BT554" t="str">
        <f>HYPERLINK("https%3A%2F%2Fwww.webofscience.com%2Fwos%2Fwoscc%2Ffull-record%2FWOS:000937848600010","View Full Record in Web of Science")</f>
        <v>View Full Record in Web of Science</v>
      </c>
    </row>
    <row r="555" spans="1:72" x14ac:dyDescent="0.15">
      <c r="A555" t="s">
        <v>72</v>
      </c>
      <c r="B555" t="s">
        <v>10623</v>
      </c>
      <c r="C555" t="s">
        <v>74</v>
      </c>
      <c r="D555" t="s">
        <v>74</v>
      </c>
      <c r="E555" t="s">
        <v>74</v>
      </c>
      <c r="F555" t="s">
        <v>10624</v>
      </c>
      <c r="G555" t="s">
        <v>74</v>
      </c>
      <c r="H555" t="s">
        <v>74</v>
      </c>
      <c r="I555" t="s">
        <v>10625</v>
      </c>
      <c r="J555" t="s">
        <v>10509</v>
      </c>
      <c r="K555" t="s">
        <v>74</v>
      </c>
      <c r="L555" t="s">
        <v>74</v>
      </c>
      <c r="M555" t="s">
        <v>78</v>
      </c>
      <c r="N555" t="s">
        <v>79</v>
      </c>
      <c r="O555" t="s">
        <v>74</v>
      </c>
      <c r="P555" t="s">
        <v>74</v>
      </c>
      <c r="Q555" t="s">
        <v>74</v>
      </c>
      <c r="R555" t="s">
        <v>74</v>
      </c>
      <c r="S555" t="s">
        <v>74</v>
      </c>
      <c r="T555" t="s">
        <v>10626</v>
      </c>
      <c r="U555" t="s">
        <v>10627</v>
      </c>
      <c r="V555" t="s">
        <v>10628</v>
      </c>
      <c r="W555" t="s">
        <v>10629</v>
      </c>
      <c r="X555" t="s">
        <v>10630</v>
      </c>
      <c r="Y555" t="s">
        <v>10631</v>
      </c>
      <c r="Z555" t="s">
        <v>10632</v>
      </c>
      <c r="AA555" t="s">
        <v>74</v>
      </c>
      <c r="AB555" t="s">
        <v>74</v>
      </c>
      <c r="AC555" t="s">
        <v>10633</v>
      </c>
      <c r="AD555" t="s">
        <v>10634</v>
      </c>
      <c r="AE555" t="s">
        <v>10635</v>
      </c>
      <c r="AF555" t="s">
        <v>74</v>
      </c>
      <c r="AG555">
        <v>28</v>
      </c>
      <c r="AH555">
        <v>1</v>
      </c>
      <c r="AI555">
        <v>1</v>
      </c>
      <c r="AJ555">
        <v>0</v>
      </c>
      <c r="AK555">
        <v>0</v>
      </c>
      <c r="AL555" t="s">
        <v>10519</v>
      </c>
      <c r="AM555" t="s">
        <v>10520</v>
      </c>
      <c r="AN555" t="s">
        <v>10521</v>
      </c>
      <c r="AO555" t="s">
        <v>10522</v>
      </c>
      <c r="AP555" t="s">
        <v>10523</v>
      </c>
      <c r="AQ555" t="s">
        <v>74</v>
      </c>
      <c r="AR555" t="s">
        <v>10524</v>
      </c>
      <c r="AS555" t="s">
        <v>10525</v>
      </c>
      <c r="AT555" t="s">
        <v>74</v>
      </c>
      <c r="AU555">
        <v>2021</v>
      </c>
      <c r="AV555">
        <v>11</v>
      </c>
      <c r="AW555">
        <v>2</v>
      </c>
      <c r="AX555" t="s">
        <v>74</v>
      </c>
      <c r="AY555" t="s">
        <v>74</v>
      </c>
      <c r="AZ555" t="s">
        <v>74</v>
      </c>
      <c r="BA555" t="s">
        <v>74</v>
      </c>
      <c r="BB555">
        <v>194</v>
      </c>
      <c r="BC555">
        <v>202</v>
      </c>
      <c r="BD555" t="s">
        <v>74</v>
      </c>
      <c r="BE555" t="s">
        <v>10636</v>
      </c>
      <c r="BF555" t="str">
        <f>HYPERLINK("http://dx.doi.org/10.5817/CPR2021-2-13","http://dx.doi.org/10.5817/CPR2021-2-13")</f>
        <v>http://dx.doi.org/10.5817/CPR2021-2-13</v>
      </c>
      <c r="BG555" t="s">
        <v>74</v>
      </c>
      <c r="BH555" t="s">
        <v>74</v>
      </c>
      <c r="BI555">
        <v>9</v>
      </c>
      <c r="BJ555" t="s">
        <v>3680</v>
      </c>
      <c r="BK555" t="s">
        <v>3050</v>
      </c>
      <c r="BL555" t="s">
        <v>3681</v>
      </c>
      <c r="BM555" t="s">
        <v>10637</v>
      </c>
      <c r="BN555" t="s">
        <v>74</v>
      </c>
      <c r="BO555" t="s">
        <v>326</v>
      </c>
      <c r="BP555" t="s">
        <v>74</v>
      </c>
      <c r="BQ555" t="s">
        <v>74</v>
      </c>
      <c r="BR555" t="s">
        <v>106</v>
      </c>
      <c r="BS555" t="s">
        <v>10638</v>
      </c>
      <c r="BT555" t="str">
        <f>HYPERLINK("https%3A%2F%2Fwww.webofscience.com%2Fwos%2Fwoscc%2Ffull-record%2FWOS:000937851900001","View Full Record in Web of Science")</f>
        <v>View Full Record in Web of Science</v>
      </c>
    </row>
    <row r="556" spans="1:72" x14ac:dyDescent="0.15">
      <c r="A556" t="s">
        <v>72</v>
      </c>
      <c r="B556" t="s">
        <v>10639</v>
      </c>
      <c r="C556" t="s">
        <v>74</v>
      </c>
      <c r="D556" t="s">
        <v>74</v>
      </c>
      <c r="E556" t="s">
        <v>74</v>
      </c>
      <c r="F556" t="s">
        <v>10640</v>
      </c>
      <c r="G556" t="s">
        <v>74</v>
      </c>
      <c r="H556" t="s">
        <v>74</v>
      </c>
      <c r="I556" t="s">
        <v>10641</v>
      </c>
      <c r="J556" t="s">
        <v>10509</v>
      </c>
      <c r="K556" t="s">
        <v>74</v>
      </c>
      <c r="L556" t="s">
        <v>74</v>
      </c>
      <c r="M556" t="s">
        <v>78</v>
      </c>
      <c r="N556" t="s">
        <v>79</v>
      </c>
      <c r="O556" t="s">
        <v>74</v>
      </c>
      <c r="P556" t="s">
        <v>74</v>
      </c>
      <c r="Q556" t="s">
        <v>74</v>
      </c>
      <c r="R556" t="s">
        <v>74</v>
      </c>
      <c r="S556" t="s">
        <v>74</v>
      </c>
      <c r="T556" t="s">
        <v>10642</v>
      </c>
      <c r="U556" t="s">
        <v>10643</v>
      </c>
      <c r="V556" t="s">
        <v>10644</v>
      </c>
      <c r="W556" t="s">
        <v>10645</v>
      </c>
      <c r="X556" t="s">
        <v>1932</v>
      </c>
      <c r="Y556" t="s">
        <v>10646</v>
      </c>
      <c r="Z556" t="s">
        <v>10647</v>
      </c>
      <c r="AA556" t="s">
        <v>10648</v>
      </c>
      <c r="AB556" t="s">
        <v>10649</v>
      </c>
      <c r="AC556" t="s">
        <v>10650</v>
      </c>
      <c r="AD556" t="s">
        <v>10651</v>
      </c>
      <c r="AE556" t="s">
        <v>10652</v>
      </c>
      <c r="AF556" t="s">
        <v>74</v>
      </c>
      <c r="AG556">
        <v>37</v>
      </c>
      <c r="AH556">
        <v>0</v>
      </c>
      <c r="AI556">
        <v>0</v>
      </c>
      <c r="AJ556">
        <v>1</v>
      </c>
      <c r="AK556">
        <v>1</v>
      </c>
      <c r="AL556" t="s">
        <v>10519</v>
      </c>
      <c r="AM556" t="s">
        <v>10520</v>
      </c>
      <c r="AN556" t="s">
        <v>10521</v>
      </c>
      <c r="AO556" t="s">
        <v>10522</v>
      </c>
      <c r="AP556" t="s">
        <v>10523</v>
      </c>
      <c r="AQ556" t="s">
        <v>74</v>
      </c>
      <c r="AR556" t="s">
        <v>10524</v>
      </c>
      <c r="AS556" t="s">
        <v>10525</v>
      </c>
      <c r="AT556" t="s">
        <v>74</v>
      </c>
      <c r="AU556">
        <v>2021</v>
      </c>
      <c r="AV556">
        <v>11</v>
      </c>
      <c r="AW556">
        <v>2</v>
      </c>
      <c r="AX556" t="s">
        <v>74</v>
      </c>
      <c r="AY556" t="s">
        <v>74</v>
      </c>
      <c r="AZ556" t="s">
        <v>74</v>
      </c>
      <c r="BA556" t="s">
        <v>74</v>
      </c>
      <c r="BB556">
        <v>203</v>
      </c>
      <c r="BC556">
        <v>214</v>
      </c>
      <c r="BD556" t="s">
        <v>74</v>
      </c>
      <c r="BE556" t="s">
        <v>10653</v>
      </c>
      <c r="BF556" t="str">
        <f>HYPERLINK("http://dx.doi.org/10.5817/CPR2021-2-14","http://dx.doi.org/10.5817/CPR2021-2-14")</f>
        <v>http://dx.doi.org/10.5817/CPR2021-2-14</v>
      </c>
      <c r="BG556" t="s">
        <v>74</v>
      </c>
      <c r="BH556" t="s">
        <v>74</v>
      </c>
      <c r="BI556">
        <v>12</v>
      </c>
      <c r="BJ556" t="s">
        <v>3680</v>
      </c>
      <c r="BK556" t="s">
        <v>3050</v>
      </c>
      <c r="BL556" t="s">
        <v>3681</v>
      </c>
      <c r="BM556" t="s">
        <v>10637</v>
      </c>
      <c r="BN556" t="s">
        <v>74</v>
      </c>
      <c r="BO556" t="s">
        <v>326</v>
      </c>
      <c r="BP556" t="s">
        <v>74</v>
      </c>
      <c r="BQ556" t="s">
        <v>74</v>
      </c>
      <c r="BR556" t="s">
        <v>106</v>
      </c>
      <c r="BS556" t="s">
        <v>10654</v>
      </c>
      <c r="BT556" t="str">
        <f>HYPERLINK("https%3A%2F%2Fwww.webofscience.com%2Fwos%2Fwoscc%2Ffull-record%2FWOS:000937851900002","View Full Record in Web of Science")</f>
        <v>View Full Record in Web of Science</v>
      </c>
    </row>
    <row r="557" spans="1:72" x14ac:dyDescent="0.15">
      <c r="A557" t="s">
        <v>72</v>
      </c>
      <c r="B557" t="s">
        <v>10655</v>
      </c>
      <c r="C557" t="s">
        <v>74</v>
      </c>
      <c r="D557" t="s">
        <v>74</v>
      </c>
      <c r="E557" t="s">
        <v>74</v>
      </c>
      <c r="F557" t="s">
        <v>10656</v>
      </c>
      <c r="G557" t="s">
        <v>74</v>
      </c>
      <c r="H557" t="s">
        <v>74</v>
      </c>
      <c r="I557" t="s">
        <v>10657</v>
      </c>
      <c r="J557" t="s">
        <v>10509</v>
      </c>
      <c r="K557" t="s">
        <v>74</v>
      </c>
      <c r="L557" t="s">
        <v>74</v>
      </c>
      <c r="M557" t="s">
        <v>78</v>
      </c>
      <c r="N557" t="s">
        <v>79</v>
      </c>
      <c r="O557" t="s">
        <v>74</v>
      </c>
      <c r="P557" t="s">
        <v>74</v>
      </c>
      <c r="Q557" t="s">
        <v>74</v>
      </c>
      <c r="R557" t="s">
        <v>74</v>
      </c>
      <c r="S557" t="s">
        <v>74</v>
      </c>
      <c r="T557" t="s">
        <v>10658</v>
      </c>
      <c r="U557" t="s">
        <v>74</v>
      </c>
      <c r="V557" t="s">
        <v>10659</v>
      </c>
      <c r="W557" t="s">
        <v>10660</v>
      </c>
      <c r="X557" t="s">
        <v>10661</v>
      </c>
      <c r="Y557" t="s">
        <v>10662</v>
      </c>
      <c r="Z557" t="s">
        <v>10663</v>
      </c>
      <c r="AA557" t="s">
        <v>10664</v>
      </c>
      <c r="AB557" t="s">
        <v>10665</v>
      </c>
      <c r="AC557" t="s">
        <v>10666</v>
      </c>
      <c r="AD557" t="s">
        <v>10667</v>
      </c>
      <c r="AE557" t="s">
        <v>10668</v>
      </c>
      <c r="AF557" t="s">
        <v>74</v>
      </c>
      <c r="AG557">
        <v>68</v>
      </c>
      <c r="AH557">
        <v>0</v>
      </c>
      <c r="AI557">
        <v>0</v>
      </c>
      <c r="AJ557">
        <v>1</v>
      </c>
      <c r="AK557">
        <v>3</v>
      </c>
      <c r="AL557" t="s">
        <v>10519</v>
      </c>
      <c r="AM557" t="s">
        <v>10520</v>
      </c>
      <c r="AN557" t="s">
        <v>10521</v>
      </c>
      <c r="AO557" t="s">
        <v>10522</v>
      </c>
      <c r="AP557" t="s">
        <v>10523</v>
      </c>
      <c r="AQ557" t="s">
        <v>74</v>
      </c>
      <c r="AR557" t="s">
        <v>10524</v>
      </c>
      <c r="AS557" t="s">
        <v>10525</v>
      </c>
      <c r="AT557" t="s">
        <v>74</v>
      </c>
      <c r="AU557">
        <v>2021</v>
      </c>
      <c r="AV557">
        <v>11</v>
      </c>
      <c r="AW557">
        <v>2</v>
      </c>
      <c r="AX557" t="s">
        <v>74</v>
      </c>
      <c r="AY557" t="s">
        <v>74</v>
      </c>
      <c r="AZ557" t="s">
        <v>74</v>
      </c>
      <c r="BA557" t="s">
        <v>74</v>
      </c>
      <c r="BB557">
        <v>215</v>
      </c>
      <c r="BC557">
        <v>232</v>
      </c>
      <c r="BD557" t="s">
        <v>74</v>
      </c>
      <c r="BE557" t="s">
        <v>10669</v>
      </c>
      <c r="BF557" t="str">
        <f>HYPERLINK("http://dx.doi.org/10.5817/CPR2021-2-15","http://dx.doi.org/10.5817/CPR2021-2-15")</f>
        <v>http://dx.doi.org/10.5817/CPR2021-2-15</v>
      </c>
      <c r="BG557" t="s">
        <v>74</v>
      </c>
      <c r="BH557" t="s">
        <v>74</v>
      </c>
      <c r="BI557">
        <v>18</v>
      </c>
      <c r="BJ557" t="s">
        <v>3680</v>
      </c>
      <c r="BK557" t="s">
        <v>3050</v>
      </c>
      <c r="BL557" t="s">
        <v>3681</v>
      </c>
      <c r="BM557" t="s">
        <v>10637</v>
      </c>
      <c r="BN557" t="s">
        <v>74</v>
      </c>
      <c r="BO557" t="s">
        <v>326</v>
      </c>
      <c r="BP557" t="s">
        <v>74</v>
      </c>
      <c r="BQ557" t="s">
        <v>74</v>
      </c>
      <c r="BR557" t="s">
        <v>106</v>
      </c>
      <c r="BS557" t="s">
        <v>10670</v>
      </c>
      <c r="BT557" t="str">
        <f>HYPERLINK("https%3A%2F%2Fwww.webofscience.com%2Fwos%2Fwoscc%2Ffull-record%2FWOS:000937851900003","View Full Record in Web of Science")</f>
        <v>View Full Record in Web of Science</v>
      </c>
    </row>
    <row r="558" spans="1:72" x14ac:dyDescent="0.15">
      <c r="A558" t="s">
        <v>72</v>
      </c>
      <c r="B558" t="s">
        <v>10671</v>
      </c>
      <c r="C558" t="s">
        <v>74</v>
      </c>
      <c r="D558" t="s">
        <v>74</v>
      </c>
      <c r="E558" t="s">
        <v>74</v>
      </c>
      <c r="F558" t="s">
        <v>10672</v>
      </c>
      <c r="G558" t="s">
        <v>74</v>
      </c>
      <c r="H558" t="s">
        <v>74</v>
      </c>
      <c r="I558" t="s">
        <v>10673</v>
      </c>
      <c r="J558" t="s">
        <v>10509</v>
      </c>
      <c r="K558" t="s">
        <v>74</v>
      </c>
      <c r="L558" t="s">
        <v>74</v>
      </c>
      <c r="M558" t="s">
        <v>78</v>
      </c>
      <c r="N558" t="s">
        <v>79</v>
      </c>
      <c r="O558" t="s">
        <v>74</v>
      </c>
      <c r="P558" t="s">
        <v>74</v>
      </c>
      <c r="Q558" t="s">
        <v>74</v>
      </c>
      <c r="R558" t="s">
        <v>74</v>
      </c>
      <c r="S558" t="s">
        <v>74</v>
      </c>
      <c r="T558" t="s">
        <v>10674</v>
      </c>
      <c r="U558" t="s">
        <v>74</v>
      </c>
      <c r="V558" t="s">
        <v>10675</v>
      </c>
      <c r="W558" t="s">
        <v>10676</v>
      </c>
      <c r="X558" t="s">
        <v>10677</v>
      </c>
      <c r="Y558" t="s">
        <v>10678</v>
      </c>
      <c r="Z558" t="s">
        <v>10679</v>
      </c>
      <c r="AA558" t="s">
        <v>10680</v>
      </c>
      <c r="AB558" t="s">
        <v>10681</v>
      </c>
      <c r="AC558" t="s">
        <v>10682</v>
      </c>
      <c r="AD558" t="s">
        <v>10683</v>
      </c>
      <c r="AE558" t="s">
        <v>10684</v>
      </c>
      <c r="AF558" t="s">
        <v>74</v>
      </c>
      <c r="AG558">
        <v>35</v>
      </c>
      <c r="AH558">
        <v>2</v>
      </c>
      <c r="AI558">
        <v>2</v>
      </c>
      <c r="AJ558">
        <v>0</v>
      </c>
      <c r="AK558">
        <v>0</v>
      </c>
      <c r="AL558" t="s">
        <v>10519</v>
      </c>
      <c r="AM558" t="s">
        <v>10520</v>
      </c>
      <c r="AN558" t="s">
        <v>10521</v>
      </c>
      <c r="AO558" t="s">
        <v>10522</v>
      </c>
      <c r="AP558" t="s">
        <v>10523</v>
      </c>
      <c r="AQ558" t="s">
        <v>74</v>
      </c>
      <c r="AR558" t="s">
        <v>10524</v>
      </c>
      <c r="AS558" t="s">
        <v>10525</v>
      </c>
      <c r="AT558" t="s">
        <v>74</v>
      </c>
      <c r="AU558">
        <v>2021</v>
      </c>
      <c r="AV558">
        <v>11</v>
      </c>
      <c r="AW558">
        <v>2</v>
      </c>
      <c r="AX558" t="s">
        <v>74</v>
      </c>
      <c r="AY558" t="s">
        <v>74</v>
      </c>
      <c r="AZ558" t="s">
        <v>74</v>
      </c>
      <c r="BA558" t="s">
        <v>74</v>
      </c>
      <c r="BB558">
        <v>270</v>
      </c>
      <c r="BC558">
        <v>278</v>
      </c>
      <c r="BD558" t="s">
        <v>74</v>
      </c>
      <c r="BE558" t="s">
        <v>10685</v>
      </c>
      <c r="BF558" t="str">
        <f>HYPERLINK("http://dx.doi.org/10.5817/CPR2021-2-18","http://dx.doi.org/10.5817/CPR2021-2-18")</f>
        <v>http://dx.doi.org/10.5817/CPR2021-2-18</v>
      </c>
      <c r="BG558" t="s">
        <v>74</v>
      </c>
      <c r="BH558" t="s">
        <v>74</v>
      </c>
      <c r="BI558">
        <v>9</v>
      </c>
      <c r="BJ558" t="s">
        <v>3680</v>
      </c>
      <c r="BK558" t="s">
        <v>3050</v>
      </c>
      <c r="BL558" t="s">
        <v>3681</v>
      </c>
      <c r="BM558" t="s">
        <v>10637</v>
      </c>
      <c r="BN558" t="s">
        <v>74</v>
      </c>
      <c r="BO558" t="s">
        <v>326</v>
      </c>
      <c r="BP558" t="s">
        <v>74</v>
      </c>
      <c r="BQ558" t="s">
        <v>74</v>
      </c>
      <c r="BR558" t="s">
        <v>106</v>
      </c>
      <c r="BS558" t="s">
        <v>10686</v>
      </c>
      <c r="BT558" t="str">
        <f>HYPERLINK("https%3A%2F%2Fwww.webofscience.com%2Fwos%2Fwoscc%2Ffull-record%2FWOS:000937851900006","View Full Record in Web of Science")</f>
        <v>View Full Record in Web of Science</v>
      </c>
    </row>
    <row r="559" spans="1:72" x14ac:dyDescent="0.15">
      <c r="A559" t="s">
        <v>72</v>
      </c>
      <c r="B559" t="s">
        <v>10687</v>
      </c>
      <c r="C559" t="s">
        <v>74</v>
      </c>
      <c r="D559" t="s">
        <v>74</v>
      </c>
      <c r="E559" t="s">
        <v>74</v>
      </c>
      <c r="F559" t="s">
        <v>10688</v>
      </c>
      <c r="G559" t="s">
        <v>74</v>
      </c>
      <c r="H559" t="s">
        <v>74</v>
      </c>
      <c r="I559" t="s">
        <v>10689</v>
      </c>
      <c r="J559" t="s">
        <v>10509</v>
      </c>
      <c r="K559" t="s">
        <v>74</v>
      </c>
      <c r="L559" t="s">
        <v>74</v>
      </c>
      <c r="M559" t="s">
        <v>78</v>
      </c>
      <c r="N559" t="s">
        <v>79</v>
      </c>
      <c r="O559" t="s">
        <v>74</v>
      </c>
      <c r="P559" t="s">
        <v>74</v>
      </c>
      <c r="Q559" t="s">
        <v>74</v>
      </c>
      <c r="R559" t="s">
        <v>74</v>
      </c>
      <c r="S559" t="s">
        <v>74</v>
      </c>
      <c r="T559" t="s">
        <v>10690</v>
      </c>
      <c r="U559" t="s">
        <v>74</v>
      </c>
      <c r="V559" t="s">
        <v>10691</v>
      </c>
      <c r="W559" t="s">
        <v>10692</v>
      </c>
      <c r="X559" t="s">
        <v>10693</v>
      </c>
      <c r="Y559" t="s">
        <v>10694</v>
      </c>
      <c r="Z559" t="s">
        <v>10695</v>
      </c>
      <c r="AA559" t="s">
        <v>74</v>
      </c>
      <c r="AB559" t="s">
        <v>10696</v>
      </c>
      <c r="AC559" t="s">
        <v>10697</v>
      </c>
      <c r="AD559" t="s">
        <v>10698</v>
      </c>
      <c r="AE559" t="s">
        <v>10699</v>
      </c>
      <c r="AF559" t="s">
        <v>74</v>
      </c>
      <c r="AG559">
        <v>50</v>
      </c>
      <c r="AH559">
        <v>1</v>
      </c>
      <c r="AI559">
        <v>2</v>
      </c>
      <c r="AJ559">
        <v>1</v>
      </c>
      <c r="AK559">
        <v>2</v>
      </c>
      <c r="AL559" t="s">
        <v>10519</v>
      </c>
      <c r="AM559" t="s">
        <v>10520</v>
      </c>
      <c r="AN559" t="s">
        <v>10521</v>
      </c>
      <c r="AO559" t="s">
        <v>10522</v>
      </c>
      <c r="AP559" t="s">
        <v>10523</v>
      </c>
      <c r="AQ559" t="s">
        <v>74</v>
      </c>
      <c r="AR559" t="s">
        <v>10524</v>
      </c>
      <c r="AS559" t="s">
        <v>10525</v>
      </c>
      <c r="AT559" t="s">
        <v>74</v>
      </c>
      <c r="AU559">
        <v>2021</v>
      </c>
      <c r="AV559">
        <v>11</v>
      </c>
      <c r="AW559">
        <v>2</v>
      </c>
      <c r="AX559" t="s">
        <v>74</v>
      </c>
      <c r="AY559" t="s">
        <v>74</v>
      </c>
      <c r="AZ559" t="s">
        <v>74</v>
      </c>
      <c r="BA559" t="s">
        <v>74</v>
      </c>
      <c r="BB559">
        <v>291</v>
      </c>
      <c r="BC559">
        <v>304</v>
      </c>
      <c r="BD559" t="s">
        <v>74</v>
      </c>
      <c r="BE559" t="s">
        <v>10700</v>
      </c>
      <c r="BF559" t="str">
        <f>HYPERLINK("http://dx.doi.org/10.5817/CPR2021-2-20","http://dx.doi.org/10.5817/CPR2021-2-20")</f>
        <v>http://dx.doi.org/10.5817/CPR2021-2-20</v>
      </c>
      <c r="BG559" t="s">
        <v>74</v>
      </c>
      <c r="BH559" t="s">
        <v>74</v>
      </c>
      <c r="BI559">
        <v>14</v>
      </c>
      <c r="BJ559" t="s">
        <v>3680</v>
      </c>
      <c r="BK559" t="s">
        <v>3050</v>
      </c>
      <c r="BL559" t="s">
        <v>3681</v>
      </c>
      <c r="BM559" t="s">
        <v>10637</v>
      </c>
      <c r="BN559" t="s">
        <v>74</v>
      </c>
      <c r="BO559" t="s">
        <v>326</v>
      </c>
      <c r="BP559" t="s">
        <v>74</v>
      </c>
      <c r="BQ559" t="s">
        <v>74</v>
      </c>
      <c r="BR559" t="s">
        <v>106</v>
      </c>
      <c r="BS559" t="s">
        <v>10701</v>
      </c>
      <c r="BT559" t="str">
        <f>HYPERLINK("https%3A%2F%2Fwww.webofscience.com%2Fwos%2Fwoscc%2Ffull-record%2FWOS:000937851900008","View Full Record in Web of Science")</f>
        <v>View Full Record in Web of Science</v>
      </c>
    </row>
    <row r="560" spans="1:72" x14ac:dyDescent="0.15">
      <c r="A560" t="s">
        <v>72</v>
      </c>
      <c r="B560" t="s">
        <v>10702</v>
      </c>
      <c r="C560" t="s">
        <v>74</v>
      </c>
      <c r="D560" t="s">
        <v>74</v>
      </c>
      <c r="E560" t="s">
        <v>74</v>
      </c>
      <c r="F560" t="s">
        <v>10703</v>
      </c>
      <c r="G560" t="s">
        <v>74</v>
      </c>
      <c r="H560" t="s">
        <v>74</v>
      </c>
      <c r="I560" t="s">
        <v>10704</v>
      </c>
      <c r="J560" t="s">
        <v>10509</v>
      </c>
      <c r="K560" t="s">
        <v>74</v>
      </c>
      <c r="L560" t="s">
        <v>74</v>
      </c>
      <c r="M560" t="s">
        <v>78</v>
      </c>
      <c r="N560" t="s">
        <v>79</v>
      </c>
      <c r="O560" t="s">
        <v>74</v>
      </c>
      <c r="P560" t="s">
        <v>74</v>
      </c>
      <c r="Q560" t="s">
        <v>74</v>
      </c>
      <c r="R560" t="s">
        <v>74</v>
      </c>
      <c r="S560" t="s">
        <v>74</v>
      </c>
      <c r="T560" t="s">
        <v>10705</v>
      </c>
      <c r="U560" t="s">
        <v>74</v>
      </c>
      <c r="V560" t="s">
        <v>10706</v>
      </c>
      <c r="W560" t="s">
        <v>10707</v>
      </c>
      <c r="X560" t="s">
        <v>10708</v>
      </c>
      <c r="Y560" t="s">
        <v>10709</v>
      </c>
      <c r="Z560" t="s">
        <v>10710</v>
      </c>
      <c r="AA560" t="s">
        <v>10711</v>
      </c>
      <c r="AB560" t="s">
        <v>10712</v>
      </c>
      <c r="AC560" t="s">
        <v>10713</v>
      </c>
      <c r="AD560" t="s">
        <v>10714</v>
      </c>
      <c r="AE560" t="s">
        <v>10715</v>
      </c>
      <c r="AF560" t="s">
        <v>74</v>
      </c>
      <c r="AG560">
        <v>37</v>
      </c>
      <c r="AH560">
        <v>0</v>
      </c>
      <c r="AI560">
        <v>0</v>
      </c>
      <c r="AJ560">
        <v>0</v>
      </c>
      <c r="AK560">
        <v>0</v>
      </c>
      <c r="AL560" t="s">
        <v>10519</v>
      </c>
      <c r="AM560" t="s">
        <v>10520</v>
      </c>
      <c r="AN560" t="s">
        <v>10521</v>
      </c>
      <c r="AO560" t="s">
        <v>10522</v>
      </c>
      <c r="AP560" t="s">
        <v>10523</v>
      </c>
      <c r="AQ560" t="s">
        <v>74</v>
      </c>
      <c r="AR560" t="s">
        <v>10524</v>
      </c>
      <c r="AS560" t="s">
        <v>10525</v>
      </c>
      <c r="AT560" t="s">
        <v>74</v>
      </c>
      <c r="AU560">
        <v>2021</v>
      </c>
      <c r="AV560">
        <v>11</v>
      </c>
      <c r="AW560">
        <v>2</v>
      </c>
      <c r="AX560" t="s">
        <v>74</v>
      </c>
      <c r="AY560" t="s">
        <v>74</v>
      </c>
      <c r="AZ560" t="s">
        <v>74</v>
      </c>
      <c r="BA560" t="s">
        <v>74</v>
      </c>
      <c r="BB560">
        <v>318</v>
      </c>
      <c r="BC560">
        <v>332</v>
      </c>
      <c r="BD560" t="s">
        <v>74</v>
      </c>
      <c r="BE560" t="s">
        <v>10716</v>
      </c>
      <c r="BF560" t="str">
        <f>HYPERLINK("http://dx.doi.org/10.5817/CPR2021-2-22","http://dx.doi.org/10.5817/CPR2021-2-22")</f>
        <v>http://dx.doi.org/10.5817/CPR2021-2-22</v>
      </c>
      <c r="BG560" t="s">
        <v>74</v>
      </c>
      <c r="BH560" t="s">
        <v>74</v>
      </c>
      <c r="BI560">
        <v>15</v>
      </c>
      <c r="BJ560" t="s">
        <v>3680</v>
      </c>
      <c r="BK560" t="s">
        <v>3050</v>
      </c>
      <c r="BL560" t="s">
        <v>3681</v>
      </c>
      <c r="BM560" t="s">
        <v>10637</v>
      </c>
      <c r="BN560" t="s">
        <v>74</v>
      </c>
      <c r="BO560" t="s">
        <v>326</v>
      </c>
      <c r="BP560" t="s">
        <v>74</v>
      </c>
      <c r="BQ560" t="s">
        <v>74</v>
      </c>
      <c r="BR560" t="s">
        <v>106</v>
      </c>
      <c r="BS560" t="s">
        <v>10717</v>
      </c>
      <c r="BT560" t="str">
        <f>HYPERLINK("https%3A%2F%2Fwww.webofscience.com%2Fwos%2Fwoscc%2Ffull-record%2FWOS:000937851900010","View Full Record in Web of Science")</f>
        <v>View Full Record in Web of Science</v>
      </c>
    </row>
    <row r="561" spans="1:72" x14ac:dyDescent="0.15">
      <c r="A561" t="s">
        <v>72</v>
      </c>
      <c r="B561" t="s">
        <v>10718</v>
      </c>
      <c r="C561" t="s">
        <v>74</v>
      </c>
      <c r="D561" t="s">
        <v>74</v>
      </c>
      <c r="E561" t="s">
        <v>74</v>
      </c>
      <c r="F561" t="s">
        <v>10719</v>
      </c>
      <c r="G561" t="s">
        <v>74</v>
      </c>
      <c r="H561" t="s">
        <v>74</v>
      </c>
      <c r="I561" t="s">
        <v>10720</v>
      </c>
      <c r="J561" t="s">
        <v>10509</v>
      </c>
      <c r="K561" t="s">
        <v>74</v>
      </c>
      <c r="L561" t="s">
        <v>74</v>
      </c>
      <c r="M561" t="s">
        <v>78</v>
      </c>
      <c r="N561" t="s">
        <v>79</v>
      </c>
      <c r="O561" t="s">
        <v>74</v>
      </c>
      <c r="P561" t="s">
        <v>74</v>
      </c>
      <c r="Q561" t="s">
        <v>74</v>
      </c>
      <c r="R561" t="s">
        <v>74</v>
      </c>
      <c r="S561" t="s">
        <v>74</v>
      </c>
      <c r="T561" t="s">
        <v>10721</v>
      </c>
      <c r="U561" t="s">
        <v>10722</v>
      </c>
      <c r="V561" t="s">
        <v>10723</v>
      </c>
      <c r="W561" t="s">
        <v>10724</v>
      </c>
      <c r="X561" t="s">
        <v>10725</v>
      </c>
      <c r="Y561" t="s">
        <v>10726</v>
      </c>
      <c r="Z561" t="s">
        <v>10727</v>
      </c>
      <c r="AA561" t="s">
        <v>10728</v>
      </c>
      <c r="AB561" t="s">
        <v>10729</v>
      </c>
      <c r="AC561" t="s">
        <v>10730</v>
      </c>
      <c r="AD561" t="s">
        <v>10731</v>
      </c>
      <c r="AE561" t="s">
        <v>10732</v>
      </c>
      <c r="AF561" t="s">
        <v>74</v>
      </c>
      <c r="AG561">
        <v>84</v>
      </c>
      <c r="AH561">
        <v>1</v>
      </c>
      <c r="AI561">
        <v>1</v>
      </c>
      <c r="AJ561">
        <v>0</v>
      </c>
      <c r="AK561">
        <v>0</v>
      </c>
      <c r="AL561" t="s">
        <v>10519</v>
      </c>
      <c r="AM561" t="s">
        <v>10520</v>
      </c>
      <c r="AN561" t="s">
        <v>10521</v>
      </c>
      <c r="AO561" t="s">
        <v>10522</v>
      </c>
      <c r="AP561" t="s">
        <v>10523</v>
      </c>
      <c r="AQ561" t="s">
        <v>74</v>
      </c>
      <c r="AR561" t="s">
        <v>10524</v>
      </c>
      <c r="AS561" t="s">
        <v>10525</v>
      </c>
      <c r="AT561" t="s">
        <v>74</v>
      </c>
      <c r="AU561">
        <v>2021</v>
      </c>
      <c r="AV561">
        <v>11</v>
      </c>
      <c r="AW561">
        <v>2</v>
      </c>
      <c r="AX561" t="s">
        <v>74</v>
      </c>
      <c r="AY561" t="s">
        <v>74</v>
      </c>
      <c r="AZ561" t="s">
        <v>74</v>
      </c>
      <c r="BA561" t="s">
        <v>74</v>
      </c>
      <c r="BB561">
        <v>352</v>
      </c>
      <c r="BC561">
        <v>373</v>
      </c>
      <c r="BD561" t="s">
        <v>74</v>
      </c>
      <c r="BE561" t="s">
        <v>10733</v>
      </c>
      <c r="BF561" t="str">
        <f>HYPERLINK("http://dx.doi.org/10.5817/CPR2021-2-24","http://dx.doi.org/10.5817/CPR2021-2-24")</f>
        <v>http://dx.doi.org/10.5817/CPR2021-2-24</v>
      </c>
      <c r="BG561" t="s">
        <v>74</v>
      </c>
      <c r="BH561" t="s">
        <v>74</v>
      </c>
      <c r="BI561">
        <v>22</v>
      </c>
      <c r="BJ561" t="s">
        <v>3680</v>
      </c>
      <c r="BK561" t="s">
        <v>3050</v>
      </c>
      <c r="BL561" t="s">
        <v>3681</v>
      </c>
      <c r="BM561" t="s">
        <v>10637</v>
      </c>
      <c r="BN561" t="s">
        <v>74</v>
      </c>
      <c r="BO561" t="s">
        <v>326</v>
      </c>
      <c r="BP561" t="s">
        <v>74</v>
      </c>
      <c r="BQ561" t="s">
        <v>74</v>
      </c>
      <c r="BR561" t="s">
        <v>106</v>
      </c>
      <c r="BS561" t="s">
        <v>10734</v>
      </c>
      <c r="BT561" t="str">
        <f>HYPERLINK("https%3A%2F%2Fwww.webofscience.com%2Fwos%2Fwoscc%2Ffull-record%2FWOS:000937851900012","View Full Record in Web of Science")</f>
        <v>View Full Record in Web of Science</v>
      </c>
    </row>
    <row r="562" spans="1:72" x14ac:dyDescent="0.15">
      <c r="A562" t="s">
        <v>72</v>
      </c>
      <c r="B562" t="s">
        <v>10735</v>
      </c>
      <c r="C562" t="s">
        <v>74</v>
      </c>
      <c r="D562" t="s">
        <v>74</v>
      </c>
      <c r="E562" t="s">
        <v>74</v>
      </c>
      <c r="F562" t="s">
        <v>10736</v>
      </c>
      <c r="G562" t="s">
        <v>74</v>
      </c>
      <c r="H562" t="s">
        <v>74</v>
      </c>
      <c r="I562" t="s">
        <v>10737</v>
      </c>
      <c r="J562" t="s">
        <v>9614</v>
      </c>
      <c r="K562" t="s">
        <v>74</v>
      </c>
      <c r="L562" t="s">
        <v>74</v>
      </c>
      <c r="M562" t="s">
        <v>78</v>
      </c>
      <c r="N562" t="s">
        <v>79</v>
      </c>
      <c r="O562" t="s">
        <v>74</v>
      </c>
      <c r="P562" t="s">
        <v>74</v>
      </c>
      <c r="Q562" t="s">
        <v>74</v>
      </c>
      <c r="R562" t="s">
        <v>74</v>
      </c>
      <c r="S562" t="s">
        <v>74</v>
      </c>
      <c r="T562" t="s">
        <v>10738</v>
      </c>
      <c r="U562" t="s">
        <v>10739</v>
      </c>
      <c r="V562" t="s">
        <v>10740</v>
      </c>
      <c r="W562" t="s">
        <v>10741</v>
      </c>
      <c r="X562" t="s">
        <v>10742</v>
      </c>
      <c r="Y562" t="s">
        <v>10743</v>
      </c>
      <c r="Z562" t="s">
        <v>10744</v>
      </c>
      <c r="AA562" t="s">
        <v>10745</v>
      </c>
      <c r="AB562" t="s">
        <v>10746</v>
      </c>
      <c r="AC562" t="s">
        <v>10747</v>
      </c>
      <c r="AD562" t="s">
        <v>10748</v>
      </c>
      <c r="AE562" t="s">
        <v>10749</v>
      </c>
      <c r="AF562" t="s">
        <v>74</v>
      </c>
      <c r="AG562">
        <v>61</v>
      </c>
      <c r="AH562">
        <v>87</v>
      </c>
      <c r="AI562">
        <v>93</v>
      </c>
      <c r="AJ562">
        <v>31</v>
      </c>
      <c r="AK562">
        <v>172</v>
      </c>
      <c r="AL562" t="s">
        <v>418</v>
      </c>
      <c r="AM562" t="s">
        <v>178</v>
      </c>
      <c r="AN562" t="s">
        <v>419</v>
      </c>
      <c r="AO562" t="s">
        <v>9627</v>
      </c>
      <c r="AP562" t="s">
        <v>9628</v>
      </c>
      <c r="AQ562" t="s">
        <v>74</v>
      </c>
      <c r="AR562" t="s">
        <v>9629</v>
      </c>
      <c r="AS562" t="s">
        <v>9630</v>
      </c>
      <c r="AT562" t="s">
        <v>374</v>
      </c>
      <c r="AU562">
        <v>2021</v>
      </c>
      <c r="AV562">
        <v>146</v>
      </c>
      <c r="AW562" t="s">
        <v>74</v>
      </c>
      <c r="AX562" t="s">
        <v>74</v>
      </c>
      <c r="AY562" t="s">
        <v>74</v>
      </c>
      <c r="AZ562" t="s">
        <v>74</v>
      </c>
      <c r="BA562" t="s">
        <v>74</v>
      </c>
      <c r="BB562" t="s">
        <v>74</v>
      </c>
      <c r="BC562" t="s">
        <v>74</v>
      </c>
      <c r="BD562">
        <v>106262</v>
      </c>
      <c r="BE562" t="s">
        <v>10750</v>
      </c>
      <c r="BF562" t="str">
        <f>HYPERLINK("http://dx.doi.org/10.1016/j.envint.2020.106262","http://dx.doi.org/10.1016/j.envint.2020.106262")</f>
        <v>http://dx.doi.org/10.1016/j.envint.2020.106262</v>
      </c>
      <c r="BG562" t="s">
        <v>74</v>
      </c>
      <c r="BH562" t="s">
        <v>74</v>
      </c>
      <c r="BI562">
        <v>8</v>
      </c>
      <c r="BJ562" t="s">
        <v>102</v>
      </c>
      <c r="BK562" t="s">
        <v>103</v>
      </c>
      <c r="BL562" t="s">
        <v>104</v>
      </c>
      <c r="BM562" t="s">
        <v>10751</v>
      </c>
      <c r="BN562">
        <v>33221595</v>
      </c>
      <c r="BO562" t="s">
        <v>246</v>
      </c>
      <c r="BP562" t="s">
        <v>74</v>
      </c>
      <c r="BQ562" t="s">
        <v>74</v>
      </c>
      <c r="BR562" t="s">
        <v>106</v>
      </c>
      <c r="BS562" t="s">
        <v>10752</v>
      </c>
      <c r="BT562" t="str">
        <f>HYPERLINK("https%3A%2F%2Fwww.webofscience.com%2Fwos%2Fwoscc%2Ffull-record%2FWOS:000604626300012","View Full Record in Web of Science")</f>
        <v>View Full Record in Web of Science</v>
      </c>
    </row>
    <row r="563" spans="1:72" x14ac:dyDescent="0.15">
      <c r="A563" t="s">
        <v>72</v>
      </c>
      <c r="B563" t="s">
        <v>10753</v>
      </c>
      <c r="C563" t="s">
        <v>74</v>
      </c>
      <c r="D563" t="s">
        <v>74</v>
      </c>
      <c r="E563" t="s">
        <v>74</v>
      </c>
      <c r="F563" t="s">
        <v>10754</v>
      </c>
      <c r="G563" t="s">
        <v>74</v>
      </c>
      <c r="H563" t="s">
        <v>74</v>
      </c>
      <c r="I563" t="s">
        <v>10755</v>
      </c>
      <c r="J563" t="s">
        <v>10756</v>
      </c>
      <c r="K563" t="s">
        <v>74</v>
      </c>
      <c r="L563" t="s">
        <v>74</v>
      </c>
      <c r="M563" t="s">
        <v>78</v>
      </c>
      <c r="N563" t="s">
        <v>79</v>
      </c>
      <c r="O563" t="s">
        <v>74</v>
      </c>
      <c r="P563" t="s">
        <v>74</v>
      </c>
      <c r="Q563" t="s">
        <v>74</v>
      </c>
      <c r="R563" t="s">
        <v>74</v>
      </c>
      <c r="S563" t="s">
        <v>74</v>
      </c>
      <c r="T563" t="s">
        <v>10757</v>
      </c>
      <c r="U563" t="s">
        <v>10758</v>
      </c>
      <c r="V563" t="s">
        <v>10759</v>
      </c>
      <c r="W563" t="s">
        <v>10760</v>
      </c>
      <c r="X563" t="s">
        <v>10761</v>
      </c>
      <c r="Y563" t="s">
        <v>10762</v>
      </c>
      <c r="Z563" t="s">
        <v>10763</v>
      </c>
      <c r="AA563" t="s">
        <v>10764</v>
      </c>
      <c r="AB563" t="s">
        <v>10765</v>
      </c>
      <c r="AC563" t="s">
        <v>10766</v>
      </c>
      <c r="AD563" t="s">
        <v>10767</v>
      </c>
      <c r="AE563" t="s">
        <v>10768</v>
      </c>
      <c r="AF563" t="s">
        <v>74</v>
      </c>
      <c r="AG563">
        <v>56</v>
      </c>
      <c r="AH563">
        <v>8</v>
      </c>
      <c r="AI563">
        <v>8</v>
      </c>
      <c r="AJ563">
        <v>2</v>
      </c>
      <c r="AK563">
        <v>13</v>
      </c>
      <c r="AL563" t="s">
        <v>10769</v>
      </c>
      <c r="AM563" t="s">
        <v>10770</v>
      </c>
      <c r="AN563" t="s">
        <v>10771</v>
      </c>
      <c r="AO563" t="s">
        <v>10772</v>
      </c>
      <c r="AP563" t="s">
        <v>74</v>
      </c>
      <c r="AQ563" t="s">
        <v>74</v>
      </c>
      <c r="AR563" t="s">
        <v>10773</v>
      </c>
      <c r="AS563" t="s">
        <v>10774</v>
      </c>
      <c r="AT563" t="s">
        <v>374</v>
      </c>
      <c r="AU563">
        <v>2021</v>
      </c>
      <c r="AV563">
        <v>16</v>
      </c>
      <c r="AW563">
        <v>1</v>
      </c>
      <c r="AX563" t="s">
        <v>74</v>
      </c>
      <c r="AY563" t="s">
        <v>74</v>
      </c>
      <c r="AZ563" t="s">
        <v>74</v>
      </c>
      <c r="BA563" t="s">
        <v>74</v>
      </c>
      <c r="BB563" t="s">
        <v>74</v>
      </c>
      <c r="BC563" t="s">
        <v>74</v>
      </c>
      <c r="BD563">
        <v>14004</v>
      </c>
      <c r="BE563" t="s">
        <v>10775</v>
      </c>
      <c r="BF563" t="str">
        <f>HYPERLINK("http://dx.doi.org/10.1088/1748-9326/abc995","http://dx.doi.org/10.1088/1748-9326/abc995")</f>
        <v>http://dx.doi.org/10.1088/1748-9326/abc995</v>
      </c>
      <c r="BG563" t="s">
        <v>74</v>
      </c>
      <c r="BH563" t="s">
        <v>74</v>
      </c>
      <c r="BI563">
        <v>11</v>
      </c>
      <c r="BJ563" t="s">
        <v>132</v>
      </c>
      <c r="BK563" t="s">
        <v>103</v>
      </c>
      <c r="BL563" t="s">
        <v>133</v>
      </c>
      <c r="BM563" t="s">
        <v>10776</v>
      </c>
      <c r="BN563" t="s">
        <v>74</v>
      </c>
      <c r="BO563" t="s">
        <v>326</v>
      </c>
      <c r="BP563" t="s">
        <v>74</v>
      </c>
      <c r="BQ563" t="s">
        <v>74</v>
      </c>
      <c r="BR563" t="s">
        <v>106</v>
      </c>
      <c r="BS563" t="s">
        <v>10777</v>
      </c>
      <c r="BT563" t="str">
        <f>HYPERLINK("https%3A%2F%2Fwww.webofscience.com%2Fwos%2Fwoscc%2Ffull-record%2FWOS:000600092200001","View Full Record in Web of Science")</f>
        <v>View Full Record in Web of Science</v>
      </c>
    </row>
    <row r="564" spans="1:72" x14ac:dyDescent="0.15">
      <c r="A564" t="s">
        <v>72</v>
      </c>
      <c r="B564" t="s">
        <v>10778</v>
      </c>
      <c r="C564" t="s">
        <v>74</v>
      </c>
      <c r="D564" t="s">
        <v>74</v>
      </c>
      <c r="E564" t="s">
        <v>74</v>
      </c>
      <c r="F564" t="s">
        <v>10779</v>
      </c>
      <c r="G564" t="s">
        <v>74</v>
      </c>
      <c r="H564" t="s">
        <v>74</v>
      </c>
      <c r="I564" t="s">
        <v>10780</v>
      </c>
      <c r="J564" t="s">
        <v>4713</v>
      </c>
      <c r="K564" t="s">
        <v>74</v>
      </c>
      <c r="L564" t="s">
        <v>74</v>
      </c>
      <c r="M564" t="s">
        <v>78</v>
      </c>
      <c r="N564" t="s">
        <v>79</v>
      </c>
      <c r="O564" t="s">
        <v>74</v>
      </c>
      <c r="P564" t="s">
        <v>74</v>
      </c>
      <c r="Q564" t="s">
        <v>74</v>
      </c>
      <c r="R564" t="s">
        <v>74</v>
      </c>
      <c r="S564" t="s">
        <v>74</v>
      </c>
      <c r="T564" t="s">
        <v>10781</v>
      </c>
      <c r="U564" t="s">
        <v>74</v>
      </c>
      <c r="V564" t="s">
        <v>10782</v>
      </c>
      <c r="W564" t="s">
        <v>10783</v>
      </c>
      <c r="X564" t="s">
        <v>10784</v>
      </c>
      <c r="Y564" t="s">
        <v>10785</v>
      </c>
      <c r="Z564" t="s">
        <v>10786</v>
      </c>
      <c r="AA564" t="s">
        <v>10787</v>
      </c>
      <c r="AB564" t="s">
        <v>10788</v>
      </c>
      <c r="AC564" t="s">
        <v>74</v>
      </c>
      <c r="AD564" t="s">
        <v>74</v>
      </c>
      <c r="AE564" t="s">
        <v>74</v>
      </c>
      <c r="AF564" t="s">
        <v>74</v>
      </c>
      <c r="AG564">
        <v>51</v>
      </c>
      <c r="AH564">
        <v>0</v>
      </c>
      <c r="AI564">
        <v>0</v>
      </c>
      <c r="AJ564">
        <v>2</v>
      </c>
      <c r="AK564">
        <v>3</v>
      </c>
      <c r="AL564" t="s">
        <v>4723</v>
      </c>
      <c r="AM564" t="s">
        <v>4724</v>
      </c>
      <c r="AN564" t="s">
        <v>4725</v>
      </c>
      <c r="AO564" t="s">
        <v>4726</v>
      </c>
      <c r="AP564" t="s">
        <v>4727</v>
      </c>
      <c r="AQ564" t="s">
        <v>74</v>
      </c>
      <c r="AR564" t="s">
        <v>4728</v>
      </c>
      <c r="AS564" t="s">
        <v>4729</v>
      </c>
      <c r="AT564" t="s">
        <v>74</v>
      </c>
      <c r="AU564">
        <v>2021</v>
      </c>
      <c r="AV564">
        <v>44</v>
      </c>
      <c r="AW564">
        <v>2</v>
      </c>
      <c r="AX564" t="s">
        <v>74</v>
      </c>
      <c r="AY564" t="s">
        <v>74</v>
      </c>
      <c r="AZ564" t="s">
        <v>74</v>
      </c>
      <c r="BA564" t="s">
        <v>74</v>
      </c>
      <c r="BB564">
        <v>123</v>
      </c>
      <c r="BC564">
        <v>137</v>
      </c>
      <c r="BD564" t="s">
        <v>74</v>
      </c>
      <c r="BE564" t="s">
        <v>10789</v>
      </c>
      <c r="BF564" t="str">
        <f>HYPERLINK("http://dx.doi.org/10.4461/GFDQ.2021.44.10","http://dx.doi.org/10.4461/GFDQ.2021.44.10")</f>
        <v>http://dx.doi.org/10.4461/GFDQ.2021.44.10</v>
      </c>
      <c r="BG564" t="s">
        <v>74</v>
      </c>
      <c r="BH564" t="s">
        <v>74</v>
      </c>
      <c r="BI564">
        <v>17</v>
      </c>
      <c r="BJ564" t="s">
        <v>4731</v>
      </c>
      <c r="BK564" t="s">
        <v>103</v>
      </c>
      <c r="BL564" t="s">
        <v>4732</v>
      </c>
      <c r="BM564" t="s">
        <v>10790</v>
      </c>
      <c r="BN564" t="s">
        <v>74</v>
      </c>
      <c r="BO564" t="s">
        <v>74</v>
      </c>
      <c r="BP564" t="s">
        <v>74</v>
      </c>
      <c r="BQ564" t="s">
        <v>74</v>
      </c>
      <c r="BR564" t="s">
        <v>106</v>
      </c>
      <c r="BS564" t="s">
        <v>10791</v>
      </c>
      <c r="BT564" t="str">
        <f>HYPERLINK("https%3A%2F%2Fwww.webofscience.com%2Fwos%2Fwoscc%2Ffull-record%2FWOS:000927780100002","View Full Record in Web of Science")</f>
        <v>View Full Record in Web of Science</v>
      </c>
    </row>
    <row r="565" spans="1:72" x14ac:dyDescent="0.15">
      <c r="A565" t="s">
        <v>72</v>
      </c>
      <c r="B565" t="s">
        <v>10792</v>
      </c>
      <c r="C565" t="s">
        <v>74</v>
      </c>
      <c r="D565" t="s">
        <v>74</v>
      </c>
      <c r="E565" t="s">
        <v>74</v>
      </c>
      <c r="F565" t="s">
        <v>10793</v>
      </c>
      <c r="G565" t="s">
        <v>74</v>
      </c>
      <c r="H565" t="s">
        <v>74</v>
      </c>
      <c r="I565" t="s">
        <v>10794</v>
      </c>
      <c r="J565" t="s">
        <v>814</v>
      </c>
      <c r="K565" t="s">
        <v>74</v>
      </c>
      <c r="L565" t="s">
        <v>74</v>
      </c>
      <c r="M565" t="s">
        <v>78</v>
      </c>
      <c r="N565" t="s">
        <v>79</v>
      </c>
      <c r="O565" t="s">
        <v>74</v>
      </c>
      <c r="P565" t="s">
        <v>74</v>
      </c>
      <c r="Q565" t="s">
        <v>74</v>
      </c>
      <c r="R565" t="s">
        <v>74</v>
      </c>
      <c r="S565" t="s">
        <v>74</v>
      </c>
      <c r="T565" t="s">
        <v>10795</v>
      </c>
      <c r="U565" t="s">
        <v>816</v>
      </c>
      <c r="V565" t="s">
        <v>10796</v>
      </c>
      <c r="W565" t="s">
        <v>10797</v>
      </c>
      <c r="X565" t="s">
        <v>10798</v>
      </c>
      <c r="Y565" t="s">
        <v>10799</v>
      </c>
      <c r="Z565" t="s">
        <v>10800</v>
      </c>
      <c r="AA565" t="s">
        <v>10801</v>
      </c>
      <c r="AB565" t="s">
        <v>10802</v>
      </c>
      <c r="AC565" t="s">
        <v>10803</v>
      </c>
      <c r="AD565" t="s">
        <v>10804</v>
      </c>
      <c r="AE565" t="s">
        <v>10805</v>
      </c>
      <c r="AF565" t="s">
        <v>74</v>
      </c>
      <c r="AG565">
        <v>63</v>
      </c>
      <c r="AH565">
        <v>3</v>
      </c>
      <c r="AI565">
        <v>3</v>
      </c>
      <c r="AJ565">
        <v>1</v>
      </c>
      <c r="AK565">
        <v>6</v>
      </c>
      <c r="AL565" t="s">
        <v>802</v>
      </c>
      <c r="AM565" t="s">
        <v>178</v>
      </c>
      <c r="AN565" t="s">
        <v>803</v>
      </c>
      <c r="AO565" t="s">
        <v>827</v>
      </c>
      <c r="AP565" t="s">
        <v>828</v>
      </c>
      <c r="AQ565" t="s">
        <v>74</v>
      </c>
      <c r="AR565" t="s">
        <v>829</v>
      </c>
      <c r="AS565" t="s">
        <v>830</v>
      </c>
      <c r="AT565" t="s">
        <v>3279</v>
      </c>
      <c r="AU565">
        <v>2021</v>
      </c>
      <c r="AV565">
        <v>78</v>
      </c>
      <c r="AW565">
        <v>1</v>
      </c>
      <c r="AX565" t="s">
        <v>74</v>
      </c>
      <c r="AY565" t="s">
        <v>74</v>
      </c>
      <c r="AZ565" t="s">
        <v>74</v>
      </c>
      <c r="BA565" t="s">
        <v>74</v>
      </c>
      <c r="BB565">
        <v>14</v>
      </c>
      <c r="BC565">
        <v>24</v>
      </c>
      <c r="BD565" t="s">
        <v>74</v>
      </c>
      <c r="BE565" t="s">
        <v>10806</v>
      </c>
      <c r="BF565" t="str">
        <f>HYPERLINK("http://dx.doi.org/10.1093/icesjms/fsaa205","http://dx.doi.org/10.1093/icesjms/fsaa205")</f>
        <v>http://dx.doi.org/10.1093/icesjms/fsaa205</v>
      </c>
      <c r="BG565" t="s">
        <v>74</v>
      </c>
      <c r="BH565" t="s">
        <v>74</v>
      </c>
      <c r="BI565">
        <v>11</v>
      </c>
      <c r="BJ565" t="s">
        <v>833</v>
      </c>
      <c r="BK565" t="s">
        <v>103</v>
      </c>
      <c r="BL565" t="s">
        <v>833</v>
      </c>
      <c r="BM565" t="s">
        <v>10807</v>
      </c>
      <c r="BN565" t="s">
        <v>74</v>
      </c>
      <c r="BO565" t="s">
        <v>7176</v>
      </c>
      <c r="BP565" t="s">
        <v>74</v>
      </c>
      <c r="BQ565" t="s">
        <v>74</v>
      </c>
      <c r="BR565" t="s">
        <v>106</v>
      </c>
      <c r="BS565" t="s">
        <v>10808</v>
      </c>
      <c r="BT565" t="str">
        <f>HYPERLINK("https%3A%2F%2Fwww.webofscience.com%2Fwos%2Fwoscc%2Ffull-record%2FWOS:000648942600002","View Full Record in Web of Science")</f>
        <v>View Full Record in Web of Science</v>
      </c>
    </row>
    <row r="566" spans="1:72" x14ac:dyDescent="0.15">
      <c r="A566" t="s">
        <v>72</v>
      </c>
      <c r="B566" t="s">
        <v>10809</v>
      </c>
      <c r="C566" t="s">
        <v>74</v>
      </c>
      <c r="D566" t="s">
        <v>74</v>
      </c>
      <c r="E566" t="s">
        <v>74</v>
      </c>
      <c r="F566" t="s">
        <v>10810</v>
      </c>
      <c r="G566" t="s">
        <v>74</v>
      </c>
      <c r="H566" t="s">
        <v>74</v>
      </c>
      <c r="I566" t="s">
        <v>10811</v>
      </c>
      <c r="J566" t="s">
        <v>6413</v>
      </c>
      <c r="K566" t="s">
        <v>74</v>
      </c>
      <c r="L566" t="s">
        <v>74</v>
      </c>
      <c r="M566" t="s">
        <v>78</v>
      </c>
      <c r="N566" t="s">
        <v>79</v>
      </c>
      <c r="O566" t="s">
        <v>74</v>
      </c>
      <c r="P566" t="s">
        <v>74</v>
      </c>
      <c r="Q566" t="s">
        <v>74</v>
      </c>
      <c r="R566" t="s">
        <v>74</v>
      </c>
      <c r="S566" t="s">
        <v>74</v>
      </c>
      <c r="T566" t="s">
        <v>10812</v>
      </c>
      <c r="U566" t="s">
        <v>10813</v>
      </c>
      <c r="V566" t="s">
        <v>10814</v>
      </c>
      <c r="W566" t="s">
        <v>10815</v>
      </c>
      <c r="X566" t="s">
        <v>10816</v>
      </c>
      <c r="Y566" t="s">
        <v>10817</v>
      </c>
      <c r="Z566" t="s">
        <v>10818</v>
      </c>
      <c r="AA566" t="s">
        <v>10819</v>
      </c>
      <c r="AB566" t="s">
        <v>10820</v>
      </c>
      <c r="AC566" t="s">
        <v>10821</v>
      </c>
      <c r="AD566" t="s">
        <v>10822</v>
      </c>
      <c r="AE566" t="s">
        <v>10823</v>
      </c>
      <c r="AF566" t="s">
        <v>74</v>
      </c>
      <c r="AG566">
        <v>37</v>
      </c>
      <c r="AH566">
        <v>2</v>
      </c>
      <c r="AI566">
        <v>2</v>
      </c>
      <c r="AJ566">
        <v>2</v>
      </c>
      <c r="AK566">
        <v>12</v>
      </c>
      <c r="AL566" t="s">
        <v>6426</v>
      </c>
      <c r="AM566" t="s">
        <v>236</v>
      </c>
      <c r="AN566" t="s">
        <v>6427</v>
      </c>
      <c r="AO566" t="s">
        <v>6428</v>
      </c>
      <c r="AP566" t="s">
        <v>6429</v>
      </c>
      <c r="AQ566" t="s">
        <v>74</v>
      </c>
      <c r="AR566" t="s">
        <v>6430</v>
      </c>
      <c r="AS566" t="s">
        <v>6431</v>
      </c>
      <c r="AT566" t="s">
        <v>74</v>
      </c>
      <c r="AU566">
        <v>2021</v>
      </c>
      <c r="AV566">
        <v>71</v>
      </c>
      <c r="AW566">
        <v>3</v>
      </c>
      <c r="AX566" t="s">
        <v>74</v>
      </c>
      <c r="AY566" t="s">
        <v>74</v>
      </c>
      <c r="AZ566" t="s">
        <v>74</v>
      </c>
      <c r="BA566" t="s">
        <v>74</v>
      </c>
      <c r="BB566" t="s">
        <v>74</v>
      </c>
      <c r="BC566" t="s">
        <v>74</v>
      </c>
      <c r="BD566">
        <v>4740</v>
      </c>
      <c r="BE566" t="s">
        <v>10824</v>
      </c>
      <c r="BF566" t="str">
        <f>HYPERLINK("http://dx.doi.org/10.1099/ijsem.0.004740","http://dx.doi.org/10.1099/ijsem.0.004740")</f>
        <v>http://dx.doi.org/10.1099/ijsem.0.004740</v>
      </c>
      <c r="BG566" t="s">
        <v>74</v>
      </c>
      <c r="BH566" t="s">
        <v>74</v>
      </c>
      <c r="BI566">
        <v>8</v>
      </c>
      <c r="BJ566" t="s">
        <v>3581</v>
      </c>
      <c r="BK566" t="s">
        <v>103</v>
      </c>
      <c r="BL566" t="s">
        <v>3581</v>
      </c>
      <c r="BM566" t="s">
        <v>7663</v>
      </c>
      <c r="BN566">
        <v>33724915</v>
      </c>
      <c r="BO566" t="s">
        <v>3283</v>
      </c>
      <c r="BP566" t="s">
        <v>74</v>
      </c>
      <c r="BQ566" t="s">
        <v>74</v>
      </c>
      <c r="BR566" t="s">
        <v>106</v>
      </c>
      <c r="BS566" t="s">
        <v>10825</v>
      </c>
      <c r="BT566" t="str">
        <f>HYPERLINK("https%3A%2F%2Fwww.webofscience.com%2Fwos%2Fwoscc%2Ffull-record%2FWOS:000639142700027","View Full Record in Web of Science")</f>
        <v>View Full Record in Web of Science</v>
      </c>
    </row>
    <row r="567" spans="1:72" x14ac:dyDescent="0.15">
      <c r="A567" t="s">
        <v>72</v>
      </c>
      <c r="B567" t="s">
        <v>10826</v>
      </c>
      <c r="C567" t="s">
        <v>74</v>
      </c>
      <c r="D567" t="s">
        <v>74</v>
      </c>
      <c r="E567" t="s">
        <v>74</v>
      </c>
      <c r="F567" t="s">
        <v>10827</v>
      </c>
      <c r="G567" t="s">
        <v>74</v>
      </c>
      <c r="H567" t="s">
        <v>74</v>
      </c>
      <c r="I567" t="s">
        <v>10828</v>
      </c>
      <c r="J567" t="s">
        <v>6413</v>
      </c>
      <c r="K567" t="s">
        <v>74</v>
      </c>
      <c r="L567" t="s">
        <v>74</v>
      </c>
      <c r="M567" t="s">
        <v>78</v>
      </c>
      <c r="N567" t="s">
        <v>79</v>
      </c>
      <c r="O567" t="s">
        <v>74</v>
      </c>
      <c r="P567" t="s">
        <v>74</v>
      </c>
      <c r="Q567" t="s">
        <v>74</v>
      </c>
      <c r="R567" t="s">
        <v>74</v>
      </c>
      <c r="S567" t="s">
        <v>74</v>
      </c>
      <c r="T567" t="s">
        <v>10829</v>
      </c>
      <c r="U567" t="s">
        <v>10830</v>
      </c>
      <c r="V567" t="s">
        <v>10831</v>
      </c>
      <c r="W567" t="s">
        <v>10832</v>
      </c>
      <c r="X567" t="s">
        <v>10833</v>
      </c>
      <c r="Y567" t="s">
        <v>10834</v>
      </c>
      <c r="Z567" t="s">
        <v>10835</v>
      </c>
      <c r="AA567" t="s">
        <v>10836</v>
      </c>
      <c r="AB567" t="s">
        <v>10837</v>
      </c>
      <c r="AC567" t="s">
        <v>10838</v>
      </c>
      <c r="AD567" t="s">
        <v>10838</v>
      </c>
      <c r="AE567" t="s">
        <v>10839</v>
      </c>
      <c r="AF567" t="s">
        <v>74</v>
      </c>
      <c r="AG567">
        <v>34</v>
      </c>
      <c r="AH567">
        <v>6</v>
      </c>
      <c r="AI567">
        <v>6</v>
      </c>
      <c r="AJ567">
        <v>1</v>
      </c>
      <c r="AK567">
        <v>18</v>
      </c>
      <c r="AL567" t="s">
        <v>6426</v>
      </c>
      <c r="AM567" t="s">
        <v>236</v>
      </c>
      <c r="AN567" t="s">
        <v>6427</v>
      </c>
      <c r="AO567" t="s">
        <v>6428</v>
      </c>
      <c r="AP567" t="s">
        <v>6429</v>
      </c>
      <c r="AQ567" t="s">
        <v>74</v>
      </c>
      <c r="AR567" t="s">
        <v>6430</v>
      </c>
      <c r="AS567" t="s">
        <v>6431</v>
      </c>
      <c r="AT567" t="s">
        <v>74</v>
      </c>
      <c r="AU567">
        <v>2021</v>
      </c>
      <c r="AV567">
        <v>71</v>
      </c>
      <c r="AW567">
        <v>3</v>
      </c>
      <c r="AX567" t="s">
        <v>74</v>
      </c>
      <c r="AY567" t="s">
        <v>74</v>
      </c>
      <c r="AZ567" t="s">
        <v>74</v>
      </c>
      <c r="BA567" t="s">
        <v>74</v>
      </c>
      <c r="BB567" t="s">
        <v>74</v>
      </c>
      <c r="BC567" t="s">
        <v>74</v>
      </c>
      <c r="BD567">
        <v>4689</v>
      </c>
      <c r="BE567" t="s">
        <v>10840</v>
      </c>
      <c r="BF567" t="str">
        <f>HYPERLINK("http://dx.doi.org/10.1099/ijsem.0.004689","http://dx.doi.org/10.1099/ijsem.0.004689")</f>
        <v>http://dx.doi.org/10.1099/ijsem.0.004689</v>
      </c>
      <c r="BG567" t="s">
        <v>74</v>
      </c>
      <c r="BH567" t="s">
        <v>74</v>
      </c>
      <c r="BI567">
        <v>7</v>
      </c>
      <c r="BJ567" t="s">
        <v>3581</v>
      </c>
      <c r="BK567" t="s">
        <v>103</v>
      </c>
      <c r="BL567" t="s">
        <v>3581</v>
      </c>
      <c r="BM567" t="s">
        <v>7663</v>
      </c>
      <c r="BN567">
        <v>33555249</v>
      </c>
      <c r="BO567" t="s">
        <v>74</v>
      </c>
      <c r="BP567" t="s">
        <v>74</v>
      </c>
      <c r="BQ567" t="s">
        <v>74</v>
      </c>
      <c r="BR567" t="s">
        <v>106</v>
      </c>
      <c r="BS567" t="s">
        <v>10841</v>
      </c>
      <c r="BT567" t="str">
        <f>HYPERLINK("https%3A%2F%2Fwww.webofscience.com%2Fwos%2Fwoscc%2Ffull-record%2FWOS:000639142700025","View Full Record in Web of Science")</f>
        <v>View Full Record in Web of Science</v>
      </c>
    </row>
    <row r="568" spans="1:72" x14ac:dyDescent="0.15">
      <c r="A568" t="s">
        <v>72</v>
      </c>
      <c r="B568" t="s">
        <v>10842</v>
      </c>
      <c r="C568" t="s">
        <v>74</v>
      </c>
      <c r="D568" t="s">
        <v>74</v>
      </c>
      <c r="E568" t="s">
        <v>74</v>
      </c>
      <c r="F568" t="s">
        <v>10843</v>
      </c>
      <c r="G568" t="s">
        <v>74</v>
      </c>
      <c r="H568" t="s">
        <v>74</v>
      </c>
      <c r="I568" t="s">
        <v>10844</v>
      </c>
      <c r="J568" t="s">
        <v>10845</v>
      </c>
      <c r="K568" t="s">
        <v>74</v>
      </c>
      <c r="L568" t="s">
        <v>74</v>
      </c>
      <c r="M568" t="s">
        <v>78</v>
      </c>
      <c r="N568" t="s">
        <v>79</v>
      </c>
      <c r="O568" t="s">
        <v>74</v>
      </c>
      <c r="P568" t="s">
        <v>74</v>
      </c>
      <c r="Q568" t="s">
        <v>74</v>
      </c>
      <c r="R568" t="s">
        <v>74</v>
      </c>
      <c r="S568" t="s">
        <v>74</v>
      </c>
      <c r="T568" t="s">
        <v>74</v>
      </c>
      <c r="U568" t="s">
        <v>74</v>
      </c>
      <c r="V568" t="s">
        <v>10846</v>
      </c>
      <c r="W568" t="s">
        <v>10847</v>
      </c>
      <c r="X568" t="s">
        <v>10848</v>
      </c>
      <c r="Y568" t="s">
        <v>10849</v>
      </c>
      <c r="Z568" t="s">
        <v>74</v>
      </c>
      <c r="AA568" t="s">
        <v>74</v>
      </c>
      <c r="AB568" t="s">
        <v>74</v>
      </c>
      <c r="AC568" t="s">
        <v>74</v>
      </c>
      <c r="AD568" t="s">
        <v>74</v>
      </c>
      <c r="AE568" t="s">
        <v>74</v>
      </c>
      <c r="AF568" t="s">
        <v>74</v>
      </c>
      <c r="AG568">
        <v>25</v>
      </c>
      <c r="AH568">
        <v>0</v>
      </c>
      <c r="AI568">
        <v>0</v>
      </c>
      <c r="AJ568">
        <v>0</v>
      </c>
      <c r="AK568">
        <v>0</v>
      </c>
      <c r="AL568" t="s">
        <v>10850</v>
      </c>
      <c r="AM568" t="s">
        <v>10851</v>
      </c>
      <c r="AN568" t="s">
        <v>10852</v>
      </c>
      <c r="AO568" t="s">
        <v>10853</v>
      </c>
      <c r="AP568" t="s">
        <v>10854</v>
      </c>
      <c r="AQ568" t="s">
        <v>74</v>
      </c>
      <c r="AR568" t="s">
        <v>10855</v>
      </c>
      <c r="AS568" t="s">
        <v>10856</v>
      </c>
      <c r="AT568" t="s">
        <v>74</v>
      </c>
      <c r="AU568">
        <v>2021</v>
      </c>
      <c r="AV568">
        <v>21</v>
      </c>
      <c r="AW568">
        <v>3</v>
      </c>
      <c r="AX568" t="s">
        <v>74</v>
      </c>
      <c r="AY568" t="s">
        <v>74</v>
      </c>
      <c r="AZ568" t="s">
        <v>582</v>
      </c>
      <c r="BA568" t="s">
        <v>74</v>
      </c>
      <c r="BB568" t="s">
        <v>74</v>
      </c>
      <c r="BC568" t="s">
        <v>74</v>
      </c>
      <c r="BD568" t="s">
        <v>74</v>
      </c>
      <c r="BE568" t="s">
        <v>74</v>
      </c>
      <c r="BF568" t="s">
        <v>74</v>
      </c>
      <c r="BG568" t="s">
        <v>74</v>
      </c>
      <c r="BH568" t="s">
        <v>74</v>
      </c>
      <c r="BI568">
        <v>17</v>
      </c>
      <c r="BJ568" t="s">
        <v>10857</v>
      </c>
      <c r="BK568" t="s">
        <v>3050</v>
      </c>
      <c r="BL568" t="s">
        <v>10858</v>
      </c>
      <c r="BM568" t="s">
        <v>10859</v>
      </c>
      <c r="BN568" t="s">
        <v>74</v>
      </c>
      <c r="BO568" t="s">
        <v>74</v>
      </c>
      <c r="BP568" t="s">
        <v>74</v>
      </c>
      <c r="BQ568" t="s">
        <v>74</v>
      </c>
      <c r="BR568" t="s">
        <v>106</v>
      </c>
      <c r="BS568" t="s">
        <v>10860</v>
      </c>
      <c r="BT568" t="str">
        <f>HYPERLINK("https%3A%2F%2Fwww.webofscience.com%2Fwos%2Fwoscc%2Ffull-record%2FWOS:000730368400013","View Full Record in Web of Science")</f>
        <v>View Full Record in Web of Science</v>
      </c>
    </row>
    <row r="569" spans="1:72" x14ac:dyDescent="0.15">
      <c r="A569" t="s">
        <v>72</v>
      </c>
      <c r="B569" t="s">
        <v>10861</v>
      </c>
      <c r="C569" t="s">
        <v>74</v>
      </c>
      <c r="D569" t="s">
        <v>74</v>
      </c>
      <c r="E569" t="s">
        <v>74</v>
      </c>
      <c r="F569" t="s">
        <v>10862</v>
      </c>
      <c r="G569" t="s">
        <v>74</v>
      </c>
      <c r="H569" t="s">
        <v>74</v>
      </c>
      <c r="I569" t="s">
        <v>10863</v>
      </c>
      <c r="J569" t="s">
        <v>10845</v>
      </c>
      <c r="K569" t="s">
        <v>74</v>
      </c>
      <c r="L569" t="s">
        <v>74</v>
      </c>
      <c r="M569" t="s">
        <v>78</v>
      </c>
      <c r="N569" t="s">
        <v>79</v>
      </c>
      <c r="O569" t="s">
        <v>74</v>
      </c>
      <c r="P569" t="s">
        <v>74</v>
      </c>
      <c r="Q569" t="s">
        <v>74</v>
      </c>
      <c r="R569" t="s">
        <v>74</v>
      </c>
      <c r="S569" t="s">
        <v>74</v>
      </c>
      <c r="T569" t="s">
        <v>74</v>
      </c>
      <c r="U569" t="s">
        <v>74</v>
      </c>
      <c r="V569" t="s">
        <v>10864</v>
      </c>
      <c r="W569" t="s">
        <v>10865</v>
      </c>
      <c r="X569" t="s">
        <v>10866</v>
      </c>
      <c r="Y569" t="s">
        <v>10867</v>
      </c>
      <c r="Z569" t="s">
        <v>74</v>
      </c>
      <c r="AA569" t="s">
        <v>74</v>
      </c>
      <c r="AB569" t="s">
        <v>74</v>
      </c>
      <c r="AC569" t="s">
        <v>74</v>
      </c>
      <c r="AD569" t="s">
        <v>74</v>
      </c>
      <c r="AE569" t="s">
        <v>74</v>
      </c>
      <c r="AF569" t="s">
        <v>74</v>
      </c>
      <c r="AG569">
        <v>33</v>
      </c>
      <c r="AH569">
        <v>1</v>
      </c>
      <c r="AI569">
        <v>1</v>
      </c>
      <c r="AJ569">
        <v>0</v>
      </c>
      <c r="AK569">
        <v>0</v>
      </c>
      <c r="AL569" t="s">
        <v>10850</v>
      </c>
      <c r="AM569" t="s">
        <v>10851</v>
      </c>
      <c r="AN569" t="s">
        <v>10852</v>
      </c>
      <c r="AO569" t="s">
        <v>10853</v>
      </c>
      <c r="AP569" t="s">
        <v>10854</v>
      </c>
      <c r="AQ569" t="s">
        <v>74</v>
      </c>
      <c r="AR569" t="s">
        <v>10855</v>
      </c>
      <c r="AS569" t="s">
        <v>10856</v>
      </c>
      <c r="AT569" t="s">
        <v>74</v>
      </c>
      <c r="AU569">
        <v>2021</v>
      </c>
      <c r="AV569">
        <v>21</v>
      </c>
      <c r="AW569">
        <v>3</v>
      </c>
      <c r="AX569" t="s">
        <v>74</v>
      </c>
      <c r="AY569" t="s">
        <v>74</v>
      </c>
      <c r="AZ569" t="s">
        <v>582</v>
      </c>
      <c r="BA569" t="s">
        <v>74</v>
      </c>
      <c r="BB569" t="s">
        <v>74</v>
      </c>
      <c r="BC569" t="s">
        <v>74</v>
      </c>
      <c r="BD569" t="s">
        <v>74</v>
      </c>
      <c r="BE569" t="s">
        <v>74</v>
      </c>
      <c r="BF569" t="s">
        <v>74</v>
      </c>
      <c r="BG569" t="s">
        <v>74</v>
      </c>
      <c r="BH569" t="s">
        <v>74</v>
      </c>
      <c r="BI569">
        <v>24</v>
      </c>
      <c r="BJ569" t="s">
        <v>10857</v>
      </c>
      <c r="BK569" t="s">
        <v>3050</v>
      </c>
      <c r="BL569" t="s">
        <v>10858</v>
      </c>
      <c r="BM569" t="s">
        <v>10859</v>
      </c>
      <c r="BN569" t="s">
        <v>74</v>
      </c>
      <c r="BO569" t="s">
        <v>74</v>
      </c>
      <c r="BP569" t="s">
        <v>74</v>
      </c>
      <c r="BQ569" t="s">
        <v>74</v>
      </c>
      <c r="BR569" t="s">
        <v>106</v>
      </c>
      <c r="BS569" t="s">
        <v>10868</v>
      </c>
      <c r="BT569" t="str">
        <f>HYPERLINK("https%3A%2F%2Fwww.webofscience.com%2Fwos%2Fwoscc%2Ffull-record%2FWOS:000730368400006","View Full Record in Web of Science")</f>
        <v>View Full Record in Web of Science</v>
      </c>
    </row>
    <row r="570" spans="1:72" x14ac:dyDescent="0.15">
      <c r="A570" t="s">
        <v>72</v>
      </c>
      <c r="B570" t="s">
        <v>10869</v>
      </c>
      <c r="C570" t="s">
        <v>74</v>
      </c>
      <c r="D570" t="s">
        <v>74</v>
      </c>
      <c r="E570" t="s">
        <v>74</v>
      </c>
      <c r="F570" t="s">
        <v>10870</v>
      </c>
      <c r="G570" t="s">
        <v>74</v>
      </c>
      <c r="H570" t="s">
        <v>74</v>
      </c>
      <c r="I570" t="s">
        <v>10871</v>
      </c>
      <c r="J570" t="s">
        <v>10845</v>
      </c>
      <c r="K570" t="s">
        <v>74</v>
      </c>
      <c r="L570" t="s">
        <v>74</v>
      </c>
      <c r="M570" t="s">
        <v>78</v>
      </c>
      <c r="N570" t="s">
        <v>79</v>
      </c>
      <c r="O570" t="s">
        <v>74</v>
      </c>
      <c r="P570" t="s">
        <v>74</v>
      </c>
      <c r="Q570" t="s">
        <v>74</v>
      </c>
      <c r="R570" t="s">
        <v>74</v>
      </c>
      <c r="S570" t="s">
        <v>74</v>
      </c>
      <c r="T570" t="s">
        <v>74</v>
      </c>
      <c r="U570" t="s">
        <v>74</v>
      </c>
      <c r="V570" t="s">
        <v>10872</v>
      </c>
      <c r="W570" t="s">
        <v>74</v>
      </c>
      <c r="X570" t="s">
        <v>74</v>
      </c>
      <c r="Y570" t="s">
        <v>74</v>
      </c>
      <c r="Z570" t="s">
        <v>74</v>
      </c>
      <c r="AA570" t="s">
        <v>74</v>
      </c>
      <c r="AB570" t="s">
        <v>74</v>
      </c>
      <c r="AC570" t="s">
        <v>74</v>
      </c>
      <c r="AD570" t="s">
        <v>74</v>
      </c>
      <c r="AE570" t="s">
        <v>74</v>
      </c>
      <c r="AF570" t="s">
        <v>74</v>
      </c>
      <c r="AG570">
        <v>27</v>
      </c>
      <c r="AH570">
        <v>0</v>
      </c>
      <c r="AI570">
        <v>0</v>
      </c>
      <c r="AJ570">
        <v>0</v>
      </c>
      <c r="AK570">
        <v>0</v>
      </c>
      <c r="AL570" t="s">
        <v>10850</v>
      </c>
      <c r="AM570" t="s">
        <v>10851</v>
      </c>
      <c r="AN570" t="s">
        <v>10852</v>
      </c>
      <c r="AO570" t="s">
        <v>10853</v>
      </c>
      <c r="AP570" t="s">
        <v>10854</v>
      </c>
      <c r="AQ570" t="s">
        <v>74</v>
      </c>
      <c r="AR570" t="s">
        <v>10855</v>
      </c>
      <c r="AS570" t="s">
        <v>10856</v>
      </c>
      <c r="AT570" t="s">
        <v>74</v>
      </c>
      <c r="AU570">
        <v>2021</v>
      </c>
      <c r="AV570">
        <v>21</v>
      </c>
      <c r="AW570">
        <v>3</v>
      </c>
      <c r="AX570" t="s">
        <v>74</v>
      </c>
      <c r="AY570" t="s">
        <v>74</v>
      </c>
      <c r="AZ570" t="s">
        <v>582</v>
      </c>
      <c r="BA570" t="s">
        <v>74</v>
      </c>
      <c r="BB570" t="s">
        <v>74</v>
      </c>
      <c r="BC570" t="s">
        <v>74</v>
      </c>
      <c r="BD570" t="s">
        <v>74</v>
      </c>
      <c r="BE570" t="s">
        <v>74</v>
      </c>
      <c r="BF570" t="s">
        <v>74</v>
      </c>
      <c r="BG570" t="s">
        <v>74</v>
      </c>
      <c r="BH570" t="s">
        <v>74</v>
      </c>
      <c r="BI570">
        <v>20</v>
      </c>
      <c r="BJ570" t="s">
        <v>10857</v>
      </c>
      <c r="BK570" t="s">
        <v>3050</v>
      </c>
      <c r="BL570" t="s">
        <v>10858</v>
      </c>
      <c r="BM570" t="s">
        <v>10859</v>
      </c>
      <c r="BN570" t="s">
        <v>74</v>
      </c>
      <c r="BO570" t="s">
        <v>74</v>
      </c>
      <c r="BP570" t="s">
        <v>74</v>
      </c>
      <c r="BQ570" t="s">
        <v>74</v>
      </c>
      <c r="BR570" t="s">
        <v>106</v>
      </c>
      <c r="BS570" t="s">
        <v>10873</v>
      </c>
      <c r="BT570" t="str">
        <f>HYPERLINK("https%3A%2F%2Fwww.webofscience.com%2Fwos%2Fwoscc%2Ffull-record%2FWOS:000730368400002","View Full Record in Web of Science")</f>
        <v>View Full Record in Web of Science</v>
      </c>
    </row>
    <row r="571" spans="1:72" x14ac:dyDescent="0.15">
      <c r="A571" t="s">
        <v>72</v>
      </c>
      <c r="B571" t="s">
        <v>10874</v>
      </c>
      <c r="C571" t="s">
        <v>74</v>
      </c>
      <c r="D571" t="s">
        <v>74</v>
      </c>
      <c r="E571" t="s">
        <v>74</v>
      </c>
      <c r="F571" t="s">
        <v>10875</v>
      </c>
      <c r="G571" t="s">
        <v>74</v>
      </c>
      <c r="H571" t="s">
        <v>74</v>
      </c>
      <c r="I571" t="s">
        <v>10876</v>
      </c>
      <c r="J571" t="s">
        <v>10845</v>
      </c>
      <c r="K571" t="s">
        <v>74</v>
      </c>
      <c r="L571" t="s">
        <v>74</v>
      </c>
      <c r="M571" t="s">
        <v>78</v>
      </c>
      <c r="N571" t="s">
        <v>79</v>
      </c>
      <c r="O571" t="s">
        <v>74</v>
      </c>
      <c r="P571" t="s">
        <v>74</v>
      </c>
      <c r="Q571" t="s">
        <v>74</v>
      </c>
      <c r="R571" t="s">
        <v>74</v>
      </c>
      <c r="S571" t="s">
        <v>74</v>
      </c>
      <c r="T571" t="s">
        <v>74</v>
      </c>
      <c r="U571" t="s">
        <v>10877</v>
      </c>
      <c r="V571" t="s">
        <v>10878</v>
      </c>
      <c r="W571" t="s">
        <v>74</v>
      </c>
      <c r="X571" t="s">
        <v>74</v>
      </c>
      <c r="Y571" t="s">
        <v>74</v>
      </c>
      <c r="Z571" t="s">
        <v>74</v>
      </c>
      <c r="AA571" t="s">
        <v>74</v>
      </c>
      <c r="AB571" t="s">
        <v>74</v>
      </c>
      <c r="AC571" t="s">
        <v>10879</v>
      </c>
      <c r="AD571" t="s">
        <v>10880</v>
      </c>
      <c r="AE571" t="s">
        <v>10881</v>
      </c>
      <c r="AF571" t="s">
        <v>74</v>
      </c>
      <c r="AG571">
        <v>63</v>
      </c>
      <c r="AH571">
        <v>0</v>
      </c>
      <c r="AI571">
        <v>0</v>
      </c>
      <c r="AJ571">
        <v>0</v>
      </c>
      <c r="AK571">
        <v>0</v>
      </c>
      <c r="AL571" t="s">
        <v>10850</v>
      </c>
      <c r="AM571" t="s">
        <v>10851</v>
      </c>
      <c r="AN571" t="s">
        <v>10852</v>
      </c>
      <c r="AO571" t="s">
        <v>10853</v>
      </c>
      <c r="AP571" t="s">
        <v>10854</v>
      </c>
      <c r="AQ571" t="s">
        <v>74</v>
      </c>
      <c r="AR571" t="s">
        <v>10855</v>
      </c>
      <c r="AS571" t="s">
        <v>10856</v>
      </c>
      <c r="AT571" t="s">
        <v>74</v>
      </c>
      <c r="AU571">
        <v>2021</v>
      </c>
      <c r="AV571">
        <v>21</v>
      </c>
      <c r="AW571">
        <v>3</v>
      </c>
      <c r="AX571" t="s">
        <v>74</v>
      </c>
      <c r="AY571" t="s">
        <v>74</v>
      </c>
      <c r="AZ571" t="s">
        <v>582</v>
      </c>
      <c r="BA571" t="s">
        <v>74</v>
      </c>
      <c r="BB571" t="s">
        <v>74</v>
      </c>
      <c r="BC571" t="s">
        <v>74</v>
      </c>
      <c r="BD571" t="s">
        <v>74</v>
      </c>
      <c r="BE571" t="s">
        <v>74</v>
      </c>
      <c r="BF571" t="s">
        <v>74</v>
      </c>
      <c r="BG571" t="s">
        <v>74</v>
      </c>
      <c r="BH571" t="s">
        <v>74</v>
      </c>
      <c r="BI571">
        <v>18</v>
      </c>
      <c r="BJ571" t="s">
        <v>10857</v>
      </c>
      <c r="BK571" t="s">
        <v>3050</v>
      </c>
      <c r="BL571" t="s">
        <v>10858</v>
      </c>
      <c r="BM571" t="s">
        <v>10859</v>
      </c>
      <c r="BN571" t="s">
        <v>74</v>
      </c>
      <c r="BO571" t="s">
        <v>74</v>
      </c>
      <c r="BP571" t="s">
        <v>74</v>
      </c>
      <c r="BQ571" t="s">
        <v>74</v>
      </c>
      <c r="BR571" t="s">
        <v>106</v>
      </c>
      <c r="BS571" t="s">
        <v>10882</v>
      </c>
      <c r="BT571" t="str">
        <f>HYPERLINK("https%3A%2F%2Fwww.webofscience.com%2Fwos%2Fwoscc%2Ffull-record%2FWOS:000730368400005","View Full Record in Web of Science")</f>
        <v>View Full Record in Web of Science</v>
      </c>
    </row>
    <row r="572" spans="1:72" x14ac:dyDescent="0.15">
      <c r="A572" t="s">
        <v>4669</v>
      </c>
      <c r="B572" t="s">
        <v>10883</v>
      </c>
      <c r="C572" t="s">
        <v>74</v>
      </c>
      <c r="D572" t="s">
        <v>74</v>
      </c>
      <c r="E572" t="s">
        <v>74</v>
      </c>
      <c r="F572" t="s">
        <v>10883</v>
      </c>
      <c r="G572" t="s">
        <v>74</v>
      </c>
      <c r="H572" t="s">
        <v>74</v>
      </c>
      <c r="I572" t="s">
        <v>10884</v>
      </c>
      <c r="J572" t="s">
        <v>10885</v>
      </c>
      <c r="K572" t="s">
        <v>74</v>
      </c>
      <c r="L572" t="s">
        <v>74</v>
      </c>
      <c r="M572" t="s">
        <v>78</v>
      </c>
      <c r="N572" t="s">
        <v>10886</v>
      </c>
      <c r="O572" t="s">
        <v>74</v>
      </c>
      <c r="P572" t="s">
        <v>74</v>
      </c>
      <c r="Q572" t="s">
        <v>74</v>
      </c>
      <c r="R572" t="s">
        <v>74</v>
      </c>
      <c r="S572" t="s">
        <v>74</v>
      </c>
      <c r="T572" t="s">
        <v>74</v>
      </c>
      <c r="U572" t="s">
        <v>10887</v>
      </c>
      <c r="V572" t="s">
        <v>74</v>
      </c>
      <c r="W572" t="s">
        <v>74</v>
      </c>
      <c r="X572" t="s">
        <v>74</v>
      </c>
      <c r="Y572" t="s">
        <v>74</v>
      </c>
      <c r="Z572" t="s">
        <v>74</v>
      </c>
      <c r="AA572" t="s">
        <v>74</v>
      </c>
      <c r="AB572" t="s">
        <v>74</v>
      </c>
      <c r="AC572" t="s">
        <v>74</v>
      </c>
      <c r="AD572" t="s">
        <v>74</v>
      </c>
      <c r="AE572" t="s">
        <v>74</v>
      </c>
      <c r="AF572" t="s">
        <v>74</v>
      </c>
      <c r="AG572">
        <v>629</v>
      </c>
      <c r="AH572">
        <v>3</v>
      </c>
      <c r="AI572">
        <v>3</v>
      </c>
      <c r="AJ572">
        <v>1</v>
      </c>
      <c r="AK572">
        <v>4</v>
      </c>
      <c r="AL572" t="s">
        <v>1210</v>
      </c>
      <c r="AM572" t="s">
        <v>264</v>
      </c>
      <c r="AN572" t="s">
        <v>5964</v>
      </c>
      <c r="AO572" t="s">
        <v>74</v>
      </c>
      <c r="AP572" t="s">
        <v>74</v>
      </c>
      <c r="AQ572" t="s">
        <v>10888</v>
      </c>
      <c r="AR572" t="s">
        <v>74</v>
      </c>
      <c r="AS572" t="s">
        <v>74</v>
      </c>
      <c r="AT572" t="s">
        <v>74</v>
      </c>
      <c r="AU572">
        <v>2021</v>
      </c>
      <c r="AV572" t="s">
        <v>74</v>
      </c>
      <c r="AW572" t="s">
        <v>74</v>
      </c>
      <c r="AX572" t="s">
        <v>74</v>
      </c>
      <c r="AY572" t="s">
        <v>74</v>
      </c>
      <c r="AZ572" t="s">
        <v>74</v>
      </c>
      <c r="BA572" t="s">
        <v>74</v>
      </c>
      <c r="BB572">
        <v>1</v>
      </c>
      <c r="BC572">
        <v>370</v>
      </c>
      <c r="BD572" t="s">
        <v>74</v>
      </c>
      <c r="BE572" t="s">
        <v>10889</v>
      </c>
      <c r="BF572" t="str">
        <f>HYPERLINK("http://dx.doi.org/10.1017/9781316795439","http://dx.doi.org/10.1017/9781316795439")</f>
        <v>http://dx.doi.org/10.1017/9781316795439</v>
      </c>
      <c r="BG572" t="s">
        <v>74</v>
      </c>
      <c r="BH572" t="s">
        <v>74</v>
      </c>
      <c r="BI572">
        <v>370</v>
      </c>
      <c r="BJ572" t="s">
        <v>10890</v>
      </c>
      <c r="BK572" t="s">
        <v>4615</v>
      </c>
      <c r="BL572" t="s">
        <v>10891</v>
      </c>
      <c r="BM572" t="s">
        <v>10892</v>
      </c>
      <c r="BN572" t="s">
        <v>74</v>
      </c>
      <c r="BO572" t="s">
        <v>74</v>
      </c>
      <c r="BP572" t="s">
        <v>74</v>
      </c>
      <c r="BQ572" t="s">
        <v>74</v>
      </c>
      <c r="BR572" t="s">
        <v>106</v>
      </c>
      <c r="BS572" t="s">
        <v>10893</v>
      </c>
      <c r="BT572" t="str">
        <f>HYPERLINK("https%3A%2F%2Fwww.webofscience.com%2Fwos%2Fwoscc%2Ffull-record%2FWOS:000985330400010","View Full Record in Web of Science")</f>
        <v>View Full Record in Web of Science</v>
      </c>
    </row>
    <row r="573" spans="1:72" x14ac:dyDescent="0.15">
      <c r="A573" t="s">
        <v>4589</v>
      </c>
      <c r="B573" t="s">
        <v>10894</v>
      </c>
      <c r="C573" t="s">
        <v>74</v>
      </c>
      <c r="D573" t="s">
        <v>10895</v>
      </c>
      <c r="E573" t="s">
        <v>74</v>
      </c>
      <c r="F573" t="s">
        <v>10896</v>
      </c>
      <c r="G573" t="s">
        <v>74</v>
      </c>
      <c r="H573" t="s">
        <v>74</v>
      </c>
      <c r="I573" t="s">
        <v>10897</v>
      </c>
      <c r="J573" t="s">
        <v>10898</v>
      </c>
      <c r="K573" t="s">
        <v>10899</v>
      </c>
      <c r="L573" t="s">
        <v>74</v>
      </c>
      <c r="M573" t="s">
        <v>78</v>
      </c>
      <c r="N573" t="s">
        <v>4596</v>
      </c>
      <c r="O573" t="s">
        <v>74</v>
      </c>
      <c r="P573" t="s">
        <v>74</v>
      </c>
      <c r="Q573" t="s">
        <v>74</v>
      </c>
      <c r="R573" t="s">
        <v>74</v>
      </c>
      <c r="S573" t="s">
        <v>74</v>
      </c>
      <c r="T573" t="s">
        <v>10900</v>
      </c>
      <c r="U573" t="s">
        <v>10901</v>
      </c>
      <c r="V573" t="s">
        <v>10902</v>
      </c>
      <c r="W573" t="s">
        <v>10903</v>
      </c>
      <c r="X573" t="s">
        <v>3372</v>
      </c>
      <c r="Y573" t="s">
        <v>10904</v>
      </c>
      <c r="Z573" t="s">
        <v>74</v>
      </c>
      <c r="AA573" t="s">
        <v>10905</v>
      </c>
      <c r="AB573" t="s">
        <v>10906</v>
      </c>
      <c r="AC573" t="s">
        <v>10907</v>
      </c>
      <c r="AD573" t="s">
        <v>10908</v>
      </c>
      <c r="AE573" t="s">
        <v>10909</v>
      </c>
      <c r="AF573" t="s">
        <v>74</v>
      </c>
      <c r="AG573">
        <v>419</v>
      </c>
      <c r="AH573">
        <v>13</v>
      </c>
      <c r="AI573">
        <v>14</v>
      </c>
      <c r="AJ573">
        <v>8</v>
      </c>
      <c r="AK573">
        <v>38</v>
      </c>
      <c r="AL573" t="s">
        <v>10910</v>
      </c>
      <c r="AM573" t="s">
        <v>10911</v>
      </c>
      <c r="AN573" t="s">
        <v>10912</v>
      </c>
      <c r="AO573" t="s">
        <v>10913</v>
      </c>
      <c r="AP573" t="s">
        <v>74</v>
      </c>
      <c r="AQ573" t="s">
        <v>10914</v>
      </c>
      <c r="AR573" t="s">
        <v>10915</v>
      </c>
      <c r="AS573" t="s">
        <v>10916</v>
      </c>
      <c r="AT573" t="s">
        <v>74</v>
      </c>
      <c r="AU573">
        <v>2021</v>
      </c>
      <c r="AV573">
        <v>59</v>
      </c>
      <c r="AW573" t="s">
        <v>74</v>
      </c>
      <c r="AX573" t="s">
        <v>74</v>
      </c>
      <c r="AY573" t="s">
        <v>74</v>
      </c>
      <c r="AZ573" t="s">
        <v>74</v>
      </c>
      <c r="BA573" t="s">
        <v>74</v>
      </c>
      <c r="BB573">
        <v>585</v>
      </c>
      <c r="BC573">
        <v>719</v>
      </c>
      <c r="BD573" t="s">
        <v>74</v>
      </c>
      <c r="BE573" t="s">
        <v>10917</v>
      </c>
      <c r="BF573" t="str">
        <f>HYPERLINK("http://dx.doi.org/10.1201/9781003138846-9","http://dx.doi.org/10.1201/9781003138846-9")</f>
        <v>http://dx.doi.org/10.1201/9781003138846-9</v>
      </c>
      <c r="BG573" t="s">
        <v>10918</v>
      </c>
      <c r="BH573" t="s">
        <v>74</v>
      </c>
      <c r="BI573">
        <v>135</v>
      </c>
      <c r="BJ573" t="s">
        <v>455</v>
      </c>
      <c r="BK573" t="s">
        <v>6716</v>
      </c>
      <c r="BL573" t="s">
        <v>456</v>
      </c>
      <c r="BM573" t="s">
        <v>10919</v>
      </c>
      <c r="BN573" t="s">
        <v>74</v>
      </c>
      <c r="BO573" t="s">
        <v>3283</v>
      </c>
      <c r="BP573" t="s">
        <v>74</v>
      </c>
      <c r="BQ573" t="s">
        <v>74</v>
      </c>
      <c r="BR573" t="s">
        <v>106</v>
      </c>
      <c r="BS573" t="s">
        <v>10920</v>
      </c>
      <c r="BT573" t="str">
        <f>HYPERLINK("https%3A%2F%2Fwww.webofscience.com%2Fwos%2Fwoscc%2Ffull-record%2FWOS:000755453100010","View Full Record in Web of Science")</f>
        <v>View Full Record in Web of Science</v>
      </c>
    </row>
    <row r="574" spans="1:72" x14ac:dyDescent="0.15">
      <c r="A574" t="s">
        <v>4529</v>
      </c>
      <c r="B574" t="s">
        <v>10921</v>
      </c>
      <c r="C574" t="s">
        <v>74</v>
      </c>
      <c r="D574" t="s">
        <v>74</v>
      </c>
      <c r="E574" t="s">
        <v>4644</v>
      </c>
      <c r="F574" t="s">
        <v>10922</v>
      </c>
      <c r="G574" t="s">
        <v>74</v>
      </c>
      <c r="H574" t="s">
        <v>74</v>
      </c>
      <c r="I574" t="s">
        <v>10923</v>
      </c>
      <c r="J574" t="s">
        <v>10924</v>
      </c>
      <c r="K574" t="s">
        <v>74</v>
      </c>
      <c r="L574" t="s">
        <v>74</v>
      </c>
      <c r="M574" t="s">
        <v>78</v>
      </c>
      <c r="N574" t="s">
        <v>4535</v>
      </c>
      <c r="O574" t="s">
        <v>10925</v>
      </c>
      <c r="P574" t="s">
        <v>10926</v>
      </c>
      <c r="Q574" t="s">
        <v>4538</v>
      </c>
      <c r="R574" t="s">
        <v>74</v>
      </c>
      <c r="S574" t="s">
        <v>74</v>
      </c>
      <c r="T574" t="s">
        <v>10927</v>
      </c>
      <c r="U574" t="s">
        <v>74</v>
      </c>
      <c r="V574" t="s">
        <v>10928</v>
      </c>
      <c r="W574" t="s">
        <v>10929</v>
      </c>
      <c r="X574" t="s">
        <v>10930</v>
      </c>
      <c r="Y574" t="s">
        <v>10931</v>
      </c>
      <c r="Z574" t="s">
        <v>10932</v>
      </c>
      <c r="AA574" t="s">
        <v>10933</v>
      </c>
      <c r="AB574" t="s">
        <v>10934</v>
      </c>
      <c r="AC574" t="s">
        <v>5084</v>
      </c>
      <c r="AD574" t="s">
        <v>5085</v>
      </c>
      <c r="AE574" t="s">
        <v>10935</v>
      </c>
      <c r="AF574" t="s">
        <v>74</v>
      </c>
      <c r="AG574">
        <v>16</v>
      </c>
      <c r="AH574">
        <v>0</v>
      </c>
      <c r="AI574">
        <v>0</v>
      </c>
      <c r="AJ574">
        <v>0</v>
      </c>
      <c r="AK574">
        <v>0</v>
      </c>
      <c r="AL574" t="s">
        <v>4644</v>
      </c>
      <c r="AM574" t="s">
        <v>473</v>
      </c>
      <c r="AN574" t="s">
        <v>4662</v>
      </c>
      <c r="AO574" t="s">
        <v>74</v>
      </c>
      <c r="AP574" t="s">
        <v>74</v>
      </c>
      <c r="AQ574" t="s">
        <v>10936</v>
      </c>
      <c r="AR574" t="s">
        <v>74</v>
      </c>
      <c r="AS574" t="s">
        <v>74</v>
      </c>
      <c r="AT574" t="s">
        <v>74</v>
      </c>
      <c r="AU574">
        <v>2021</v>
      </c>
      <c r="AV574" t="s">
        <v>74</v>
      </c>
      <c r="AW574" t="s">
        <v>74</v>
      </c>
      <c r="AX574" t="s">
        <v>74</v>
      </c>
      <c r="AY574" t="s">
        <v>74</v>
      </c>
      <c r="AZ574" t="s">
        <v>74</v>
      </c>
      <c r="BA574" t="s">
        <v>74</v>
      </c>
      <c r="BB574" t="s">
        <v>74</v>
      </c>
      <c r="BC574" t="s">
        <v>74</v>
      </c>
      <c r="BD574" t="s">
        <v>74</v>
      </c>
      <c r="BE574" t="s">
        <v>74</v>
      </c>
      <c r="BF574" t="s">
        <v>74</v>
      </c>
      <c r="BG574" t="s">
        <v>74</v>
      </c>
      <c r="BH574" t="s">
        <v>74</v>
      </c>
      <c r="BI574">
        <v>10</v>
      </c>
      <c r="BJ574" t="s">
        <v>9094</v>
      </c>
      <c r="BK574" t="s">
        <v>4553</v>
      </c>
      <c r="BL574" t="s">
        <v>377</v>
      </c>
      <c r="BM574" t="s">
        <v>10937</v>
      </c>
      <c r="BN574" t="s">
        <v>74</v>
      </c>
      <c r="BO574" t="s">
        <v>74</v>
      </c>
      <c r="BP574" t="s">
        <v>74</v>
      </c>
      <c r="BQ574" t="s">
        <v>74</v>
      </c>
      <c r="BR574" t="s">
        <v>106</v>
      </c>
      <c r="BS574" t="s">
        <v>10938</v>
      </c>
      <c r="BT574" t="str">
        <f>HYPERLINK("https%3A%2F%2Fwww.webofscience.com%2Fwos%2Fwoscc%2Ffull-record%2FWOS:000947273300072","View Full Record in Web of Science")</f>
        <v>View Full Record in Web of Science</v>
      </c>
    </row>
    <row r="575" spans="1:72" x14ac:dyDescent="0.15">
      <c r="A575" t="s">
        <v>4529</v>
      </c>
      <c r="B575" t="s">
        <v>10939</v>
      </c>
      <c r="C575" t="s">
        <v>74</v>
      </c>
      <c r="D575" t="s">
        <v>74</v>
      </c>
      <c r="E575" t="s">
        <v>4644</v>
      </c>
      <c r="F575" t="s">
        <v>10940</v>
      </c>
      <c r="G575" t="s">
        <v>74</v>
      </c>
      <c r="H575" t="s">
        <v>74</v>
      </c>
      <c r="I575" t="s">
        <v>10941</v>
      </c>
      <c r="J575" t="s">
        <v>10924</v>
      </c>
      <c r="K575" t="s">
        <v>74</v>
      </c>
      <c r="L575" t="s">
        <v>74</v>
      </c>
      <c r="M575" t="s">
        <v>78</v>
      </c>
      <c r="N575" t="s">
        <v>4535</v>
      </c>
      <c r="O575" t="s">
        <v>10925</v>
      </c>
      <c r="P575" t="s">
        <v>10926</v>
      </c>
      <c r="Q575" t="s">
        <v>4538</v>
      </c>
      <c r="R575" t="s">
        <v>74</v>
      </c>
      <c r="S575" t="s">
        <v>74</v>
      </c>
      <c r="T575" t="s">
        <v>10942</v>
      </c>
      <c r="U575" t="s">
        <v>10943</v>
      </c>
      <c r="V575" t="s">
        <v>10944</v>
      </c>
      <c r="W575" t="s">
        <v>10945</v>
      </c>
      <c r="X575" t="s">
        <v>10946</v>
      </c>
      <c r="Y575" t="s">
        <v>10947</v>
      </c>
      <c r="Z575" t="s">
        <v>10948</v>
      </c>
      <c r="AA575" t="s">
        <v>74</v>
      </c>
      <c r="AB575" t="s">
        <v>74</v>
      </c>
      <c r="AC575" t="s">
        <v>10949</v>
      </c>
      <c r="AD575" t="s">
        <v>10950</v>
      </c>
      <c r="AE575" t="s">
        <v>10951</v>
      </c>
      <c r="AF575" t="s">
        <v>74</v>
      </c>
      <c r="AG575">
        <v>27</v>
      </c>
      <c r="AH575">
        <v>0</v>
      </c>
      <c r="AI575">
        <v>0</v>
      </c>
      <c r="AJ575">
        <v>1</v>
      </c>
      <c r="AK575">
        <v>1</v>
      </c>
      <c r="AL575" t="s">
        <v>4644</v>
      </c>
      <c r="AM575" t="s">
        <v>473</v>
      </c>
      <c r="AN575" t="s">
        <v>4662</v>
      </c>
      <c r="AO575" t="s">
        <v>74</v>
      </c>
      <c r="AP575" t="s">
        <v>74</v>
      </c>
      <c r="AQ575" t="s">
        <v>10936</v>
      </c>
      <c r="AR575" t="s">
        <v>74</v>
      </c>
      <c r="AS575" t="s">
        <v>74</v>
      </c>
      <c r="AT575" t="s">
        <v>74</v>
      </c>
      <c r="AU575">
        <v>2021</v>
      </c>
      <c r="AV575" t="s">
        <v>74</v>
      </c>
      <c r="AW575" t="s">
        <v>74</v>
      </c>
      <c r="AX575" t="s">
        <v>74</v>
      </c>
      <c r="AY575" t="s">
        <v>74</v>
      </c>
      <c r="AZ575" t="s">
        <v>74</v>
      </c>
      <c r="BA575" t="s">
        <v>74</v>
      </c>
      <c r="BB575" t="s">
        <v>74</v>
      </c>
      <c r="BC575" t="s">
        <v>74</v>
      </c>
      <c r="BD575" t="s">
        <v>74</v>
      </c>
      <c r="BE575" t="s">
        <v>74</v>
      </c>
      <c r="BF575" t="s">
        <v>74</v>
      </c>
      <c r="BG575" t="s">
        <v>74</v>
      </c>
      <c r="BH575" t="s">
        <v>74</v>
      </c>
      <c r="BI575">
        <v>7</v>
      </c>
      <c r="BJ575" t="s">
        <v>9094</v>
      </c>
      <c r="BK575" t="s">
        <v>4553</v>
      </c>
      <c r="BL575" t="s">
        <v>377</v>
      </c>
      <c r="BM575" t="s">
        <v>10937</v>
      </c>
      <c r="BN575" t="s">
        <v>74</v>
      </c>
      <c r="BO575" t="s">
        <v>74</v>
      </c>
      <c r="BP575" t="s">
        <v>74</v>
      </c>
      <c r="BQ575" t="s">
        <v>74</v>
      </c>
      <c r="BR575" t="s">
        <v>106</v>
      </c>
      <c r="BS575" t="s">
        <v>10952</v>
      </c>
      <c r="BT575" t="str">
        <f>HYPERLINK("https%3A%2F%2Fwww.webofscience.com%2Fwos%2Fwoscc%2Ffull-record%2FWOS:000947273302100","View Full Record in Web of Science")</f>
        <v>View Full Record in Web of Science</v>
      </c>
    </row>
    <row r="576" spans="1:72" x14ac:dyDescent="0.15">
      <c r="A576" t="s">
        <v>4529</v>
      </c>
      <c r="B576" t="s">
        <v>10953</v>
      </c>
      <c r="C576" t="s">
        <v>74</v>
      </c>
      <c r="D576" t="s">
        <v>74</v>
      </c>
      <c r="E576" t="s">
        <v>4644</v>
      </c>
      <c r="F576" t="s">
        <v>10954</v>
      </c>
      <c r="G576" t="s">
        <v>74</v>
      </c>
      <c r="H576" t="s">
        <v>74</v>
      </c>
      <c r="I576" t="s">
        <v>10955</v>
      </c>
      <c r="J576" t="s">
        <v>10924</v>
      </c>
      <c r="K576" t="s">
        <v>74</v>
      </c>
      <c r="L576" t="s">
        <v>74</v>
      </c>
      <c r="M576" t="s">
        <v>78</v>
      </c>
      <c r="N576" t="s">
        <v>4535</v>
      </c>
      <c r="O576" t="s">
        <v>10925</v>
      </c>
      <c r="P576" t="s">
        <v>10926</v>
      </c>
      <c r="Q576" t="s">
        <v>4538</v>
      </c>
      <c r="R576" t="s">
        <v>74</v>
      </c>
      <c r="S576" t="s">
        <v>74</v>
      </c>
      <c r="T576" t="s">
        <v>10956</v>
      </c>
      <c r="U576" t="s">
        <v>74</v>
      </c>
      <c r="V576" t="s">
        <v>10957</v>
      </c>
      <c r="W576" t="s">
        <v>10958</v>
      </c>
      <c r="X576" t="s">
        <v>10959</v>
      </c>
      <c r="Y576" t="s">
        <v>10960</v>
      </c>
      <c r="Z576" t="s">
        <v>10961</v>
      </c>
      <c r="AA576" t="s">
        <v>74</v>
      </c>
      <c r="AB576" t="s">
        <v>74</v>
      </c>
      <c r="AC576" t="s">
        <v>5084</v>
      </c>
      <c r="AD576" t="s">
        <v>5085</v>
      </c>
      <c r="AE576" t="s">
        <v>5086</v>
      </c>
      <c r="AF576" t="s">
        <v>74</v>
      </c>
      <c r="AG576">
        <v>14</v>
      </c>
      <c r="AH576">
        <v>0</v>
      </c>
      <c r="AI576">
        <v>0</v>
      </c>
      <c r="AJ576">
        <v>0</v>
      </c>
      <c r="AK576">
        <v>0</v>
      </c>
      <c r="AL576" t="s">
        <v>4644</v>
      </c>
      <c r="AM576" t="s">
        <v>473</v>
      </c>
      <c r="AN576" t="s">
        <v>4662</v>
      </c>
      <c r="AO576" t="s">
        <v>74</v>
      </c>
      <c r="AP576" t="s">
        <v>74</v>
      </c>
      <c r="AQ576" t="s">
        <v>10936</v>
      </c>
      <c r="AR576" t="s">
        <v>74</v>
      </c>
      <c r="AS576" t="s">
        <v>74</v>
      </c>
      <c r="AT576" t="s">
        <v>74</v>
      </c>
      <c r="AU576">
        <v>2021</v>
      </c>
      <c r="AV576" t="s">
        <v>74</v>
      </c>
      <c r="AW576" t="s">
        <v>74</v>
      </c>
      <c r="AX576" t="s">
        <v>74</v>
      </c>
      <c r="AY576" t="s">
        <v>74</v>
      </c>
      <c r="AZ576" t="s">
        <v>74</v>
      </c>
      <c r="BA576" t="s">
        <v>74</v>
      </c>
      <c r="BB576" t="s">
        <v>74</v>
      </c>
      <c r="BC576" t="s">
        <v>74</v>
      </c>
      <c r="BD576" t="s">
        <v>74</v>
      </c>
      <c r="BE576" t="s">
        <v>74</v>
      </c>
      <c r="BF576" t="s">
        <v>74</v>
      </c>
      <c r="BG576" t="s">
        <v>74</v>
      </c>
      <c r="BH576" t="s">
        <v>74</v>
      </c>
      <c r="BI576">
        <v>9</v>
      </c>
      <c r="BJ576" t="s">
        <v>9094</v>
      </c>
      <c r="BK576" t="s">
        <v>4553</v>
      </c>
      <c r="BL576" t="s">
        <v>377</v>
      </c>
      <c r="BM576" t="s">
        <v>10937</v>
      </c>
      <c r="BN576" t="s">
        <v>74</v>
      </c>
      <c r="BO576" t="s">
        <v>74</v>
      </c>
      <c r="BP576" t="s">
        <v>74</v>
      </c>
      <c r="BQ576" t="s">
        <v>74</v>
      </c>
      <c r="BR576" t="s">
        <v>106</v>
      </c>
      <c r="BS576" t="s">
        <v>10962</v>
      </c>
      <c r="BT576" t="str">
        <f>HYPERLINK("https%3A%2F%2Fwww.webofscience.com%2Fwos%2Fwoscc%2Ffull-record%2FWOS:000947273302104","View Full Record in Web of Science")</f>
        <v>View Full Record in Web of Science</v>
      </c>
    </row>
    <row r="577" spans="1:72" x14ac:dyDescent="0.15">
      <c r="A577" t="s">
        <v>4529</v>
      </c>
      <c r="B577" t="s">
        <v>10963</v>
      </c>
      <c r="C577" t="s">
        <v>74</v>
      </c>
      <c r="D577" t="s">
        <v>74</v>
      </c>
      <c r="E577" t="s">
        <v>4644</v>
      </c>
      <c r="F577" t="s">
        <v>10964</v>
      </c>
      <c r="G577" t="s">
        <v>74</v>
      </c>
      <c r="H577" t="s">
        <v>74</v>
      </c>
      <c r="I577" t="s">
        <v>10965</v>
      </c>
      <c r="J577" t="s">
        <v>10924</v>
      </c>
      <c r="K577" t="s">
        <v>74</v>
      </c>
      <c r="L577" t="s">
        <v>74</v>
      </c>
      <c r="M577" t="s">
        <v>78</v>
      </c>
      <c r="N577" t="s">
        <v>4535</v>
      </c>
      <c r="O577" t="s">
        <v>10925</v>
      </c>
      <c r="P577" t="s">
        <v>10926</v>
      </c>
      <c r="Q577" t="s">
        <v>4538</v>
      </c>
      <c r="R577" t="s">
        <v>74</v>
      </c>
      <c r="S577" t="s">
        <v>74</v>
      </c>
      <c r="T577" t="s">
        <v>10966</v>
      </c>
      <c r="U577" t="s">
        <v>10967</v>
      </c>
      <c r="V577" t="s">
        <v>10968</v>
      </c>
      <c r="W577" t="s">
        <v>10969</v>
      </c>
      <c r="X577" t="s">
        <v>10970</v>
      </c>
      <c r="Y577" t="s">
        <v>10971</v>
      </c>
      <c r="Z577" t="s">
        <v>10972</v>
      </c>
      <c r="AA577" t="s">
        <v>74</v>
      </c>
      <c r="AB577" t="s">
        <v>74</v>
      </c>
      <c r="AC577" t="s">
        <v>74</v>
      </c>
      <c r="AD577" t="s">
        <v>74</v>
      </c>
      <c r="AE577" t="s">
        <v>74</v>
      </c>
      <c r="AF577" t="s">
        <v>74</v>
      </c>
      <c r="AG577">
        <v>13</v>
      </c>
      <c r="AH577">
        <v>0</v>
      </c>
      <c r="AI577">
        <v>0</v>
      </c>
      <c r="AJ577">
        <v>0</v>
      </c>
      <c r="AK577">
        <v>0</v>
      </c>
      <c r="AL577" t="s">
        <v>4644</v>
      </c>
      <c r="AM577" t="s">
        <v>473</v>
      </c>
      <c r="AN577" t="s">
        <v>4662</v>
      </c>
      <c r="AO577" t="s">
        <v>74</v>
      </c>
      <c r="AP577" t="s">
        <v>74</v>
      </c>
      <c r="AQ577" t="s">
        <v>10936</v>
      </c>
      <c r="AR577" t="s">
        <v>74</v>
      </c>
      <c r="AS577" t="s">
        <v>74</v>
      </c>
      <c r="AT577" t="s">
        <v>74</v>
      </c>
      <c r="AU577">
        <v>2021</v>
      </c>
      <c r="AV577" t="s">
        <v>74</v>
      </c>
      <c r="AW577" t="s">
        <v>74</v>
      </c>
      <c r="AX577" t="s">
        <v>74</v>
      </c>
      <c r="AY577" t="s">
        <v>74</v>
      </c>
      <c r="AZ577" t="s">
        <v>74</v>
      </c>
      <c r="BA577" t="s">
        <v>74</v>
      </c>
      <c r="BB577" t="s">
        <v>74</v>
      </c>
      <c r="BC577" t="s">
        <v>74</v>
      </c>
      <c r="BD577" t="s">
        <v>74</v>
      </c>
      <c r="BE577" t="s">
        <v>74</v>
      </c>
      <c r="BF577" t="s">
        <v>74</v>
      </c>
      <c r="BG577" t="s">
        <v>74</v>
      </c>
      <c r="BH577" t="s">
        <v>74</v>
      </c>
      <c r="BI577">
        <v>6</v>
      </c>
      <c r="BJ577" t="s">
        <v>9094</v>
      </c>
      <c r="BK577" t="s">
        <v>4553</v>
      </c>
      <c r="BL577" t="s">
        <v>377</v>
      </c>
      <c r="BM577" t="s">
        <v>10937</v>
      </c>
      <c r="BN577" t="s">
        <v>74</v>
      </c>
      <c r="BO577" t="s">
        <v>74</v>
      </c>
      <c r="BP577" t="s">
        <v>74</v>
      </c>
      <c r="BQ577" t="s">
        <v>74</v>
      </c>
      <c r="BR577" t="s">
        <v>106</v>
      </c>
      <c r="BS577" t="s">
        <v>10973</v>
      </c>
      <c r="BT577" t="str">
        <f>HYPERLINK("https%3A%2F%2Fwww.webofscience.com%2Fwos%2Fwoscc%2Ffull-record%2FWOS:000947273302058","View Full Record in Web of Science")</f>
        <v>View Full Record in Web of Science</v>
      </c>
    </row>
    <row r="578" spans="1:72" x14ac:dyDescent="0.15">
      <c r="A578" t="s">
        <v>4529</v>
      </c>
      <c r="B578" t="s">
        <v>10974</v>
      </c>
      <c r="C578" t="s">
        <v>74</v>
      </c>
      <c r="D578" t="s">
        <v>74</v>
      </c>
      <c r="E578" t="s">
        <v>4644</v>
      </c>
      <c r="F578" t="s">
        <v>10975</v>
      </c>
      <c r="G578" t="s">
        <v>74</v>
      </c>
      <c r="H578" t="s">
        <v>74</v>
      </c>
      <c r="I578" t="s">
        <v>10976</v>
      </c>
      <c r="J578" t="s">
        <v>10924</v>
      </c>
      <c r="K578" t="s">
        <v>74</v>
      </c>
      <c r="L578" t="s">
        <v>74</v>
      </c>
      <c r="M578" t="s">
        <v>78</v>
      </c>
      <c r="N578" t="s">
        <v>4535</v>
      </c>
      <c r="O578" t="s">
        <v>10925</v>
      </c>
      <c r="P578" t="s">
        <v>10926</v>
      </c>
      <c r="Q578" t="s">
        <v>4538</v>
      </c>
      <c r="R578" t="s">
        <v>74</v>
      </c>
      <c r="S578" t="s">
        <v>74</v>
      </c>
      <c r="T578" t="s">
        <v>10977</v>
      </c>
      <c r="U578" t="s">
        <v>10978</v>
      </c>
      <c r="V578" t="s">
        <v>10979</v>
      </c>
      <c r="W578" t="s">
        <v>10980</v>
      </c>
      <c r="X578" t="s">
        <v>74</v>
      </c>
      <c r="Y578" t="s">
        <v>10981</v>
      </c>
      <c r="Z578" t="s">
        <v>10982</v>
      </c>
      <c r="AA578" t="s">
        <v>74</v>
      </c>
      <c r="AB578" t="s">
        <v>74</v>
      </c>
      <c r="AC578" t="s">
        <v>10983</v>
      </c>
      <c r="AD578" t="s">
        <v>10983</v>
      </c>
      <c r="AE578" t="s">
        <v>10984</v>
      </c>
      <c r="AF578" t="s">
        <v>74</v>
      </c>
      <c r="AG578">
        <v>28</v>
      </c>
      <c r="AH578">
        <v>0</v>
      </c>
      <c r="AI578">
        <v>0</v>
      </c>
      <c r="AJ578">
        <v>0</v>
      </c>
      <c r="AK578">
        <v>0</v>
      </c>
      <c r="AL578" t="s">
        <v>4644</v>
      </c>
      <c r="AM578" t="s">
        <v>473</v>
      </c>
      <c r="AN578" t="s">
        <v>4662</v>
      </c>
      <c r="AO578" t="s">
        <v>74</v>
      </c>
      <c r="AP578" t="s">
        <v>74</v>
      </c>
      <c r="AQ578" t="s">
        <v>10936</v>
      </c>
      <c r="AR578" t="s">
        <v>74</v>
      </c>
      <c r="AS578" t="s">
        <v>74</v>
      </c>
      <c r="AT578" t="s">
        <v>74</v>
      </c>
      <c r="AU578">
        <v>2021</v>
      </c>
      <c r="AV578" t="s">
        <v>74</v>
      </c>
      <c r="AW578" t="s">
        <v>74</v>
      </c>
      <c r="AX578" t="s">
        <v>74</v>
      </c>
      <c r="AY578" t="s">
        <v>74</v>
      </c>
      <c r="AZ578" t="s">
        <v>74</v>
      </c>
      <c r="BA578" t="s">
        <v>74</v>
      </c>
      <c r="BB578" t="s">
        <v>74</v>
      </c>
      <c r="BC578" t="s">
        <v>74</v>
      </c>
      <c r="BD578" t="s">
        <v>74</v>
      </c>
      <c r="BE578" t="s">
        <v>74</v>
      </c>
      <c r="BF578" t="s">
        <v>74</v>
      </c>
      <c r="BG578" t="s">
        <v>74</v>
      </c>
      <c r="BH578" t="s">
        <v>74</v>
      </c>
      <c r="BI578">
        <v>10</v>
      </c>
      <c r="BJ578" t="s">
        <v>9094</v>
      </c>
      <c r="BK578" t="s">
        <v>4553</v>
      </c>
      <c r="BL578" t="s">
        <v>377</v>
      </c>
      <c r="BM578" t="s">
        <v>10937</v>
      </c>
      <c r="BN578" t="s">
        <v>74</v>
      </c>
      <c r="BO578" t="s">
        <v>74</v>
      </c>
      <c r="BP578" t="s">
        <v>74</v>
      </c>
      <c r="BQ578" t="s">
        <v>74</v>
      </c>
      <c r="BR578" t="s">
        <v>106</v>
      </c>
      <c r="BS578" t="s">
        <v>10985</v>
      </c>
      <c r="BT578" t="str">
        <f>HYPERLINK("https%3A%2F%2Fwww.webofscience.com%2Fwos%2Fwoscc%2Ffull-record%2FWOS:000947273302122","View Full Record in Web of Science")</f>
        <v>View Full Record in Web of Science</v>
      </c>
    </row>
    <row r="579" spans="1:72" x14ac:dyDescent="0.15">
      <c r="A579" t="s">
        <v>72</v>
      </c>
      <c r="B579" t="s">
        <v>10565</v>
      </c>
      <c r="C579" t="s">
        <v>74</v>
      </c>
      <c r="D579" t="s">
        <v>74</v>
      </c>
      <c r="E579" t="s">
        <v>74</v>
      </c>
      <c r="F579" t="s">
        <v>10566</v>
      </c>
      <c r="G579" t="s">
        <v>74</v>
      </c>
      <c r="H579" t="s">
        <v>74</v>
      </c>
      <c r="I579" t="s">
        <v>10986</v>
      </c>
      <c r="J579" t="s">
        <v>5502</v>
      </c>
      <c r="K579" t="s">
        <v>74</v>
      </c>
      <c r="L579" t="s">
        <v>74</v>
      </c>
      <c r="M579" t="s">
        <v>78</v>
      </c>
      <c r="N579" t="s">
        <v>79</v>
      </c>
      <c r="O579" t="s">
        <v>74</v>
      </c>
      <c r="P579" t="s">
        <v>74</v>
      </c>
      <c r="Q579" t="s">
        <v>74</v>
      </c>
      <c r="R579" t="s">
        <v>74</v>
      </c>
      <c r="S579" t="s">
        <v>74</v>
      </c>
      <c r="T579" t="s">
        <v>10987</v>
      </c>
      <c r="U579" t="s">
        <v>10988</v>
      </c>
      <c r="V579" t="s">
        <v>10989</v>
      </c>
      <c r="W579" t="s">
        <v>10990</v>
      </c>
      <c r="X579" t="s">
        <v>10571</v>
      </c>
      <c r="Y579" t="s">
        <v>10991</v>
      </c>
      <c r="Z579" t="s">
        <v>10573</v>
      </c>
      <c r="AA579" t="s">
        <v>10574</v>
      </c>
      <c r="AB579" t="s">
        <v>10575</v>
      </c>
      <c r="AC579" t="s">
        <v>10576</v>
      </c>
      <c r="AD579" t="s">
        <v>10577</v>
      </c>
      <c r="AE579" t="s">
        <v>10992</v>
      </c>
      <c r="AF579" t="s">
        <v>74</v>
      </c>
      <c r="AG579">
        <v>105</v>
      </c>
      <c r="AH579">
        <v>10</v>
      </c>
      <c r="AI579">
        <v>11</v>
      </c>
      <c r="AJ579">
        <v>1</v>
      </c>
      <c r="AK579">
        <v>6</v>
      </c>
      <c r="AL579" t="s">
        <v>5512</v>
      </c>
      <c r="AM579" t="s">
        <v>5513</v>
      </c>
      <c r="AN579" t="s">
        <v>5514</v>
      </c>
      <c r="AO579" t="s">
        <v>5515</v>
      </c>
      <c r="AP579" t="s">
        <v>5516</v>
      </c>
      <c r="AQ579" t="s">
        <v>74</v>
      </c>
      <c r="AR579" t="s">
        <v>5517</v>
      </c>
      <c r="AS579" t="s">
        <v>5518</v>
      </c>
      <c r="AT579" t="s">
        <v>74</v>
      </c>
      <c r="AU579">
        <v>2021</v>
      </c>
      <c r="AV579">
        <v>42</v>
      </c>
      <c r="AW579">
        <v>1</v>
      </c>
      <c r="AX579" t="s">
        <v>74</v>
      </c>
      <c r="AY579" t="s">
        <v>74</v>
      </c>
      <c r="AZ579" t="s">
        <v>74</v>
      </c>
      <c r="BA579" t="s">
        <v>74</v>
      </c>
      <c r="BB579">
        <v>1</v>
      </c>
      <c r="BC579">
        <v>23</v>
      </c>
      <c r="BD579" t="s">
        <v>74</v>
      </c>
      <c r="BE579" t="s">
        <v>10993</v>
      </c>
      <c r="BF579" t="str">
        <f>HYPERLINK("http://dx.doi.org/10.24425/ppr.2021.136510","http://dx.doi.org/10.24425/ppr.2021.136510")</f>
        <v>http://dx.doi.org/10.24425/ppr.2021.136510</v>
      </c>
      <c r="BG579" t="s">
        <v>74</v>
      </c>
      <c r="BH579" t="s">
        <v>74</v>
      </c>
      <c r="BI579">
        <v>23</v>
      </c>
      <c r="BJ579" t="s">
        <v>3680</v>
      </c>
      <c r="BK579" t="s">
        <v>103</v>
      </c>
      <c r="BL579" t="s">
        <v>3681</v>
      </c>
      <c r="BM579" t="s">
        <v>8344</v>
      </c>
      <c r="BN579" t="s">
        <v>74</v>
      </c>
      <c r="BO579" t="s">
        <v>246</v>
      </c>
      <c r="BP579" t="s">
        <v>74</v>
      </c>
      <c r="BQ579" t="s">
        <v>74</v>
      </c>
      <c r="BR579" t="s">
        <v>106</v>
      </c>
      <c r="BS579" t="s">
        <v>10994</v>
      </c>
      <c r="BT579" t="str">
        <f>HYPERLINK("https%3A%2F%2Fwww.webofscience.com%2Fwos%2Fwoscc%2Ffull-record%2FWOS:000632220600001","View Full Record in Web of Science")</f>
        <v>View Full Record in Web of Science</v>
      </c>
    </row>
    <row r="580" spans="1:72" x14ac:dyDescent="0.15">
      <c r="A580" t="s">
        <v>72</v>
      </c>
      <c r="B580" t="s">
        <v>10995</v>
      </c>
      <c r="C580" t="s">
        <v>74</v>
      </c>
      <c r="D580" t="s">
        <v>74</v>
      </c>
      <c r="E580" t="s">
        <v>74</v>
      </c>
      <c r="F580" t="s">
        <v>10996</v>
      </c>
      <c r="G580" t="s">
        <v>74</v>
      </c>
      <c r="H580" t="s">
        <v>74</v>
      </c>
      <c r="I580" t="s">
        <v>10997</v>
      </c>
      <c r="J580" t="s">
        <v>10998</v>
      </c>
      <c r="K580" t="s">
        <v>74</v>
      </c>
      <c r="L580" t="s">
        <v>74</v>
      </c>
      <c r="M580" t="s">
        <v>5447</v>
      </c>
      <c r="N580" t="s">
        <v>79</v>
      </c>
      <c r="O580" t="s">
        <v>74</v>
      </c>
      <c r="P580" t="s">
        <v>74</v>
      </c>
      <c r="Q580" t="s">
        <v>74</v>
      </c>
      <c r="R580" t="s">
        <v>74</v>
      </c>
      <c r="S580" t="s">
        <v>74</v>
      </c>
      <c r="T580" t="s">
        <v>10999</v>
      </c>
      <c r="U580" t="s">
        <v>11000</v>
      </c>
      <c r="V580" t="s">
        <v>11001</v>
      </c>
      <c r="W580" t="s">
        <v>11002</v>
      </c>
      <c r="X580" t="s">
        <v>11003</v>
      </c>
      <c r="Y580" t="s">
        <v>11004</v>
      </c>
      <c r="Z580" t="s">
        <v>11005</v>
      </c>
      <c r="AA580" t="s">
        <v>11006</v>
      </c>
      <c r="AB580" t="s">
        <v>74</v>
      </c>
      <c r="AC580" t="s">
        <v>74</v>
      </c>
      <c r="AD580" t="s">
        <v>74</v>
      </c>
      <c r="AE580" t="s">
        <v>74</v>
      </c>
      <c r="AF580" t="s">
        <v>74</v>
      </c>
      <c r="AG580">
        <v>43</v>
      </c>
      <c r="AH580">
        <v>4</v>
      </c>
      <c r="AI580">
        <v>4</v>
      </c>
      <c r="AJ580">
        <v>0</v>
      </c>
      <c r="AK580">
        <v>3</v>
      </c>
      <c r="AL580" t="s">
        <v>11007</v>
      </c>
      <c r="AM580" t="s">
        <v>5039</v>
      </c>
      <c r="AN580" t="s">
        <v>11008</v>
      </c>
      <c r="AO580" t="s">
        <v>11009</v>
      </c>
      <c r="AP580" t="s">
        <v>11010</v>
      </c>
      <c r="AQ580" t="s">
        <v>74</v>
      </c>
      <c r="AR580" t="s">
        <v>11011</v>
      </c>
      <c r="AS580" t="s">
        <v>11012</v>
      </c>
      <c r="AT580" t="s">
        <v>74</v>
      </c>
      <c r="AU580">
        <v>2021</v>
      </c>
      <c r="AV580">
        <v>27</v>
      </c>
      <c r="AW580">
        <v>5</v>
      </c>
      <c r="AX580" t="s">
        <v>74</v>
      </c>
      <c r="AY580" t="s">
        <v>74</v>
      </c>
      <c r="AZ580" t="s">
        <v>74</v>
      </c>
      <c r="BA580" t="s">
        <v>74</v>
      </c>
      <c r="BB580">
        <v>47</v>
      </c>
      <c r="BC580">
        <v>59</v>
      </c>
      <c r="BD580" t="s">
        <v>74</v>
      </c>
      <c r="BE580" t="s">
        <v>11013</v>
      </c>
      <c r="BF580" t="str">
        <f>HYPERLINK("http://dx.doi.org/10.15407/knit2021.05.047","http://dx.doi.org/10.15407/knit2021.05.047")</f>
        <v>http://dx.doi.org/10.15407/knit2021.05.047</v>
      </c>
      <c r="BG580" t="s">
        <v>74</v>
      </c>
      <c r="BH580" t="s">
        <v>74</v>
      </c>
      <c r="BI580">
        <v>13</v>
      </c>
      <c r="BJ580" t="s">
        <v>3258</v>
      </c>
      <c r="BK580" t="s">
        <v>3050</v>
      </c>
      <c r="BL580" t="s">
        <v>3258</v>
      </c>
      <c r="BM580" t="s">
        <v>11014</v>
      </c>
      <c r="BN580" t="s">
        <v>74</v>
      </c>
      <c r="BO580" t="s">
        <v>3283</v>
      </c>
      <c r="BP580" t="s">
        <v>74</v>
      </c>
      <c r="BQ580" t="s">
        <v>74</v>
      </c>
      <c r="BR580" t="s">
        <v>106</v>
      </c>
      <c r="BS580" t="s">
        <v>11015</v>
      </c>
      <c r="BT580" t="str">
        <f>HYPERLINK("https%3A%2F%2Fwww.webofscience.com%2Fwos%2Fwoscc%2Ffull-record%2FWOS:000734468500005","View Full Record in Web of Science")</f>
        <v>View Full Record in Web of Science</v>
      </c>
    </row>
    <row r="581" spans="1:72" x14ac:dyDescent="0.15">
      <c r="A581" t="s">
        <v>72</v>
      </c>
      <c r="B581" t="s">
        <v>10565</v>
      </c>
      <c r="C581" t="s">
        <v>74</v>
      </c>
      <c r="D581" t="s">
        <v>74</v>
      </c>
      <c r="E581" t="s">
        <v>74</v>
      </c>
      <c r="F581" t="s">
        <v>10566</v>
      </c>
      <c r="G581" t="s">
        <v>74</v>
      </c>
      <c r="H581" t="s">
        <v>74</v>
      </c>
      <c r="I581" t="s">
        <v>11016</v>
      </c>
      <c r="J581" t="s">
        <v>11017</v>
      </c>
      <c r="K581" t="s">
        <v>74</v>
      </c>
      <c r="L581" t="s">
        <v>74</v>
      </c>
      <c r="M581" t="s">
        <v>78</v>
      </c>
      <c r="N581" t="s">
        <v>79</v>
      </c>
      <c r="O581" t="s">
        <v>74</v>
      </c>
      <c r="P581" t="s">
        <v>74</v>
      </c>
      <c r="Q581" t="s">
        <v>74</v>
      </c>
      <c r="R581" t="s">
        <v>74</v>
      </c>
      <c r="S581" t="s">
        <v>74</v>
      </c>
      <c r="T581" t="s">
        <v>11018</v>
      </c>
      <c r="U581" t="s">
        <v>11019</v>
      </c>
      <c r="V581" t="s">
        <v>11020</v>
      </c>
      <c r="W581" t="s">
        <v>11021</v>
      </c>
      <c r="X581" t="s">
        <v>10571</v>
      </c>
      <c r="Y581" t="s">
        <v>11022</v>
      </c>
      <c r="Z581" t="s">
        <v>10573</v>
      </c>
      <c r="AA581" t="s">
        <v>10574</v>
      </c>
      <c r="AB581" t="s">
        <v>10575</v>
      </c>
      <c r="AC581" t="s">
        <v>10576</v>
      </c>
      <c r="AD581" t="s">
        <v>10577</v>
      </c>
      <c r="AE581" t="s">
        <v>11023</v>
      </c>
      <c r="AF581" t="s">
        <v>74</v>
      </c>
      <c r="AG581">
        <v>100</v>
      </c>
      <c r="AH581">
        <v>11</v>
      </c>
      <c r="AI581">
        <v>11</v>
      </c>
      <c r="AJ581">
        <v>0</v>
      </c>
      <c r="AK581">
        <v>3</v>
      </c>
      <c r="AL581" t="s">
        <v>11024</v>
      </c>
      <c r="AM581" t="s">
        <v>6943</v>
      </c>
      <c r="AN581" t="s">
        <v>11025</v>
      </c>
      <c r="AO581" t="s">
        <v>11026</v>
      </c>
      <c r="AP581" t="s">
        <v>11027</v>
      </c>
      <c r="AQ581" t="s">
        <v>74</v>
      </c>
      <c r="AR581" t="s">
        <v>11028</v>
      </c>
      <c r="AS581" t="s">
        <v>11029</v>
      </c>
      <c r="AT581" t="s">
        <v>74</v>
      </c>
      <c r="AU581">
        <v>2021</v>
      </c>
      <c r="AV581">
        <v>38</v>
      </c>
      <c r="AW581">
        <v>1</v>
      </c>
      <c r="AX581" t="s">
        <v>74</v>
      </c>
      <c r="AY581" t="s">
        <v>74</v>
      </c>
      <c r="AZ581" t="s">
        <v>74</v>
      </c>
      <c r="BA581" t="s">
        <v>74</v>
      </c>
      <c r="BB581">
        <v>19</v>
      </c>
      <c r="BC581">
        <v>32</v>
      </c>
      <c r="BD581" t="s">
        <v>74</v>
      </c>
      <c r="BE581" t="s">
        <v>11030</v>
      </c>
      <c r="BF581" t="str">
        <f>HYPERLINK("http://dx.doi.org/10.24425/sq.2020.133759","http://dx.doi.org/10.24425/sq.2020.133759")</f>
        <v>http://dx.doi.org/10.24425/sq.2020.133759</v>
      </c>
      <c r="BG581" t="s">
        <v>74</v>
      </c>
      <c r="BH581" t="s">
        <v>74</v>
      </c>
      <c r="BI581">
        <v>14</v>
      </c>
      <c r="BJ581" t="s">
        <v>401</v>
      </c>
      <c r="BK581" t="s">
        <v>3050</v>
      </c>
      <c r="BL581" t="s">
        <v>402</v>
      </c>
      <c r="BM581" t="s">
        <v>11031</v>
      </c>
      <c r="BN581" t="s">
        <v>74</v>
      </c>
      <c r="BO581" t="s">
        <v>74</v>
      </c>
      <c r="BP581" t="s">
        <v>74</v>
      </c>
      <c r="BQ581" t="s">
        <v>74</v>
      </c>
      <c r="BR581" t="s">
        <v>106</v>
      </c>
      <c r="BS581" t="s">
        <v>11032</v>
      </c>
      <c r="BT581" t="str">
        <f>HYPERLINK("https%3A%2F%2Fwww.webofscience.com%2Fwos%2Fwoscc%2Ffull-record%2FWOS:000640614200002","View Full Record in Web of Science")</f>
        <v>View Full Record in Web of Science</v>
      </c>
    </row>
    <row r="582" spans="1:72" x14ac:dyDescent="0.15">
      <c r="A582" t="s">
        <v>72</v>
      </c>
      <c r="B582" t="s">
        <v>11033</v>
      </c>
      <c r="C582" t="s">
        <v>74</v>
      </c>
      <c r="D582" t="s">
        <v>74</v>
      </c>
      <c r="E582" t="s">
        <v>74</v>
      </c>
      <c r="F582" t="s">
        <v>11034</v>
      </c>
      <c r="G582" t="s">
        <v>74</v>
      </c>
      <c r="H582" t="s">
        <v>74</v>
      </c>
      <c r="I582" t="s">
        <v>11035</v>
      </c>
      <c r="J582" t="s">
        <v>9546</v>
      </c>
      <c r="K582" t="s">
        <v>74</v>
      </c>
      <c r="L582" t="s">
        <v>74</v>
      </c>
      <c r="M582" t="s">
        <v>78</v>
      </c>
      <c r="N582" t="s">
        <v>141</v>
      </c>
      <c r="O582" t="s">
        <v>74</v>
      </c>
      <c r="P582" t="s">
        <v>74</v>
      </c>
      <c r="Q582" t="s">
        <v>74</v>
      </c>
      <c r="R582" t="s">
        <v>74</v>
      </c>
      <c r="S582" t="s">
        <v>74</v>
      </c>
      <c r="T582" t="s">
        <v>74</v>
      </c>
      <c r="U582" t="s">
        <v>11036</v>
      </c>
      <c r="V582" t="s">
        <v>11037</v>
      </c>
      <c r="W582" t="s">
        <v>11038</v>
      </c>
      <c r="X582" t="s">
        <v>11039</v>
      </c>
      <c r="Y582" t="s">
        <v>11040</v>
      </c>
      <c r="Z582" t="s">
        <v>11041</v>
      </c>
      <c r="AA582" t="s">
        <v>11042</v>
      </c>
      <c r="AB582" t="s">
        <v>11043</v>
      </c>
      <c r="AC582" t="s">
        <v>11044</v>
      </c>
      <c r="AD582" t="s">
        <v>11045</v>
      </c>
      <c r="AE582" t="s">
        <v>11046</v>
      </c>
      <c r="AF582" t="s">
        <v>74</v>
      </c>
      <c r="AG582">
        <v>67</v>
      </c>
      <c r="AH582">
        <v>35</v>
      </c>
      <c r="AI582">
        <v>37</v>
      </c>
      <c r="AJ582">
        <v>1</v>
      </c>
      <c r="AK582">
        <v>73</v>
      </c>
      <c r="AL582" t="s">
        <v>263</v>
      </c>
      <c r="AM582" t="s">
        <v>264</v>
      </c>
      <c r="AN582" t="s">
        <v>265</v>
      </c>
      <c r="AO582" t="s">
        <v>9558</v>
      </c>
      <c r="AP582" t="s">
        <v>9559</v>
      </c>
      <c r="AQ582" t="s">
        <v>74</v>
      </c>
      <c r="AR582" t="s">
        <v>9560</v>
      </c>
      <c r="AS582" t="s">
        <v>9561</v>
      </c>
      <c r="AT582" t="s">
        <v>374</v>
      </c>
      <c r="AU582">
        <v>2021</v>
      </c>
      <c r="AV582">
        <v>36</v>
      </c>
      <c r="AW582">
        <v>1</v>
      </c>
      <c r="AX582" t="s">
        <v>74</v>
      </c>
      <c r="AY582" t="s">
        <v>74</v>
      </c>
      <c r="AZ582" t="s">
        <v>74</v>
      </c>
      <c r="BA582" t="s">
        <v>74</v>
      </c>
      <c r="BB582">
        <v>87</v>
      </c>
      <c r="BC582">
        <v>97</v>
      </c>
      <c r="BD582" t="s">
        <v>74</v>
      </c>
      <c r="BE582" t="s">
        <v>11047</v>
      </c>
      <c r="BF582" t="str">
        <f>HYPERLINK("http://dx.doi.org/10.1016/j.tree.2020.10.014","http://dx.doi.org/10.1016/j.tree.2020.10.014")</f>
        <v>http://dx.doi.org/10.1016/j.tree.2020.10.014</v>
      </c>
      <c r="BG582" t="s">
        <v>74</v>
      </c>
      <c r="BH582" t="s">
        <v>74</v>
      </c>
      <c r="BI582">
        <v>11</v>
      </c>
      <c r="BJ582" t="s">
        <v>9563</v>
      </c>
      <c r="BK582" t="s">
        <v>103</v>
      </c>
      <c r="BL582" t="s">
        <v>9564</v>
      </c>
      <c r="BM582" t="s">
        <v>9565</v>
      </c>
      <c r="BN582">
        <v>33213887</v>
      </c>
      <c r="BO582" t="s">
        <v>11048</v>
      </c>
      <c r="BP582" t="s">
        <v>74</v>
      </c>
      <c r="BQ582" t="s">
        <v>74</v>
      </c>
      <c r="BR582" t="s">
        <v>106</v>
      </c>
      <c r="BS582" t="s">
        <v>11049</v>
      </c>
      <c r="BT582" t="str">
        <f>HYPERLINK("https%3A%2F%2Fwww.webofscience.com%2Fwos%2Fwoscc%2Ffull-record%2FWOS:000604275900017","View Full Record in Web of Science")</f>
        <v>View Full Record in Web of Science</v>
      </c>
    </row>
    <row r="583" spans="1:72" x14ac:dyDescent="0.15">
      <c r="A583" t="s">
        <v>4589</v>
      </c>
      <c r="B583" t="s">
        <v>11050</v>
      </c>
      <c r="C583" t="s">
        <v>74</v>
      </c>
      <c r="D583" t="s">
        <v>4591</v>
      </c>
      <c r="E583" t="s">
        <v>74</v>
      </c>
      <c r="F583" t="s">
        <v>11051</v>
      </c>
      <c r="G583" t="s">
        <v>74</v>
      </c>
      <c r="H583" t="s">
        <v>74</v>
      </c>
      <c r="I583" t="s">
        <v>11052</v>
      </c>
      <c r="J583" t="s">
        <v>4594</v>
      </c>
      <c r="K583" t="s">
        <v>4595</v>
      </c>
      <c r="L583" t="s">
        <v>74</v>
      </c>
      <c r="M583" t="s">
        <v>78</v>
      </c>
      <c r="N583" t="s">
        <v>4596</v>
      </c>
      <c r="O583" t="s">
        <v>74</v>
      </c>
      <c r="P583" t="s">
        <v>74</v>
      </c>
      <c r="Q583" t="s">
        <v>74</v>
      </c>
      <c r="R583" t="s">
        <v>74</v>
      </c>
      <c r="S583" t="s">
        <v>74</v>
      </c>
      <c r="T583" t="s">
        <v>74</v>
      </c>
      <c r="U583" t="s">
        <v>11053</v>
      </c>
      <c r="V583" t="s">
        <v>11054</v>
      </c>
      <c r="W583" t="s">
        <v>11055</v>
      </c>
      <c r="X583" t="s">
        <v>11056</v>
      </c>
      <c r="Y583" t="s">
        <v>11057</v>
      </c>
      <c r="Z583" t="s">
        <v>11058</v>
      </c>
      <c r="AA583" t="s">
        <v>11059</v>
      </c>
      <c r="AB583" t="s">
        <v>74</v>
      </c>
      <c r="AC583" t="s">
        <v>74</v>
      </c>
      <c r="AD583" t="s">
        <v>74</v>
      </c>
      <c r="AE583" t="s">
        <v>74</v>
      </c>
      <c r="AF583" t="s">
        <v>74</v>
      </c>
      <c r="AG583">
        <v>120</v>
      </c>
      <c r="AH583">
        <v>9</v>
      </c>
      <c r="AI583">
        <v>9</v>
      </c>
      <c r="AJ583">
        <v>3</v>
      </c>
      <c r="AK583">
        <v>7</v>
      </c>
      <c r="AL583" t="s">
        <v>4607</v>
      </c>
      <c r="AM583" t="s">
        <v>1914</v>
      </c>
      <c r="AN583" t="s">
        <v>4608</v>
      </c>
      <c r="AO583" t="s">
        <v>4609</v>
      </c>
      <c r="AP583" t="s">
        <v>74</v>
      </c>
      <c r="AQ583" t="s">
        <v>4610</v>
      </c>
      <c r="AR583" t="s">
        <v>4611</v>
      </c>
      <c r="AS583" t="s">
        <v>74</v>
      </c>
      <c r="AT583" t="s">
        <v>74</v>
      </c>
      <c r="AU583">
        <v>2021</v>
      </c>
      <c r="AV583">
        <v>55</v>
      </c>
      <c r="AW583" t="s">
        <v>74</v>
      </c>
      <c r="AX583" t="s">
        <v>74</v>
      </c>
      <c r="AY583" t="s">
        <v>74</v>
      </c>
      <c r="AZ583" t="s">
        <v>74</v>
      </c>
      <c r="BA583" t="s">
        <v>74</v>
      </c>
      <c r="BB583">
        <v>9</v>
      </c>
      <c r="BC583">
        <v>17</v>
      </c>
      <c r="BD583" t="s">
        <v>74</v>
      </c>
      <c r="BE583" t="s">
        <v>11060</v>
      </c>
      <c r="BF583" t="str">
        <f>HYPERLINK("http://dx.doi.org/10.1144/M55-2018-38","http://dx.doi.org/10.1144/M55-2018-38")</f>
        <v>http://dx.doi.org/10.1144/M55-2018-38</v>
      </c>
      <c r="BG583" t="s">
        <v>4613</v>
      </c>
      <c r="BH583" t="s">
        <v>74</v>
      </c>
      <c r="BI583">
        <v>9</v>
      </c>
      <c r="BJ583" t="s">
        <v>4614</v>
      </c>
      <c r="BK583" t="s">
        <v>4615</v>
      </c>
      <c r="BL583" t="s">
        <v>4614</v>
      </c>
      <c r="BM583" t="s">
        <v>4616</v>
      </c>
      <c r="BN583" t="s">
        <v>74</v>
      </c>
      <c r="BO583" t="s">
        <v>74</v>
      </c>
      <c r="BP583" t="s">
        <v>74</v>
      </c>
      <c r="BQ583" t="s">
        <v>74</v>
      </c>
      <c r="BR583" t="s">
        <v>106</v>
      </c>
      <c r="BS583" t="s">
        <v>11061</v>
      </c>
      <c r="BT583" t="str">
        <f>HYPERLINK("https%3A%2F%2Fwww.webofscience.com%2Fwos%2Fwoscc%2Ffull-record%2FWOS:000683732500003","View Full Record in Web of Science")</f>
        <v>View Full Record in Web of Science</v>
      </c>
    </row>
    <row r="584" spans="1:72" x14ac:dyDescent="0.15">
      <c r="A584" t="s">
        <v>4589</v>
      </c>
      <c r="B584" t="s">
        <v>5615</v>
      </c>
      <c r="C584" t="s">
        <v>74</v>
      </c>
      <c r="D584" t="s">
        <v>4591</v>
      </c>
      <c r="E584" t="s">
        <v>74</v>
      </c>
      <c r="F584" t="s">
        <v>5616</v>
      </c>
      <c r="G584" t="s">
        <v>74</v>
      </c>
      <c r="H584" t="s">
        <v>74</v>
      </c>
      <c r="I584" t="s">
        <v>11062</v>
      </c>
      <c r="J584" t="s">
        <v>4594</v>
      </c>
      <c r="K584" t="s">
        <v>4595</v>
      </c>
      <c r="L584" t="s">
        <v>74</v>
      </c>
      <c r="M584" t="s">
        <v>78</v>
      </c>
      <c r="N584" t="s">
        <v>4596</v>
      </c>
      <c r="O584" t="s">
        <v>74</v>
      </c>
      <c r="P584" t="s">
        <v>74</v>
      </c>
      <c r="Q584" t="s">
        <v>74</v>
      </c>
      <c r="R584" t="s">
        <v>74</v>
      </c>
      <c r="S584" t="s">
        <v>74</v>
      </c>
      <c r="T584" t="s">
        <v>74</v>
      </c>
      <c r="U584" t="s">
        <v>11063</v>
      </c>
      <c r="V584" t="s">
        <v>11064</v>
      </c>
      <c r="W584" t="s">
        <v>11065</v>
      </c>
      <c r="X584" t="s">
        <v>5621</v>
      </c>
      <c r="Y584" t="s">
        <v>11066</v>
      </c>
      <c r="Z584" t="s">
        <v>5622</v>
      </c>
      <c r="AA584" t="s">
        <v>74</v>
      </c>
      <c r="AB584" t="s">
        <v>5746</v>
      </c>
      <c r="AC584" t="s">
        <v>11067</v>
      </c>
      <c r="AD584" t="s">
        <v>11067</v>
      </c>
      <c r="AE584" t="s">
        <v>11068</v>
      </c>
      <c r="AF584" t="s">
        <v>74</v>
      </c>
      <c r="AG584">
        <v>261</v>
      </c>
      <c r="AH584">
        <v>9</v>
      </c>
      <c r="AI584">
        <v>9</v>
      </c>
      <c r="AJ584">
        <v>0</v>
      </c>
      <c r="AK584">
        <v>3</v>
      </c>
      <c r="AL584" t="s">
        <v>4607</v>
      </c>
      <c r="AM584" t="s">
        <v>1914</v>
      </c>
      <c r="AN584" t="s">
        <v>4608</v>
      </c>
      <c r="AO584" t="s">
        <v>4609</v>
      </c>
      <c r="AP584" t="s">
        <v>74</v>
      </c>
      <c r="AQ584" t="s">
        <v>4610</v>
      </c>
      <c r="AR584" t="s">
        <v>4611</v>
      </c>
      <c r="AS584" t="s">
        <v>74</v>
      </c>
      <c r="AT584" t="s">
        <v>74</v>
      </c>
      <c r="AU584">
        <v>2021</v>
      </c>
      <c r="AV584">
        <v>55</v>
      </c>
      <c r="AW584" t="s">
        <v>74</v>
      </c>
      <c r="AX584" t="s">
        <v>74</v>
      </c>
      <c r="AY584" t="s">
        <v>74</v>
      </c>
      <c r="AZ584" t="s">
        <v>74</v>
      </c>
      <c r="BA584" t="s">
        <v>74</v>
      </c>
      <c r="BB584">
        <v>19</v>
      </c>
      <c r="BC584">
        <v>42</v>
      </c>
      <c r="BD584" t="s">
        <v>74</v>
      </c>
      <c r="BE584" t="s">
        <v>11069</v>
      </c>
      <c r="BF584" t="str">
        <f>HYPERLINK("http://dx.doi.org/10.1144/M55-2020-1","http://dx.doi.org/10.1144/M55-2020-1")</f>
        <v>http://dx.doi.org/10.1144/M55-2020-1</v>
      </c>
      <c r="BG584" t="s">
        <v>4613</v>
      </c>
      <c r="BH584" t="s">
        <v>74</v>
      </c>
      <c r="BI584">
        <v>24</v>
      </c>
      <c r="BJ584" t="s">
        <v>4614</v>
      </c>
      <c r="BK584" t="s">
        <v>4615</v>
      </c>
      <c r="BL584" t="s">
        <v>4614</v>
      </c>
      <c r="BM584" t="s">
        <v>4616</v>
      </c>
      <c r="BN584" t="s">
        <v>74</v>
      </c>
      <c r="BO584" t="s">
        <v>74</v>
      </c>
      <c r="BP584" t="s">
        <v>74</v>
      </c>
      <c r="BQ584" t="s">
        <v>74</v>
      </c>
      <c r="BR584" t="s">
        <v>106</v>
      </c>
      <c r="BS584" t="s">
        <v>11070</v>
      </c>
      <c r="BT584" t="str">
        <f>HYPERLINK("https%3A%2F%2Fwww.webofscience.com%2Fwos%2Fwoscc%2Ffull-record%2FWOS:000683732500004","View Full Record in Web of Science")</f>
        <v>View Full Record in Web of Science</v>
      </c>
    </row>
    <row r="585" spans="1:72" x14ac:dyDescent="0.15">
      <c r="A585" t="s">
        <v>4589</v>
      </c>
      <c r="B585" t="s">
        <v>11071</v>
      </c>
      <c r="C585" t="s">
        <v>74</v>
      </c>
      <c r="D585" t="s">
        <v>4591</v>
      </c>
      <c r="E585" t="s">
        <v>74</v>
      </c>
      <c r="F585" t="s">
        <v>11072</v>
      </c>
      <c r="G585" t="s">
        <v>74</v>
      </c>
      <c r="H585" t="s">
        <v>74</v>
      </c>
      <c r="I585" t="s">
        <v>11073</v>
      </c>
      <c r="J585" t="s">
        <v>4594</v>
      </c>
      <c r="K585" t="s">
        <v>4595</v>
      </c>
      <c r="L585" t="s">
        <v>74</v>
      </c>
      <c r="M585" t="s">
        <v>78</v>
      </c>
      <c r="N585" t="s">
        <v>4596</v>
      </c>
      <c r="O585" t="s">
        <v>74</v>
      </c>
      <c r="P585" t="s">
        <v>74</v>
      </c>
      <c r="Q585" t="s">
        <v>74</v>
      </c>
      <c r="R585" t="s">
        <v>74</v>
      </c>
      <c r="S585" t="s">
        <v>74</v>
      </c>
      <c r="T585" t="s">
        <v>74</v>
      </c>
      <c r="U585" t="s">
        <v>11074</v>
      </c>
      <c r="V585" t="s">
        <v>11075</v>
      </c>
      <c r="W585" t="s">
        <v>11076</v>
      </c>
      <c r="X585" t="s">
        <v>11077</v>
      </c>
      <c r="Y585" t="s">
        <v>11078</v>
      </c>
      <c r="Z585" t="s">
        <v>11079</v>
      </c>
      <c r="AA585" t="s">
        <v>74</v>
      </c>
      <c r="AB585" t="s">
        <v>11080</v>
      </c>
      <c r="AC585" t="s">
        <v>11081</v>
      </c>
      <c r="AD585" t="s">
        <v>11081</v>
      </c>
      <c r="AE585" t="s">
        <v>11082</v>
      </c>
      <c r="AF585" t="s">
        <v>74</v>
      </c>
      <c r="AG585">
        <v>291</v>
      </c>
      <c r="AH585">
        <v>15</v>
      </c>
      <c r="AI585">
        <v>15</v>
      </c>
      <c r="AJ585">
        <v>0</v>
      </c>
      <c r="AK585">
        <v>1</v>
      </c>
      <c r="AL585" t="s">
        <v>4607</v>
      </c>
      <c r="AM585" t="s">
        <v>1914</v>
      </c>
      <c r="AN585" t="s">
        <v>4608</v>
      </c>
      <c r="AO585" t="s">
        <v>4609</v>
      </c>
      <c r="AP585" t="s">
        <v>74</v>
      </c>
      <c r="AQ585" t="s">
        <v>4610</v>
      </c>
      <c r="AR585" t="s">
        <v>4611</v>
      </c>
      <c r="AS585" t="s">
        <v>74</v>
      </c>
      <c r="AT585" t="s">
        <v>74</v>
      </c>
      <c r="AU585">
        <v>2021</v>
      </c>
      <c r="AV585">
        <v>55</v>
      </c>
      <c r="AW585" t="s">
        <v>74</v>
      </c>
      <c r="AX585" t="s">
        <v>74</v>
      </c>
      <c r="AY585" t="s">
        <v>74</v>
      </c>
      <c r="AZ585" t="s">
        <v>74</v>
      </c>
      <c r="BA585" t="s">
        <v>74</v>
      </c>
      <c r="BB585">
        <v>447</v>
      </c>
      <c r="BC585">
        <v>489</v>
      </c>
      <c r="BD585" t="s">
        <v>74</v>
      </c>
      <c r="BE585" t="s">
        <v>11083</v>
      </c>
      <c r="BF585" t="str">
        <f>HYPERLINK("http://dx.doi.org/10.1144/M55-2018-80","http://dx.doi.org/10.1144/M55-2018-80")</f>
        <v>http://dx.doi.org/10.1144/M55-2018-80</v>
      </c>
      <c r="BG585" t="s">
        <v>4613</v>
      </c>
      <c r="BH585" t="s">
        <v>74</v>
      </c>
      <c r="BI585">
        <v>43</v>
      </c>
      <c r="BJ585" t="s">
        <v>4614</v>
      </c>
      <c r="BK585" t="s">
        <v>4615</v>
      </c>
      <c r="BL585" t="s">
        <v>4614</v>
      </c>
      <c r="BM585" t="s">
        <v>4616</v>
      </c>
      <c r="BN585" t="s">
        <v>74</v>
      </c>
      <c r="BO585" t="s">
        <v>561</v>
      </c>
      <c r="BP585" t="s">
        <v>74</v>
      </c>
      <c r="BQ585" t="s">
        <v>74</v>
      </c>
      <c r="BR585" t="s">
        <v>106</v>
      </c>
      <c r="BS585" t="s">
        <v>11084</v>
      </c>
      <c r="BT585" t="str">
        <f>HYPERLINK("https%3A%2F%2Fwww.webofscience.com%2Fwos%2Fwoscc%2Ffull-record%2FWOS:000683732500025","View Full Record in Web of Science")</f>
        <v>View Full Record in Web of Science</v>
      </c>
    </row>
    <row r="586" spans="1:72" x14ac:dyDescent="0.15">
      <c r="A586" t="s">
        <v>4589</v>
      </c>
      <c r="B586" t="s">
        <v>11085</v>
      </c>
      <c r="C586" t="s">
        <v>74</v>
      </c>
      <c r="D586" t="s">
        <v>4591</v>
      </c>
      <c r="E586" t="s">
        <v>74</v>
      </c>
      <c r="F586" t="s">
        <v>11086</v>
      </c>
      <c r="G586" t="s">
        <v>74</v>
      </c>
      <c r="H586" t="s">
        <v>74</v>
      </c>
      <c r="I586" t="s">
        <v>11087</v>
      </c>
      <c r="J586" t="s">
        <v>4594</v>
      </c>
      <c r="K586" t="s">
        <v>4595</v>
      </c>
      <c r="L586" t="s">
        <v>74</v>
      </c>
      <c r="M586" t="s">
        <v>78</v>
      </c>
      <c r="N586" t="s">
        <v>4596</v>
      </c>
      <c r="O586" t="s">
        <v>74</v>
      </c>
      <c r="P586" t="s">
        <v>74</v>
      </c>
      <c r="Q586" t="s">
        <v>74</v>
      </c>
      <c r="R586" t="s">
        <v>74</v>
      </c>
      <c r="S586" t="s">
        <v>74</v>
      </c>
      <c r="T586" t="s">
        <v>74</v>
      </c>
      <c r="U586" t="s">
        <v>11088</v>
      </c>
      <c r="V586" t="s">
        <v>11089</v>
      </c>
      <c r="W586" t="s">
        <v>11090</v>
      </c>
      <c r="X586" t="s">
        <v>11091</v>
      </c>
      <c r="Y586" t="s">
        <v>5694</v>
      </c>
      <c r="Z586" t="s">
        <v>5695</v>
      </c>
      <c r="AA586" t="s">
        <v>4603</v>
      </c>
      <c r="AB586" t="s">
        <v>5696</v>
      </c>
      <c r="AC586" t="s">
        <v>11092</v>
      </c>
      <c r="AD586" t="s">
        <v>11093</v>
      </c>
      <c r="AE586" t="s">
        <v>11094</v>
      </c>
      <c r="AF586" t="s">
        <v>74</v>
      </c>
      <c r="AG586">
        <v>86</v>
      </c>
      <c r="AH586">
        <v>5</v>
      </c>
      <c r="AI586">
        <v>5</v>
      </c>
      <c r="AJ586">
        <v>0</v>
      </c>
      <c r="AK586">
        <v>0</v>
      </c>
      <c r="AL586" t="s">
        <v>4607</v>
      </c>
      <c r="AM586" t="s">
        <v>1914</v>
      </c>
      <c r="AN586" t="s">
        <v>4608</v>
      </c>
      <c r="AO586" t="s">
        <v>4609</v>
      </c>
      <c r="AP586" t="s">
        <v>74</v>
      </c>
      <c r="AQ586" t="s">
        <v>4610</v>
      </c>
      <c r="AR586" t="s">
        <v>4611</v>
      </c>
      <c r="AS586" t="s">
        <v>74</v>
      </c>
      <c r="AT586" t="s">
        <v>74</v>
      </c>
      <c r="AU586">
        <v>2021</v>
      </c>
      <c r="AV586">
        <v>55</v>
      </c>
      <c r="AW586" t="s">
        <v>74</v>
      </c>
      <c r="AX586" t="s">
        <v>74</v>
      </c>
      <c r="AY586" t="s">
        <v>74</v>
      </c>
      <c r="AZ586" t="s">
        <v>74</v>
      </c>
      <c r="BA586" t="s">
        <v>74</v>
      </c>
      <c r="BB586">
        <v>499</v>
      </c>
      <c r="BC586">
        <v>514</v>
      </c>
      <c r="BD586" t="s">
        <v>74</v>
      </c>
      <c r="BE586" t="s">
        <v>11095</v>
      </c>
      <c r="BF586" t="str">
        <f>HYPERLINK("http://dx.doi.org/10.1144/M55-2019-2","http://dx.doi.org/10.1144/M55-2019-2")</f>
        <v>http://dx.doi.org/10.1144/M55-2019-2</v>
      </c>
      <c r="BG586" t="s">
        <v>4613</v>
      </c>
      <c r="BH586" t="s">
        <v>74</v>
      </c>
      <c r="BI586">
        <v>16</v>
      </c>
      <c r="BJ586" t="s">
        <v>4614</v>
      </c>
      <c r="BK586" t="s">
        <v>4615</v>
      </c>
      <c r="BL586" t="s">
        <v>4614</v>
      </c>
      <c r="BM586" t="s">
        <v>4616</v>
      </c>
      <c r="BN586" t="s">
        <v>74</v>
      </c>
      <c r="BO586" t="s">
        <v>74</v>
      </c>
      <c r="BP586" t="s">
        <v>74</v>
      </c>
      <c r="BQ586" t="s">
        <v>74</v>
      </c>
      <c r="BR586" t="s">
        <v>106</v>
      </c>
      <c r="BS586" t="s">
        <v>11096</v>
      </c>
      <c r="BT586" t="str">
        <f>HYPERLINK("https%3A%2F%2Fwww.webofscience.com%2Fwos%2Fwoscc%2Ffull-record%2FWOS:000683732500027","View Full Record in Web of Science")</f>
        <v>View Full Record in Web of Science</v>
      </c>
    </row>
    <row r="587" spans="1:72" x14ac:dyDescent="0.15">
      <c r="A587" t="s">
        <v>72</v>
      </c>
      <c r="B587" t="s">
        <v>11097</v>
      </c>
      <c r="C587" t="s">
        <v>74</v>
      </c>
      <c r="D587" t="s">
        <v>74</v>
      </c>
      <c r="E587" t="s">
        <v>74</v>
      </c>
      <c r="F587" t="s">
        <v>11098</v>
      </c>
      <c r="G587" t="s">
        <v>74</v>
      </c>
      <c r="H587" t="s">
        <v>11099</v>
      </c>
      <c r="I587" t="s">
        <v>11100</v>
      </c>
      <c r="J587" t="s">
        <v>1737</v>
      </c>
      <c r="K587" t="s">
        <v>74</v>
      </c>
      <c r="L587" t="s">
        <v>74</v>
      </c>
      <c r="M587" t="s">
        <v>78</v>
      </c>
      <c r="N587" t="s">
        <v>79</v>
      </c>
      <c r="O587" t="s">
        <v>74</v>
      </c>
      <c r="P587" t="s">
        <v>74</v>
      </c>
      <c r="Q587" t="s">
        <v>74</v>
      </c>
      <c r="R587" t="s">
        <v>74</v>
      </c>
      <c r="S587" t="s">
        <v>74</v>
      </c>
      <c r="T587" t="s">
        <v>11101</v>
      </c>
      <c r="U587" t="s">
        <v>11102</v>
      </c>
      <c r="V587" t="s">
        <v>11103</v>
      </c>
      <c r="W587" t="s">
        <v>11104</v>
      </c>
      <c r="X587" t="s">
        <v>11105</v>
      </c>
      <c r="Y587" t="s">
        <v>11106</v>
      </c>
      <c r="Z587" t="s">
        <v>11107</v>
      </c>
      <c r="AA587" t="s">
        <v>11108</v>
      </c>
      <c r="AB587" t="s">
        <v>11109</v>
      </c>
      <c r="AC587" t="s">
        <v>11110</v>
      </c>
      <c r="AD587" t="s">
        <v>11111</v>
      </c>
      <c r="AE587" t="s">
        <v>11112</v>
      </c>
      <c r="AF587" t="s">
        <v>74</v>
      </c>
      <c r="AG587">
        <v>49</v>
      </c>
      <c r="AH587">
        <v>15</v>
      </c>
      <c r="AI587">
        <v>17</v>
      </c>
      <c r="AJ587">
        <v>2</v>
      </c>
      <c r="AK587">
        <v>15</v>
      </c>
      <c r="AL587" t="s">
        <v>92</v>
      </c>
      <c r="AM587" t="s">
        <v>93</v>
      </c>
      <c r="AN587" t="s">
        <v>94</v>
      </c>
      <c r="AO587" t="s">
        <v>1749</v>
      </c>
      <c r="AP587" t="s">
        <v>1750</v>
      </c>
      <c r="AQ587" t="s">
        <v>74</v>
      </c>
      <c r="AR587" t="s">
        <v>1751</v>
      </c>
      <c r="AS587" t="s">
        <v>1752</v>
      </c>
      <c r="AT587" t="s">
        <v>6088</v>
      </c>
      <c r="AU587">
        <v>2021</v>
      </c>
      <c r="AV587">
        <v>553</v>
      </c>
      <c r="AW587" t="s">
        <v>74</v>
      </c>
      <c r="AX587" t="s">
        <v>74</v>
      </c>
      <c r="AY587" t="s">
        <v>74</v>
      </c>
      <c r="AZ587" t="s">
        <v>74</v>
      </c>
      <c r="BA587" t="s">
        <v>74</v>
      </c>
      <c r="BB587" t="s">
        <v>74</v>
      </c>
      <c r="BC587" t="s">
        <v>74</v>
      </c>
      <c r="BD587">
        <v>116657</v>
      </c>
      <c r="BE587" t="s">
        <v>11113</v>
      </c>
      <c r="BF587" t="str">
        <f>HYPERLINK("http://dx.doi.org/10.1016/j.epsl.2020.116657","http://dx.doi.org/10.1016/j.epsl.2020.116657")</f>
        <v>http://dx.doi.org/10.1016/j.epsl.2020.116657</v>
      </c>
      <c r="BG587" t="s">
        <v>74</v>
      </c>
      <c r="BH587" t="s">
        <v>74</v>
      </c>
      <c r="BI587">
        <v>15</v>
      </c>
      <c r="BJ587" t="s">
        <v>426</v>
      </c>
      <c r="BK587" t="s">
        <v>103</v>
      </c>
      <c r="BL587" t="s">
        <v>426</v>
      </c>
      <c r="BM587" t="s">
        <v>11114</v>
      </c>
      <c r="BN587" t="s">
        <v>74</v>
      </c>
      <c r="BO587" t="s">
        <v>985</v>
      </c>
      <c r="BP587" t="s">
        <v>74</v>
      </c>
      <c r="BQ587" t="s">
        <v>74</v>
      </c>
      <c r="BR587" t="s">
        <v>106</v>
      </c>
      <c r="BS587" t="s">
        <v>11115</v>
      </c>
      <c r="BT587" t="str">
        <f>HYPERLINK("https%3A%2F%2Fwww.webofscience.com%2Fwos%2Fwoscc%2Ffull-record%2FWOS:000593204200027","View Full Record in Web of Science")</f>
        <v>View Full Record in Web of Science</v>
      </c>
    </row>
    <row r="588" spans="1:72" x14ac:dyDescent="0.15">
      <c r="A588" t="s">
        <v>72</v>
      </c>
      <c r="B588" t="s">
        <v>11116</v>
      </c>
      <c r="C588" t="s">
        <v>74</v>
      </c>
      <c r="D588" t="s">
        <v>74</v>
      </c>
      <c r="E588" t="s">
        <v>74</v>
      </c>
      <c r="F588" t="s">
        <v>11117</v>
      </c>
      <c r="G588" t="s">
        <v>74</v>
      </c>
      <c r="H588" t="s">
        <v>74</v>
      </c>
      <c r="I588" t="s">
        <v>11118</v>
      </c>
      <c r="J588" t="s">
        <v>11119</v>
      </c>
      <c r="K588" t="s">
        <v>74</v>
      </c>
      <c r="L588" t="s">
        <v>74</v>
      </c>
      <c r="M588" t="s">
        <v>78</v>
      </c>
      <c r="N588" t="s">
        <v>79</v>
      </c>
      <c r="O588" t="s">
        <v>74</v>
      </c>
      <c r="P588" t="s">
        <v>74</v>
      </c>
      <c r="Q588" t="s">
        <v>74</v>
      </c>
      <c r="R588" t="s">
        <v>74</v>
      </c>
      <c r="S588" t="s">
        <v>74</v>
      </c>
      <c r="T588" t="s">
        <v>11120</v>
      </c>
      <c r="U588" t="s">
        <v>11121</v>
      </c>
      <c r="V588" t="s">
        <v>11122</v>
      </c>
      <c r="W588" t="s">
        <v>11123</v>
      </c>
      <c r="X588" t="s">
        <v>11124</v>
      </c>
      <c r="Y588" t="s">
        <v>11125</v>
      </c>
      <c r="Z588" t="s">
        <v>11126</v>
      </c>
      <c r="AA588" t="s">
        <v>11127</v>
      </c>
      <c r="AB588" t="s">
        <v>11128</v>
      </c>
      <c r="AC588" t="s">
        <v>74</v>
      </c>
      <c r="AD588" t="s">
        <v>74</v>
      </c>
      <c r="AE588" t="s">
        <v>74</v>
      </c>
      <c r="AF588" t="s">
        <v>74</v>
      </c>
      <c r="AG588">
        <v>54</v>
      </c>
      <c r="AH588">
        <v>50</v>
      </c>
      <c r="AI588">
        <v>51</v>
      </c>
      <c r="AJ588">
        <v>5</v>
      </c>
      <c r="AK588">
        <v>44</v>
      </c>
      <c r="AL588" t="s">
        <v>92</v>
      </c>
      <c r="AM588" t="s">
        <v>93</v>
      </c>
      <c r="AN588" t="s">
        <v>94</v>
      </c>
      <c r="AO588" t="s">
        <v>11129</v>
      </c>
      <c r="AP588" t="s">
        <v>11130</v>
      </c>
      <c r="AQ588" t="s">
        <v>74</v>
      </c>
      <c r="AR588" t="s">
        <v>11131</v>
      </c>
      <c r="AS588" t="s">
        <v>11132</v>
      </c>
      <c r="AT588" t="s">
        <v>374</v>
      </c>
      <c r="AU588">
        <v>2021</v>
      </c>
      <c r="AV588">
        <v>120</v>
      </c>
      <c r="AW588" t="s">
        <v>74</v>
      </c>
      <c r="AX588" t="s">
        <v>74</v>
      </c>
      <c r="AY588" t="s">
        <v>74</v>
      </c>
      <c r="AZ588" t="s">
        <v>74</v>
      </c>
      <c r="BA588" t="s">
        <v>74</v>
      </c>
      <c r="BB588" t="s">
        <v>74</v>
      </c>
      <c r="BC588" t="s">
        <v>74</v>
      </c>
      <c r="BD588">
        <v>106876</v>
      </c>
      <c r="BE588" t="s">
        <v>11133</v>
      </c>
      <c r="BF588" t="str">
        <f>HYPERLINK("http://dx.doi.org/10.1016/j.ecolind.2020.106876","http://dx.doi.org/10.1016/j.ecolind.2020.106876")</f>
        <v>http://dx.doi.org/10.1016/j.ecolind.2020.106876</v>
      </c>
      <c r="BG588" t="s">
        <v>74</v>
      </c>
      <c r="BH588" t="s">
        <v>74</v>
      </c>
      <c r="BI588">
        <v>9</v>
      </c>
      <c r="BJ588" t="s">
        <v>11134</v>
      </c>
      <c r="BK588" t="s">
        <v>103</v>
      </c>
      <c r="BL588" t="s">
        <v>1053</v>
      </c>
      <c r="BM588" t="s">
        <v>11135</v>
      </c>
      <c r="BN588" t="s">
        <v>74</v>
      </c>
      <c r="BO588" t="s">
        <v>326</v>
      </c>
      <c r="BP588" t="s">
        <v>74</v>
      </c>
      <c r="BQ588" t="s">
        <v>74</v>
      </c>
      <c r="BR588" t="s">
        <v>106</v>
      </c>
      <c r="BS588" t="s">
        <v>11136</v>
      </c>
      <c r="BT588" t="str">
        <f>HYPERLINK("https%3A%2F%2Fwww.webofscience.com%2Fwos%2Fwoscc%2Ffull-record%2FWOS:000591897500002","View Full Record in Web of Science")</f>
        <v>View Full Record in Web of Science</v>
      </c>
    </row>
    <row r="589" spans="1:72" x14ac:dyDescent="0.15">
      <c r="A589" t="s">
        <v>72</v>
      </c>
      <c r="B589" t="s">
        <v>11137</v>
      </c>
      <c r="C589" t="s">
        <v>74</v>
      </c>
      <c r="D589" t="s">
        <v>74</v>
      </c>
      <c r="E589" t="s">
        <v>74</v>
      </c>
      <c r="F589" t="s">
        <v>11138</v>
      </c>
      <c r="G589" t="s">
        <v>74</v>
      </c>
      <c r="H589" t="s">
        <v>74</v>
      </c>
      <c r="I589" t="s">
        <v>11139</v>
      </c>
      <c r="J589" t="s">
        <v>77</v>
      </c>
      <c r="K589" t="s">
        <v>74</v>
      </c>
      <c r="L589" t="s">
        <v>74</v>
      </c>
      <c r="M589" t="s">
        <v>78</v>
      </c>
      <c r="N589" t="s">
        <v>79</v>
      </c>
      <c r="O589" t="s">
        <v>74</v>
      </c>
      <c r="P589" t="s">
        <v>74</v>
      </c>
      <c r="Q589" t="s">
        <v>74</v>
      </c>
      <c r="R589" t="s">
        <v>74</v>
      </c>
      <c r="S589" t="s">
        <v>74</v>
      </c>
      <c r="T589" t="s">
        <v>11140</v>
      </c>
      <c r="U589" t="s">
        <v>11141</v>
      </c>
      <c r="V589" t="s">
        <v>11142</v>
      </c>
      <c r="W589" t="s">
        <v>11143</v>
      </c>
      <c r="X589" t="s">
        <v>11144</v>
      </c>
      <c r="Y589" t="s">
        <v>11145</v>
      </c>
      <c r="Z589" t="s">
        <v>11146</v>
      </c>
      <c r="AA589" t="s">
        <v>11147</v>
      </c>
      <c r="AB589" t="s">
        <v>11148</v>
      </c>
      <c r="AC589" t="s">
        <v>11149</v>
      </c>
      <c r="AD589" t="s">
        <v>11150</v>
      </c>
      <c r="AE589" t="s">
        <v>11151</v>
      </c>
      <c r="AF589" t="s">
        <v>74</v>
      </c>
      <c r="AG589">
        <v>58</v>
      </c>
      <c r="AH589">
        <v>5</v>
      </c>
      <c r="AI589">
        <v>5</v>
      </c>
      <c r="AJ589">
        <v>7</v>
      </c>
      <c r="AK589">
        <v>55</v>
      </c>
      <c r="AL589" t="s">
        <v>92</v>
      </c>
      <c r="AM589" t="s">
        <v>93</v>
      </c>
      <c r="AN589" t="s">
        <v>94</v>
      </c>
      <c r="AO589" t="s">
        <v>95</v>
      </c>
      <c r="AP589" t="s">
        <v>96</v>
      </c>
      <c r="AQ589" t="s">
        <v>74</v>
      </c>
      <c r="AR589" t="s">
        <v>97</v>
      </c>
      <c r="AS589" t="s">
        <v>98</v>
      </c>
      <c r="AT589" t="s">
        <v>6088</v>
      </c>
      <c r="AU589">
        <v>2021</v>
      </c>
      <c r="AV589">
        <v>750</v>
      </c>
      <c r="AW589" t="s">
        <v>74</v>
      </c>
      <c r="AX589" t="s">
        <v>74</v>
      </c>
      <c r="AY589" t="s">
        <v>74</v>
      </c>
      <c r="AZ589" t="s">
        <v>74</v>
      </c>
      <c r="BA589" t="s">
        <v>74</v>
      </c>
      <c r="BB589" t="s">
        <v>74</v>
      </c>
      <c r="BC589" t="s">
        <v>74</v>
      </c>
      <c r="BD589">
        <v>141602</v>
      </c>
      <c r="BE589" t="s">
        <v>11152</v>
      </c>
      <c r="BF589" t="str">
        <f>HYPERLINK("http://dx.doi.org/10.1016/j.scitotenv.2020.141602","http://dx.doi.org/10.1016/j.scitotenv.2020.141602")</f>
        <v>http://dx.doi.org/10.1016/j.scitotenv.2020.141602</v>
      </c>
      <c r="BG589" t="s">
        <v>74</v>
      </c>
      <c r="BH589" t="s">
        <v>74</v>
      </c>
      <c r="BI589">
        <v>10</v>
      </c>
      <c r="BJ589" t="s">
        <v>102</v>
      </c>
      <c r="BK589" t="s">
        <v>103</v>
      </c>
      <c r="BL589" t="s">
        <v>104</v>
      </c>
      <c r="BM589" t="s">
        <v>11153</v>
      </c>
      <c r="BN589">
        <v>32882495</v>
      </c>
      <c r="BO589" t="s">
        <v>561</v>
      </c>
      <c r="BP589" t="s">
        <v>74</v>
      </c>
      <c r="BQ589" t="s">
        <v>74</v>
      </c>
      <c r="BR589" t="s">
        <v>106</v>
      </c>
      <c r="BS589" t="s">
        <v>11154</v>
      </c>
      <c r="BT589" t="str">
        <f>HYPERLINK("https%3A%2F%2Fwww.webofscience.com%2Fwos%2Fwoscc%2Ffull-record%2FWOS:000585694600062","View Full Record in Web of Science")</f>
        <v>View Full Record in Web of Science</v>
      </c>
    </row>
    <row r="590" spans="1:72" x14ac:dyDescent="0.15">
      <c r="A590" t="s">
        <v>72</v>
      </c>
      <c r="B590" t="s">
        <v>11155</v>
      </c>
      <c r="C590" t="s">
        <v>74</v>
      </c>
      <c r="D590" t="s">
        <v>74</v>
      </c>
      <c r="E590" t="s">
        <v>74</v>
      </c>
      <c r="F590" t="s">
        <v>11156</v>
      </c>
      <c r="G590" t="s">
        <v>74</v>
      </c>
      <c r="H590" t="s">
        <v>74</v>
      </c>
      <c r="I590" t="s">
        <v>11157</v>
      </c>
      <c r="J590" t="s">
        <v>8445</v>
      </c>
      <c r="K590" t="s">
        <v>74</v>
      </c>
      <c r="L590" t="s">
        <v>74</v>
      </c>
      <c r="M590" t="s">
        <v>78</v>
      </c>
      <c r="N590" t="s">
        <v>79</v>
      </c>
      <c r="O590" t="s">
        <v>74</v>
      </c>
      <c r="P590" t="s">
        <v>74</v>
      </c>
      <c r="Q590" t="s">
        <v>74</v>
      </c>
      <c r="R590" t="s">
        <v>74</v>
      </c>
      <c r="S590" t="s">
        <v>74</v>
      </c>
      <c r="T590" t="s">
        <v>11158</v>
      </c>
      <c r="U590" t="s">
        <v>11159</v>
      </c>
      <c r="V590" t="s">
        <v>11160</v>
      </c>
      <c r="W590" t="s">
        <v>11161</v>
      </c>
      <c r="X590" t="s">
        <v>11162</v>
      </c>
      <c r="Y590" t="s">
        <v>11163</v>
      </c>
      <c r="Z590" t="s">
        <v>11164</v>
      </c>
      <c r="AA590" t="s">
        <v>11165</v>
      </c>
      <c r="AB590" t="s">
        <v>11166</v>
      </c>
      <c r="AC590" t="s">
        <v>74</v>
      </c>
      <c r="AD590" t="s">
        <v>74</v>
      </c>
      <c r="AE590" t="s">
        <v>74</v>
      </c>
      <c r="AF590" t="s">
        <v>74</v>
      </c>
      <c r="AG590">
        <v>70</v>
      </c>
      <c r="AH590">
        <v>13</v>
      </c>
      <c r="AI590">
        <v>13</v>
      </c>
      <c r="AJ590">
        <v>0</v>
      </c>
      <c r="AK590">
        <v>8</v>
      </c>
      <c r="AL590" t="s">
        <v>92</v>
      </c>
      <c r="AM590" t="s">
        <v>93</v>
      </c>
      <c r="AN590" t="s">
        <v>94</v>
      </c>
      <c r="AO590" t="s">
        <v>8457</v>
      </c>
      <c r="AP590" t="s">
        <v>8458</v>
      </c>
      <c r="AQ590" t="s">
        <v>74</v>
      </c>
      <c r="AR590" t="s">
        <v>8459</v>
      </c>
      <c r="AS590" t="s">
        <v>8460</v>
      </c>
      <c r="AT590" t="s">
        <v>374</v>
      </c>
      <c r="AU590">
        <v>2021</v>
      </c>
      <c r="AV590">
        <v>89</v>
      </c>
      <c r="AW590" t="s">
        <v>74</v>
      </c>
      <c r="AX590" t="s">
        <v>74</v>
      </c>
      <c r="AY590" t="s">
        <v>74</v>
      </c>
      <c r="AZ590" t="s">
        <v>74</v>
      </c>
      <c r="BA590" t="s">
        <v>74</v>
      </c>
      <c r="BB590">
        <v>1</v>
      </c>
      <c r="BC590">
        <v>18</v>
      </c>
      <c r="BD590" t="s">
        <v>74</v>
      </c>
      <c r="BE590" t="s">
        <v>74</v>
      </c>
      <c r="BF590" t="s">
        <v>74</v>
      </c>
      <c r="BG590" t="s">
        <v>74</v>
      </c>
      <c r="BH590" t="s">
        <v>74</v>
      </c>
      <c r="BI590">
        <v>18</v>
      </c>
      <c r="BJ590" t="s">
        <v>401</v>
      </c>
      <c r="BK590" t="s">
        <v>103</v>
      </c>
      <c r="BL590" t="s">
        <v>402</v>
      </c>
      <c r="BM590" t="s">
        <v>11167</v>
      </c>
      <c r="BN590" t="s">
        <v>74</v>
      </c>
      <c r="BO590" t="s">
        <v>74</v>
      </c>
      <c r="BP590" t="s">
        <v>74</v>
      </c>
      <c r="BQ590" t="s">
        <v>74</v>
      </c>
      <c r="BR590" t="s">
        <v>106</v>
      </c>
      <c r="BS590" t="s">
        <v>11168</v>
      </c>
      <c r="BT590" t="str">
        <f>HYPERLINK("https%3A%2F%2Fwww.webofscience.com%2Fwos%2Fwoscc%2Ffull-record%2FWOS:000593760600001","View Full Record in Web of Science")</f>
        <v>View Full Record in Web of Science</v>
      </c>
    </row>
    <row r="591" spans="1:72" x14ac:dyDescent="0.15">
      <c r="A591" t="s">
        <v>72</v>
      </c>
      <c r="B591" t="s">
        <v>11169</v>
      </c>
      <c r="C591" t="s">
        <v>74</v>
      </c>
      <c r="D591" t="s">
        <v>74</v>
      </c>
      <c r="E591" t="s">
        <v>74</v>
      </c>
      <c r="F591" t="s">
        <v>11170</v>
      </c>
      <c r="G591" t="s">
        <v>74</v>
      </c>
      <c r="H591" t="s">
        <v>74</v>
      </c>
      <c r="I591" t="s">
        <v>11171</v>
      </c>
      <c r="J591" t="s">
        <v>11172</v>
      </c>
      <c r="K591" t="s">
        <v>74</v>
      </c>
      <c r="L591" t="s">
        <v>74</v>
      </c>
      <c r="M591" t="s">
        <v>78</v>
      </c>
      <c r="N591" t="s">
        <v>79</v>
      </c>
      <c r="O591" t="s">
        <v>74</v>
      </c>
      <c r="P591" t="s">
        <v>74</v>
      </c>
      <c r="Q591" t="s">
        <v>74</v>
      </c>
      <c r="R591" t="s">
        <v>74</v>
      </c>
      <c r="S591" t="s">
        <v>74</v>
      </c>
      <c r="T591" t="s">
        <v>11173</v>
      </c>
      <c r="U591" t="s">
        <v>11174</v>
      </c>
      <c r="V591" t="s">
        <v>11175</v>
      </c>
      <c r="W591" t="s">
        <v>11176</v>
      </c>
      <c r="X591" t="s">
        <v>11177</v>
      </c>
      <c r="Y591" t="s">
        <v>11178</v>
      </c>
      <c r="Z591" t="s">
        <v>11179</v>
      </c>
      <c r="AA591" t="s">
        <v>74</v>
      </c>
      <c r="AB591" t="s">
        <v>11180</v>
      </c>
      <c r="AC591" t="s">
        <v>11181</v>
      </c>
      <c r="AD591" t="s">
        <v>11182</v>
      </c>
      <c r="AE591" t="s">
        <v>11183</v>
      </c>
      <c r="AF591" t="s">
        <v>74</v>
      </c>
      <c r="AG591">
        <v>37</v>
      </c>
      <c r="AH591">
        <v>5</v>
      </c>
      <c r="AI591">
        <v>6</v>
      </c>
      <c r="AJ591">
        <v>7</v>
      </c>
      <c r="AK591">
        <v>34</v>
      </c>
      <c r="AL591" t="s">
        <v>418</v>
      </c>
      <c r="AM591" t="s">
        <v>178</v>
      </c>
      <c r="AN591" t="s">
        <v>419</v>
      </c>
      <c r="AO591" t="s">
        <v>11184</v>
      </c>
      <c r="AP591" t="s">
        <v>11185</v>
      </c>
      <c r="AQ591" t="s">
        <v>74</v>
      </c>
      <c r="AR591" t="s">
        <v>11186</v>
      </c>
      <c r="AS591" t="s">
        <v>11187</v>
      </c>
      <c r="AT591" t="s">
        <v>6088</v>
      </c>
      <c r="AU591">
        <v>2021</v>
      </c>
      <c r="AV591">
        <v>244</v>
      </c>
      <c r="AW591" t="s">
        <v>74</v>
      </c>
      <c r="AX591" t="s">
        <v>74</v>
      </c>
      <c r="AY591" t="s">
        <v>74</v>
      </c>
      <c r="AZ591" t="s">
        <v>74</v>
      </c>
      <c r="BA591" t="s">
        <v>74</v>
      </c>
      <c r="BB591" t="s">
        <v>74</v>
      </c>
      <c r="BC591" t="s">
        <v>74</v>
      </c>
      <c r="BD591">
        <v>117973</v>
      </c>
      <c r="BE591" t="s">
        <v>11188</v>
      </c>
      <c r="BF591" t="str">
        <f>HYPERLINK("http://dx.doi.org/10.1016/j.atmosenv.2020.117973","http://dx.doi.org/10.1016/j.atmosenv.2020.117973")</f>
        <v>http://dx.doi.org/10.1016/j.atmosenv.2020.117973</v>
      </c>
      <c r="BG591" t="s">
        <v>74</v>
      </c>
      <c r="BH591" t="s">
        <v>74</v>
      </c>
      <c r="BI591">
        <v>9</v>
      </c>
      <c r="BJ591" t="s">
        <v>132</v>
      </c>
      <c r="BK591" t="s">
        <v>103</v>
      </c>
      <c r="BL591" t="s">
        <v>133</v>
      </c>
      <c r="BM591" t="s">
        <v>11189</v>
      </c>
      <c r="BN591" t="s">
        <v>74</v>
      </c>
      <c r="BO591" t="s">
        <v>218</v>
      </c>
      <c r="BP591" t="s">
        <v>74</v>
      </c>
      <c r="BQ591" t="s">
        <v>74</v>
      </c>
      <c r="BR591" t="s">
        <v>106</v>
      </c>
      <c r="BS591" t="s">
        <v>11190</v>
      </c>
      <c r="BT591" t="str">
        <f>HYPERLINK("https%3A%2F%2Fwww.webofscience.com%2Fwos%2Fwoscc%2Ffull-record%2FWOS:000591736200005","View Full Record in Web of Science")</f>
        <v>View Full Record in Web of Science</v>
      </c>
    </row>
    <row r="592" spans="1:72" x14ac:dyDescent="0.15">
      <c r="A592" t="s">
        <v>72</v>
      </c>
      <c r="B592" t="s">
        <v>11191</v>
      </c>
      <c r="C592" t="s">
        <v>74</v>
      </c>
      <c r="D592" t="s">
        <v>74</v>
      </c>
      <c r="E592" t="s">
        <v>74</v>
      </c>
      <c r="F592" t="s">
        <v>11192</v>
      </c>
      <c r="G592" t="s">
        <v>74</v>
      </c>
      <c r="H592" t="s">
        <v>74</v>
      </c>
      <c r="I592" t="s">
        <v>11193</v>
      </c>
      <c r="J592" t="s">
        <v>1237</v>
      </c>
      <c r="K592" t="s">
        <v>74</v>
      </c>
      <c r="L592" t="s">
        <v>74</v>
      </c>
      <c r="M592" t="s">
        <v>78</v>
      </c>
      <c r="N592" t="s">
        <v>79</v>
      </c>
      <c r="O592" t="s">
        <v>74</v>
      </c>
      <c r="P592" t="s">
        <v>74</v>
      </c>
      <c r="Q592" t="s">
        <v>74</v>
      </c>
      <c r="R592" t="s">
        <v>74</v>
      </c>
      <c r="S592" t="s">
        <v>74</v>
      </c>
      <c r="T592" t="s">
        <v>11194</v>
      </c>
      <c r="U592" t="s">
        <v>11195</v>
      </c>
      <c r="V592" t="s">
        <v>11196</v>
      </c>
      <c r="W592" t="s">
        <v>11197</v>
      </c>
      <c r="X592" t="s">
        <v>11198</v>
      </c>
      <c r="Y592" t="s">
        <v>11199</v>
      </c>
      <c r="Z592" t="s">
        <v>11200</v>
      </c>
      <c r="AA592" t="s">
        <v>11201</v>
      </c>
      <c r="AB592" t="s">
        <v>11202</v>
      </c>
      <c r="AC592" t="s">
        <v>11203</v>
      </c>
      <c r="AD592" t="s">
        <v>11204</v>
      </c>
      <c r="AE592" t="s">
        <v>11205</v>
      </c>
      <c r="AF592" t="s">
        <v>74</v>
      </c>
      <c r="AG592">
        <v>57</v>
      </c>
      <c r="AH592">
        <v>22</v>
      </c>
      <c r="AI592">
        <v>23</v>
      </c>
      <c r="AJ592">
        <v>5</v>
      </c>
      <c r="AK592">
        <v>64</v>
      </c>
      <c r="AL592" t="s">
        <v>418</v>
      </c>
      <c r="AM592" t="s">
        <v>178</v>
      </c>
      <c r="AN592" t="s">
        <v>419</v>
      </c>
      <c r="AO592" t="s">
        <v>1250</v>
      </c>
      <c r="AP592" t="s">
        <v>1251</v>
      </c>
      <c r="AQ592" t="s">
        <v>74</v>
      </c>
      <c r="AR592" t="s">
        <v>1237</v>
      </c>
      <c r="AS592" t="s">
        <v>1252</v>
      </c>
      <c r="AT592" t="s">
        <v>374</v>
      </c>
      <c r="AU592">
        <v>2021</v>
      </c>
      <c r="AV592">
        <v>262</v>
      </c>
      <c r="AW592" t="s">
        <v>74</v>
      </c>
      <c r="AX592" t="s">
        <v>74</v>
      </c>
      <c r="AY592" t="s">
        <v>74</v>
      </c>
      <c r="AZ592" t="s">
        <v>74</v>
      </c>
      <c r="BA592" t="s">
        <v>74</v>
      </c>
      <c r="BB592" t="s">
        <v>74</v>
      </c>
      <c r="BC592" t="s">
        <v>74</v>
      </c>
      <c r="BD592">
        <v>128360</v>
      </c>
      <c r="BE592" t="s">
        <v>11206</v>
      </c>
      <c r="BF592" t="str">
        <f>HYPERLINK("http://dx.doi.org/10.1016/j.chemosphere.2020.128360","http://dx.doi.org/10.1016/j.chemosphere.2020.128360")</f>
        <v>http://dx.doi.org/10.1016/j.chemosphere.2020.128360</v>
      </c>
      <c r="BG592" t="s">
        <v>74</v>
      </c>
      <c r="BH592" t="s">
        <v>74</v>
      </c>
      <c r="BI592">
        <v>12</v>
      </c>
      <c r="BJ592" t="s">
        <v>102</v>
      </c>
      <c r="BK592" t="s">
        <v>103</v>
      </c>
      <c r="BL592" t="s">
        <v>104</v>
      </c>
      <c r="BM592" t="s">
        <v>11207</v>
      </c>
      <c r="BN592">
        <v>33182080</v>
      </c>
      <c r="BO592" t="s">
        <v>74</v>
      </c>
      <c r="BP592" t="s">
        <v>74</v>
      </c>
      <c r="BQ592" t="s">
        <v>74</v>
      </c>
      <c r="BR592" t="s">
        <v>106</v>
      </c>
      <c r="BS592" t="s">
        <v>11208</v>
      </c>
      <c r="BT592" t="str">
        <f>HYPERLINK("https%3A%2F%2Fwww.webofscience.com%2Fwos%2Fwoscc%2Ffull-record%2FWOS:000587290300164","View Full Record in Web of Science")</f>
        <v>View Full Record in Web of Science</v>
      </c>
    </row>
    <row r="593" spans="1:72" x14ac:dyDescent="0.15">
      <c r="A593" t="s">
        <v>72</v>
      </c>
      <c r="B593" t="s">
        <v>11209</v>
      </c>
      <c r="C593" t="s">
        <v>74</v>
      </c>
      <c r="D593" t="s">
        <v>74</v>
      </c>
      <c r="E593" t="s">
        <v>74</v>
      </c>
      <c r="F593" t="s">
        <v>11210</v>
      </c>
      <c r="G593" t="s">
        <v>74</v>
      </c>
      <c r="H593" t="s">
        <v>74</v>
      </c>
      <c r="I593" t="s">
        <v>11211</v>
      </c>
      <c r="J593" t="s">
        <v>408</v>
      </c>
      <c r="K593" t="s">
        <v>74</v>
      </c>
      <c r="L593" t="s">
        <v>74</v>
      </c>
      <c r="M593" t="s">
        <v>78</v>
      </c>
      <c r="N593" t="s">
        <v>79</v>
      </c>
      <c r="O593" t="s">
        <v>74</v>
      </c>
      <c r="P593" t="s">
        <v>74</v>
      </c>
      <c r="Q593" t="s">
        <v>74</v>
      </c>
      <c r="R593" t="s">
        <v>74</v>
      </c>
      <c r="S593" t="s">
        <v>74</v>
      </c>
      <c r="T593" t="s">
        <v>11212</v>
      </c>
      <c r="U593" t="s">
        <v>11213</v>
      </c>
      <c r="V593" t="s">
        <v>11214</v>
      </c>
      <c r="W593" t="s">
        <v>11215</v>
      </c>
      <c r="X593" t="s">
        <v>11216</v>
      </c>
      <c r="Y593" t="s">
        <v>11217</v>
      </c>
      <c r="Z593" t="s">
        <v>11218</v>
      </c>
      <c r="AA593" t="s">
        <v>74</v>
      </c>
      <c r="AB593" t="s">
        <v>11219</v>
      </c>
      <c r="AC593" t="s">
        <v>11220</v>
      </c>
      <c r="AD593" t="s">
        <v>11221</v>
      </c>
      <c r="AE593" t="s">
        <v>11222</v>
      </c>
      <c r="AF593" t="s">
        <v>74</v>
      </c>
      <c r="AG593">
        <v>119</v>
      </c>
      <c r="AH593">
        <v>1</v>
      </c>
      <c r="AI593">
        <v>1</v>
      </c>
      <c r="AJ593">
        <v>0</v>
      </c>
      <c r="AK593">
        <v>19</v>
      </c>
      <c r="AL593" t="s">
        <v>418</v>
      </c>
      <c r="AM593" t="s">
        <v>178</v>
      </c>
      <c r="AN593" t="s">
        <v>419</v>
      </c>
      <c r="AO593" t="s">
        <v>420</v>
      </c>
      <c r="AP593" t="s">
        <v>421</v>
      </c>
      <c r="AQ593" t="s">
        <v>74</v>
      </c>
      <c r="AR593" t="s">
        <v>422</v>
      </c>
      <c r="AS593" t="s">
        <v>423</v>
      </c>
      <c r="AT593" t="s">
        <v>6088</v>
      </c>
      <c r="AU593">
        <v>2021</v>
      </c>
      <c r="AV593">
        <v>292</v>
      </c>
      <c r="AW593" t="s">
        <v>74</v>
      </c>
      <c r="AX593" t="s">
        <v>74</v>
      </c>
      <c r="AY593" t="s">
        <v>74</v>
      </c>
      <c r="AZ593" t="s">
        <v>74</v>
      </c>
      <c r="BA593" t="s">
        <v>74</v>
      </c>
      <c r="BB593">
        <v>409</v>
      </c>
      <c r="BC593">
        <v>426</v>
      </c>
      <c r="BD593" t="s">
        <v>74</v>
      </c>
      <c r="BE593" t="s">
        <v>11223</v>
      </c>
      <c r="BF593" t="str">
        <f>HYPERLINK("http://dx.doi.org/10.1016/j.gca.2020.10.001","http://dx.doi.org/10.1016/j.gca.2020.10.001")</f>
        <v>http://dx.doi.org/10.1016/j.gca.2020.10.001</v>
      </c>
      <c r="BG593" t="s">
        <v>74</v>
      </c>
      <c r="BH593" t="s">
        <v>74</v>
      </c>
      <c r="BI593">
        <v>18</v>
      </c>
      <c r="BJ593" t="s">
        <v>426</v>
      </c>
      <c r="BK593" t="s">
        <v>103</v>
      </c>
      <c r="BL593" t="s">
        <v>426</v>
      </c>
      <c r="BM593" t="s">
        <v>11224</v>
      </c>
      <c r="BN593" t="s">
        <v>74</v>
      </c>
      <c r="BO593" t="s">
        <v>218</v>
      </c>
      <c r="BP593" t="s">
        <v>74</v>
      </c>
      <c r="BQ593" t="s">
        <v>74</v>
      </c>
      <c r="BR593" t="s">
        <v>106</v>
      </c>
      <c r="BS593" t="s">
        <v>11225</v>
      </c>
      <c r="BT593" t="str">
        <f>HYPERLINK("https%3A%2F%2Fwww.webofscience.com%2Fwos%2Fwoscc%2Ffull-record%2FWOS:000590778600008","View Full Record in Web of Science")</f>
        <v>View Full Record in Web of Science</v>
      </c>
    </row>
    <row r="594" spans="1:72" x14ac:dyDescent="0.15">
      <c r="A594" t="s">
        <v>72</v>
      </c>
      <c r="B594" t="s">
        <v>11226</v>
      </c>
      <c r="C594" t="s">
        <v>74</v>
      </c>
      <c r="D594" t="s">
        <v>74</v>
      </c>
      <c r="E594" t="s">
        <v>74</v>
      </c>
      <c r="F594" t="s">
        <v>11227</v>
      </c>
      <c r="G594" t="s">
        <v>74</v>
      </c>
      <c r="H594" t="s">
        <v>74</v>
      </c>
      <c r="I594" t="s">
        <v>11228</v>
      </c>
      <c r="J594" t="s">
        <v>1927</v>
      </c>
      <c r="K594" t="s">
        <v>74</v>
      </c>
      <c r="L594" t="s">
        <v>74</v>
      </c>
      <c r="M594" t="s">
        <v>78</v>
      </c>
      <c r="N594" t="s">
        <v>79</v>
      </c>
      <c r="O594" t="s">
        <v>74</v>
      </c>
      <c r="P594" t="s">
        <v>74</v>
      </c>
      <c r="Q594" t="s">
        <v>74</v>
      </c>
      <c r="R594" t="s">
        <v>74</v>
      </c>
      <c r="S594" t="s">
        <v>74</v>
      </c>
      <c r="T594" t="s">
        <v>11229</v>
      </c>
      <c r="U594" t="s">
        <v>11230</v>
      </c>
      <c r="V594" t="s">
        <v>11231</v>
      </c>
      <c r="W594" t="s">
        <v>11232</v>
      </c>
      <c r="X594" t="s">
        <v>11233</v>
      </c>
      <c r="Y594" t="s">
        <v>11234</v>
      </c>
      <c r="Z594" t="s">
        <v>11235</v>
      </c>
      <c r="AA594" t="s">
        <v>11236</v>
      </c>
      <c r="AB594" t="s">
        <v>11237</v>
      </c>
      <c r="AC594" t="s">
        <v>11238</v>
      </c>
      <c r="AD594" t="s">
        <v>11239</v>
      </c>
      <c r="AE594" t="s">
        <v>11240</v>
      </c>
      <c r="AF594" t="s">
        <v>74</v>
      </c>
      <c r="AG594">
        <v>103</v>
      </c>
      <c r="AH594">
        <v>12</v>
      </c>
      <c r="AI594">
        <v>12</v>
      </c>
      <c r="AJ594">
        <v>1</v>
      </c>
      <c r="AK594">
        <v>17</v>
      </c>
      <c r="AL594" t="s">
        <v>92</v>
      </c>
      <c r="AM594" t="s">
        <v>93</v>
      </c>
      <c r="AN594" t="s">
        <v>94</v>
      </c>
      <c r="AO594" t="s">
        <v>1940</v>
      </c>
      <c r="AP594" t="s">
        <v>1941</v>
      </c>
      <c r="AQ594" t="s">
        <v>74</v>
      </c>
      <c r="AR594" t="s">
        <v>1927</v>
      </c>
      <c r="AS594" t="s">
        <v>1942</v>
      </c>
      <c r="AT594" t="s">
        <v>6088</v>
      </c>
      <c r="AU594">
        <v>2021</v>
      </c>
      <c r="AV594">
        <v>372</v>
      </c>
      <c r="AW594" t="s">
        <v>74</v>
      </c>
      <c r="AX594" t="s">
        <v>74</v>
      </c>
      <c r="AY594" t="s">
        <v>74</v>
      </c>
      <c r="AZ594" t="s">
        <v>74</v>
      </c>
      <c r="BA594" t="s">
        <v>74</v>
      </c>
      <c r="BB594" t="s">
        <v>74</v>
      </c>
      <c r="BC594" t="s">
        <v>74</v>
      </c>
      <c r="BD594">
        <v>107453</v>
      </c>
      <c r="BE594" t="s">
        <v>11241</v>
      </c>
      <c r="BF594" t="str">
        <f>HYPERLINK("http://dx.doi.org/10.1016/j.geomorph.2020.107453","http://dx.doi.org/10.1016/j.geomorph.2020.107453")</f>
        <v>http://dx.doi.org/10.1016/j.geomorph.2020.107453</v>
      </c>
      <c r="BG594" t="s">
        <v>74</v>
      </c>
      <c r="BH594" t="s">
        <v>74</v>
      </c>
      <c r="BI594">
        <v>15</v>
      </c>
      <c r="BJ594" t="s">
        <v>156</v>
      </c>
      <c r="BK594" t="s">
        <v>103</v>
      </c>
      <c r="BL594" t="s">
        <v>157</v>
      </c>
      <c r="BM594" t="s">
        <v>11242</v>
      </c>
      <c r="BN594" t="s">
        <v>74</v>
      </c>
      <c r="BO594" t="s">
        <v>1220</v>
      </c>
      <c r="BP594" t="s">
        <v>74</v>
      </c>
      <c r="BQ594" t="s">
        <v>74</v>
      </c>
      <c r="BR594" t="s">
        <v>106</v>
      </c>
      <c r="BS594" t="s">
        <v>11243</v>
      </c>
      <c r="BT594" t="str">
        <f>HYPERLINK("https%3A%2F%2Fwww.webofscience.com%2Fwos%2Fwoscc%2Ffull-record%2FWOS:000589918100003","View Full Record in Web of Science")</f>
        <v>View Full Record in Web of Science</v>
      </c>
    </row>
    <row r="595" spans="1:72" x14ac:dyDescent="0.15">
      <c r="A595" t="s">
        <v>72</v>
      </c>
      <c r="B595" t="s">
        <v>11244</v>
      </c>
      <c r="C595" t="s">
        <v>74</v>
      </c>
      <c r="D595" t="s">
        <v>74</v>
      </c>
      <c r="E595" t="s">
        <v>74</v>
      </c>
      <c r="F595" t="s">
        <v>11245</v>
      </c>
      <c r="G595" t="s">
        <v>74</v>
      </c>
      <c r="H595" t="s">
        <v>74</v>
      </c>
      <c r="I595" t="s">
        <v>11246</v>
      </c>
      <c r="J595" t="s">
        <v>11247</v>
      </c>
      <c r="K595" t="s">
        <v>74</v>
      </c>
      <c r="L595" t="s">
        <v>74</v>
      </c>
      <c r="M595" t="s">
        <v>78</v>
      </c>
      <c r="N595" t="s">
        <v>79</v>
      </c>
      <c r="O595" t="s">
        <v>74</v>
      </c>
      <c r="P595" t="s">
        <v>74</v>
      </c>
      <c r="Q595" t="s">
        <v>74</v>
      </c>
      <c r="R595" t="s">
        <v>74</v>
      </c>
      <c r="S595" t="s">
        <v>74</v>
      </c>
      <c r="T595" t="s">
        <v>11248</v>
      </c>
      <c r="U595" t="s">
        <v>11249</v>
      </c>
      <c r="V595" t="s">
        <v>11250</v>
      </c>
      <c r="W595" t="s">
        <v>11251</v>
      </c>
      <c r="X595" t="s">
        <v>11252</v>
      </c>
      <c r="Y595" t="s">
        <v>11253</v>
      </c>
      <c r="Z595" t="s">
        <v>11254</v>
      </c>
      <c r="AA595" t="s">
        <v>11255</v>
      </c>
      <c r="AB595" t="s">
        <v>11256</v>
      </c>
      <c r="AC595" t="s">
        <v>11257</v>
      </c>
      <c r="AD595" t="s">
        <v>10880</v>
      </c>
      <c r="AE595" t="s">
        <v>11258</v>
      </c>
      <c r="AF595" t="s">
        <v>74</v>
      </c>
      <c r="AG595">
        <v>71</v>
      </c>
      <c r="AH595">
        <v>4</v>
      </c>
      <c r="AI595">
        <v>4</v>
      </c>
      <c r="AJ595">
        <v>1</v>
      </c>
      <c r="AK595">
        <v>14</v>
      </c>
      <c r="AL595" t="s">
        <v>92</v>
      </c>
      <c r="AM595" t="s">
        <v>93</v>
      </c>
      <c r="AN595" t="s">
        <v>94</v>
      </c>
      <c r="AO595" t="s">
        <v>11259</v>
      </c>
      <c r="AP595" t="s">
        <v>11260</v>
      </c>
      <c r="AQ595" t="s">
        <v>74</v>
      </c>
      <c r="AR595" t="s">
        <v>11261</v>
      </c>
      <c r="AS595" t="s">
        <v>11262</v>
      </c>
      <c r="AT595" t="s">
        <v>374</v>
      </c>
      <c r="AU595">
        <v>2021</v>
      </c>
      <c r="AV595">
        <v>233</v>
      </c>
      <c r="AW595" t="s">
        <v>74</v>
      </c>
      <c r="AX595" t="s">
        <v>74</v>
      </c>
      <c r="AY595" t="s">
        <v>74</v>
      </c>
      <c r="AZ595" t="s">
        <v>74</v>
      </c>
      <c r="BA595" t="s">
        <v>74</v>
      </c>
      <c r="BB595" t="s">
        <v>74</v>
      </c>
      <c r="BC595" t="s">
        <v>74</v>
      </c>
      <c r="BD595">
        <v>105748</v>
      </c>
      <c r="BE595" t="s">
        <v>11263</v>
      </c>
      <c r="BF595" t="str">
        <f>HYPERLINK("http://dx.doi.org/10.1016/j.fishres.2020.105748","http://dx.doi.org/10.1016/j.fishres.2020.105748")</f>
        <v>http://dx.doi.org/10.1016/j.fishres.2020.105748</v>
      </c>
      <c r="BG595" t="s">
        <v>74</v>
      </c>
      <c r="BH595" t="s">
        <v>74</v>
      </c>
      <c r="BI595">
        <v>11</v>
      </c>
      <c r="BJ595" t="s">
        <v>11264</v>
      </c>
      <c r="BK595" t="s">
        <v>103</v>
      </c>
      <c r="BL595" t="s">
        <v>11264</v>
      </c>
      <c r="BM595" t="s">
        <v>11265</v>
      </c>
      <c r="BN595" t="s">
        <v>74</v>
      </c>
      <c r="BO595" t="s">
        <v>74</v>
      </c>
      <c r="BP595" t="s">
        <v>74</v>
      </c>
      <c r="BQ595" t="s">
        <v>74</v>
      </c>
      <c r="BR595" t="s">
        <v>106</v>
      </c>
      <c r="BS595" t="s">
        <v>11266</v>
      </c>
      <c r="BT595" t="str">
        <f>HYPERLINK("https%3A%2F%2Fwww.webofscience.com%2Fwos%2Fwoscc%2Ffull-record%2FWOS:000582494800006","View Full Record in Web of Science")</f>
        <v>View Full Record in Web of Science</v>
      </c>
    </row>
    <row r="596" spans="1:72" x14ac:dyDescent="0.15">
      <c r="A596" t="s">
        <v>72</v>
      </c>
      <c r="B596" t="s">
        <v>11267</v>
      </c>
      <c r="C596" t="s">
        <v>74</v>
      </c>
      <c r="D596" t="s">
        <v>74</v>
      </c>
      <c r="E596" t="s">
        <v>74</v>
      </c>
      <c r="F596" t="s">
        <v>11268</v>
      </c>
      <c r="G596" t="s">
        <v>74</v>
      </c>
      <c r="H596" t="s">
        <v>74</v>
      </c>
      <c r="I596" t="s">
        <v>11269</v>
      </c>
      <c r="J596" t="s">
        <v>11270</v>
      </c>
      <c r="K596" t="s">
        <v>74</v>
      </c>
      <c r="L596" t="s">
        <v>74</v>
      </c>
      <c r="M596" t="s">
        <v>78</v>
      </c>
      <c r="N596" t="s">
        <v>141</v>
      </c>
      <c r="O596" t="s">
        <v>74</v>
      </c>
      <c r="P596" t="s">
        <v>74</v>
      </c>
      <c r="Q596" t="s">
        <v>74</v>
      </c>
      <c r="R596" t="s">
        <v>74</v>
      </c>
      <c r="S596" t="s">
        <v>74</v>
      </c>
      <c r="T596" t="s">
        <v>11271</v>
      </c>
      <c r="U596" t="s">
        <v>11272</v>
      </c>
      <c r="V596" t="s">
        <v>11273</v>
      </c>
      <c r="W596" t="s">
        <v>11274</v>
      </c>
      <c r="X596" t="s">
        <v>11275</v>
      </c>
      <c r="Y596" t="s">
        <v>11276</v>
      </c>
      <c r="Z596" t="s">
        <v>11277</v>
      </c>
      <c r="AA596" t="s">
        <v>74</v>
      </c>
      <c r="AB596" t="s">
        <v>11278</v>
      </c>
      <c r="AC596" t="s">
        <v>11279</v>
      </c>
      <c r="AD596" t="s">
        <v>11280</v>
      </c>
      <c r="AE596" t="s">
        <v>11281</v>
      </c>
      <c r="AF596" t="s">
        <v>74</v>
      </c>
      <c r="AG596">
        <v>126</v>
      </c>
      <c r="AH596">
        <v>36</v>
      </c>
      <c r="AI596">
        <v>38</v>
      </c>
      <c r="AJ596">
        <v>15</v>
      </c>
      <c r="AK596">
        <v>185</v>
      </c>
      <c r="AL596" t="s">
        <v>92</v>
      </c>
      <c r="AM596" t="s">
        <v>93</v>
      </c>
      <c r="AN596" t="s">
        <v>94</v>
      </c>
      <c r="AO596" t="s">
        <v>11282</v>
      </c>
      <c r="AP596" t="s">
        <v>11283</v>
      </c>
      <c r="AQ596" t="s">
        <v>74</v>
      </c>
      <c r="AR596" t="s">
        <v>11270</v>
      </c>
      <c r="AS596" t="s">
        <v>11284</v>
      </c>
      <c r="AT596" t="s">
        <v>6088</v>
      </c>
      <c r="AU596">
        <v>2021</v>
      </c>
      <c r="AV596">
        <v>221</v>
      </c>
      <c r="AW596" t="s">
        <v>74</v>
      </c>
      <c r="AX596" t="s">
        <v>74</v>
      </c>
      <c r="AY596" t="s">
        <v>74</v>
      </c>
      <c r="AZ596" t="s">
        <v>74</v>
      </c>
      <c r="BA596" t="s">
        <v>74</v>
      </c>
      <c r="BB596" t="s">
        <v>74</v>
      </c>
      <c r="BC596" t="s">
        <v>74</v>
      </c>
      <c r="BD596">
        <v>121636</v>
      </c>
      <c r="BE596" t="s">
        <v>11285</v>
      </c>
      <c r="BF596" t="str">
        <f>HYPERLINK("http://dx.doi.org/10.1016/j.talanta.2020.121636","http://dx.doi.org/10.1016/j.talanta.2020.121636")</f>
        <v>http://dx.doi.org/10.1016/j.talanta.2020.121636</v>
      </c>
      <c r="BG596" t="s">
        <v>74</v>
      </c>
      <c r="BH596" t="s">
        <v>74</v>
      </c>
      <c r="BI596">
        <v>22</v>
      </c>
      <c r="BJ596" t="s">
        <v>11286</v>
      </c>
      <c r="BK596" t="s">
        <v>103</v>
      </c>
      <c r="BL596" t="s">
        <v>639</v>
      </c>
      <c r="BM596" t="s">
        <v>11287</v>
      </c>
      <c r="BN596">
        <v>33076156</v>
      </c>
      <c r="BO596" t="s">
        <v>74</v>
      </c>
      <c r="BP596" t="s">
        <v>74</v>
      </c>
      <c r="BQ596" t="s">
        <v>74</v>
      </c>
      <c r="BR596" t="s">
        <v>106</v>
      </c>
      <c r="BS596" t="s">
        <v>11288</v>
      </c>
      <c r="BT596" t="str">
        <f>HYPERLINK("https%3A%2F%2Fwww.webofscience.com%2Fwos%2Fwoscc%2Ffull-record%2FWOS:000579910600112","View Full Record in Web of Science")</f>
        <v>View Full Record in Web of Science</v>
      </c>
    </row>
    <row r="597" spans="1:72" x14ac:dyDescent="0.15">
      <c r="A597" t="s">
        <v>72</v>
      </c>
      <c r="B597" t="s">
        <v>11289</v>
      </c>
      <c r="C597" t="s">
        <v>74</v>
      </c>
      <c r="D597" t="s">
        <v>74</v>
      </c>
      <c r="E597" t="s">
        <v>74</v>
      </c>
      <c r="F597" t="s">
        <v>11290</v>
      </c>
      <c r="G597" t="s">
        <v>74</v>
      </c>
      <c r="H597" t="s">
        <v>74</v>
      </c>
      <c r="I597" t="s">
        <v>11291</v>
      </c>
      <c r="J597" t="s">
        <v>11292</v>
      </c>
      <c r="K597" t="s">
        <v>74</v>
      </c>
      <c r="L597" t="s">
        <v>74</v>
      </c>
      <c r="M597" t="s">
        <v>78</v>
      </c>
      <c r="N597" t="s">
        <v>79</v>
      </c>
      <c r="O597" t="s">
        <v>74</v>
      </c>
      <c r="P597" t="s">
        <v>74</v>
      </c>
      <c r="Q597" t="s">
        <v>74</v>
      </c>
      <c r="R597" t="s">
        <v>74</v>
      </c>
      <c r="S597" t="s">
        <v>74</v>
      </c>
      <c r="T597" t="s">
        <v>11293</v>
      </c>
      <c r="U597" t="s">
        <v>11294</v>
      </c>
      <c r="V597" t="s">
        <v>11295</v>
      </c>
      <c r="W597" t="s">
        <v>11296</v>
      </c>
      <c r="X597" t="s">
        <v>11297</v>
      </c>
      <c r="Y597" t="s">
        <v>11298</v>
      </c>
      <c r="Z597" t="s">
        <v>11299</v>
      </c>
      <c r="AA597" t="s">
        <v>11300</v>
      </c>
      <c r="AB597" t="s">
        <v>11301</v>
      </c>
      <c r="AC597" t="s">
        <v>11302</v>
      </c>
      <c r="AD597" t="s">
        <v>11303</v>
      </c>
      <c r="AE597" t="s">
        <v>11304</v>
      </c>
      <c r="AF597" t="s">
        <v>74</v>
      </c>
      <c r="AG597">
        <v>130</v>
      </c>
      <c r="AH597">
        <v>7</v>
      </c>
      <c r="AI597">
        <v>9</v>
      </c>
      <c r="AJ597">
        <v>0</v>
      </c>
      <c r="AK597">
        <v>11</v>
      </c>
      <c r="AL597" t="s">
        <v>552</v>
      </c>
      <c r="AM597" t="s">
        <v>553</v>
      </c>
      <c r="AN597" t="s">
        <v>554</v>
      </c>
      <c r="AO597" t="s">
        <v>11305</v>
      </c>
      <c r="AP597" t="s">
        <v>74</v>
      </c>
      <c r="AQ597" t="s">
        <v>74</v>
      </c>
      <c r="AR597" t="s">
        <v>11306</v>
      </c>
      <c r="AS597" t="s">
        <v>11307</v>
      </c>
      <c r="AT597" t="s">
        <v>374</v>
      </c>
      <c r="AU597">
        <v>2021</v>
      </c>
      <c r="AV597">
        <v>11</v>
      </c>
      <c r="AW597">
        <v>2</v>
      </c>
      <c r="AX597" t="s">
        <v>74</v>
      </c>
      <c r="AY597" t="s">
        <v>74</v>
      </c>
      <c r="AZ597" t="s">
        <v>74</v>
      </c>
      <c r="BA597" t="s">
        <v>74</v>
      </c>
      <c r="BB597">
        <v>714</v>
      </c>
      <c r="BC597">
        <v>734</v>
      </c>
      <c r="BD597" t="s">
        <v>74</v>
      </c>
      <c r="BE597" t="s">
        <v>11308</v>
      </c>
      <c r="BF597" t="str">
        <f>HYPERLINK("http://dx.doi.org/10.1002/ece3.6878","http://dx.doi.org/10.1002/ece3.6878")</f>
        <v>http://dx.doi.org/10.1002/ece3.6878</v>
      </c>
      <c r="BG597" t="s">
        <v>74</v>
      </c>
      <c r="BH597" t="s">
        <v>11309</v>
      </c>
      <c r="BI597">
        <v>21</v>
      </c>
      <c r="BJ597" t="s">
        <v>11310</v>
      </c>
      <c r="BK597" t="s">
        <v>103</v>
      </c>
      <c r="BL597" t="s">
        <v>5971</v>
      </c>
      <c r="BM597" t="s">
        <v>11311</v>
      </c>
      <c r="BN597">
        <v>33520160</v>
      </c>
      <c r="BO597" t="s">
        <v>561</v>
      </c>
      <c r="BP597" t="s">
        <v>74</v>
      </c>
      <c r="BQ597" t="s">
        <v>74</v>
      </c>
      <c r="BR597" t="s">
        <v>106</v>
      </c>
      <c r="BS597" t="s">
        <v>11312</v>
      </c>
      <c r="BT597" t="str">
        <f>HYPERLINK("https%3A%2F%2Fwww.webofscience.com%2Fwos%2Fwoscc%2Ffull-record%2FWOS:000603497100001","View Full Record in Web of Science")</f>
        <v>View Full Record in Web of Science</v>
      </c>
    </row>
    <row r="598" spans="1:72" x14ac:dyDescent="0.15">
      <c r="A598" t="s">
        <v>72</v>
      </c>
      <c r="B598" t="s">
        <v>11313</v>
      </c>
      <c r="C598" t="s">
        <v>74</v>
      </c>
      <c r="D598" t="s">
        <v>74</v>
      </c>
      <c r="E598" t="s">
        <v>74</v>
      </c>
      <c r="F598" t="s">
        <v>11314</v>
      </c>
      <c r="G598" t="s">
        <v>74</v>
      </c>
      <c r="H598" t="s">
        <v>74</v>
      </c>
      <c r="I598" t="s">
        <v>11315</v>
      </c>
      <c r="J598" t="s">
        <v>11316</v>
      </c>
      <c r="K598" t="s">
        <v>74</v>
      </c>
      <c r="L598" t="s">
        <v>74</v>
      </c>
      <c r="M598" t="s">
        <v>78</v>
      </c>
      <c r="N598" t="s">
        <v>79</v>
      </c>
      <c r="O598" t="s">
        <v>74</v>
      </c>
      <c r="P598" t="s">
        <v>74</v>
      </c>
      <c r="Q598" t="s">
        <v>74</v>
      </c>
      <c r="R598" t="s">
        <v>74</v>
      </c>
      <c r="S598" t="s">
        <v>74</v>
      </c>
      <c r="T598" t="s">
        <v>11317</v>
      </c>
      <c r="U598" t="s">
        <v>11318</v>
      </c>
      <c r="V598" t="s">
        <v>11319</v>
      </c>
      <c r="W598" t="s">
        <v>11320</v>
      </c>
      <c r="X598" t="s">
        <v>11321</v>
      </c>
      <c r="Y598" t="s">
        <v>11322</v>
      </c>
      <c r="Z598" t="s">
        <v>11323</v>
      </c>
      <c r="AA598" t="s">
        <v>11324</v>
      </c>
      <c r="AB598" t="s">
        <v>11325</v>
      </c>
      <c r="AC598" t="s">
        <v>11326</v>
      </c>
      <c r="AD598" t="s">
        <v>11327</v>
      </c>
      <c r="AE598" t="s">
        <v>11328</v>
      </c>
      <c r="AF598" t="s">
        <v>74</v>
      </c>
      <c r="AG598">
        <v>93</v>
      </c>
      <c r="AH598">
        <v>10</v>
      </c>
      <c r="AI598">
        <v>10</v>
      </c>
      <c r="AJ598">
        <v>0</v>
      </c>
      <c r="AK598">
        <v>23</v>
      </c>
      <c r="AL598" t="s">
        <v>552</v>
      </c>
      <c r="AM598" t="s">
        <v>553</v>
      </c>
      <c r="AN598" t="s">
        <v>554</v>
      </c>
      <c r="AO598" t="s">
        <v>11329</v>
      </c>
      <c r="AP598" t="s">
        <v>11330</v>
      </c>
      <c r="AQ598" t="s">
        <v>74</v>
      </c>
      <c r="AR598" t="s">
        <v>11331</v>
      </c>
      <c r="AS598" t="s">
        <v>11332</v>
      </c>
      <c r="AT598" t="s">
        <v>347</v>
      </c>
      <c r="AU598">
        <v>2021</v>
      </c>
      <c r="AV598">
        <v>30</v>
      </c>
      <c r="AW598">
        <v>3</v>
      </c>
      <c r="AX598" t="s">
        <v>74</v>
      </c>
      <c r="AY598" t="s">
        <v>74</v>
      </c>
      <c r="AZ598" t="s">
        <v>74</v>
      </c>
      <c r="BA598" t="s">
        <v>74</v>
      </c>
      <c r="BB598">
        <v>578</v>
      </c>
      <c r="BC598">
        <v>589</v>
      </c>
      <c r="BD598" t="s">
        <v>74</v>
      </c>
      <c r="BE598" t="s">
        <v>11333</v>
      </c>
      <c r="BF598" t="str">
        <f>HYPERLINK("http://dx.doi.org/10.1111/geb.13245","http://dx.doi.org/10.1111/geb.13245")</f>
        <v>http://dx.doi.org/10.1111/geb.13245</v>
      </c>
      <c r="BG598" t="s">
        <v>74</v>
      </c>
      <c r="BH598" t="s">
        <v>11309</v>
      </c>
      <c r="BI598">
        <v>12</v>
      </c>
      <c r="BJ598" t="s">
        <v>11334</v>
      </c>
      <c r="BK598" t="s">
        <v>103</v>
      </c>
      <c r="BL598" t="s">
        <v>3899</v>
      </c>
      <c r="BM598" t="s">
        <v>11335</v>
      </c>
      <c r="BN598" t="s">
        <v>74</v>
      </c>
      <c r="BO598" t="s">
        <v>1195</v>
      </c>
      <c r="BP598" t="s">
        <v>74</v>
      </c>
      <c r="BQ598" t="s">
        <v>74</v>
      </c>
      <c r="BR598" t="s">
        <v>106</v>
      </c>
      <c r="BS598" t="s">
        <v>11336</v>
      </c>
      <c r="BT598" t="str">
        <f>HYPERLINK("https%3A%2F%2Fwww.webofscience.com%2Fwos%2Fwoscc%2Ffull-record%2FWOS:000603404200001","View Full Record in Web of Science")</f>
        <v>View Full Record in Web of Science</v>
      </c>
    </row>
    <row r="599" spans="1:72" x14ac:dyDescent="0.15">
      <c r="A599" t="s">
        <v>72</v>
      </c>
      <c r="B599" t="s">
        <v>11337</v>
      </c>
      <c r="C599" t="s">
        <v>74</v>
      </c>
      <c r="D599" t="s">
        <v>74</v>
      </c>
      <c r="E599" t="s">
        <v>74</v>
      </c>
      <c r="F599" t="s">
        <v>11338</v>
      </c>
      <c r="G599" t="s">
        <v>74</v>
      </c>
      <c r="H599" t="s">
        <v>74</v>
      </c>
      <c r="I599" t="s">
        <v>11339</v>
      </c>
      <c r="J599" t="s">
        <v>963</v>
      </c>
      <c r="K599" t="s">
        <v>74</v>
      </c>
      <c r="L599" t="s">
        <v>74</v>
      </c>
      <c r="M599" t="s">
        <v>78</v>
      </c>
      <c r="N599" t="s">
        <v>79</v>
      </c>
      <c r="O599" t="s">
        <v>74</v>
      </c>
      <c r="P599" t="s">
        <v>74</v>
      </c>
      <c r="Q599" t="s">
        <v>74</v>
      </c>
      <c r="R599" t="s">
        <v>74</v>
      </c>
      <c r="S599" t="s">
        <v>74</v>
      </c>
      <c r="T599" t="s">
        <v>11340</v>
      </c>
      <c r="U599" t="s">
        <v>11341</v>
      </c>
      <c r="V599" t="s">
        <v>11342</v>
      </c>
      <c r="W599" t="s">
        <v>11343</v>
      </c>
      <c r="X599" t="s">
        <v>11344</v>
      </c>
      <c r="Y599" t="s">
        <v>11345</v>
      </c>
      <c r="Z599" t="s">
        <v>11346</v>
      </c>
      <c r="AA599" t="s">
        <v>11347</v>
      </c>
      <c r="AB599" t="s">
        <v>11348</v>
      </c>
      <c r="AC599" t="s">
        <v>11349</v>
      </c>
      <c r="AD599" t="s">
        <v>11350</v>
      </c>
      <c r="AE599" t="s">
        <v>11351</v>
      </c>
      <c r="AF599" t="s">
        <v>74</v>
      </c>
      <c r="AG599">
        <v>72</v>
      </c>
      <c r="AH599">
        <v>8</v>
      </c>
      <c r="AI599">
        <v>11</v>
      </c>
      <c r="AJ599">
        <v>0</v>
      </c>
      <c r="AK599">
        <v>27</v>
      </c>
      <c r="AL599" t="s">
        <v>976</v>
      </c>
      <c r="AM599" t="s">
        <v>629</v>
      </c>
      <c r="AN599" t="s">
        <v>977</v>
      </c>
      <c r="AO599" t="s">
        <v>978</v>
      </c>
      <c r="AP599" t="s">
        <v>979</v>
      </c>
      <c r="AQ599" t="s">
        <v>74</v>
      </c>
      <c r="AR599" t="s">
        <v>980</v>
      </c>
      <c r="AS599" t="s">
        <v>981</v>
      </c>
      <c r="AT599" t="s">
        <v>11352</v>
      </c>
      <c r="AU599">
        <v>2020</v>
      </c>
      <c r="AV599">
        <v>117</v>
      </c>
      <c r="AW599">
        <v>52</v>
      </c>
      <c r="AX599" t="s">
        <v>74</v>
      </c>
      <c r="AY599" t="s">
        <v>74</v>
      </c>
      <c r="AZ599" t="s">
        <v>74</v>
      </c>
      <c r="BA599" t="s">
        <v>74</v>
      </c>
      <c r="BB599">
        <v>33034</v>
      </c>
      <c r="BC599">
        <v>33042</v>
      </c>
      <c r="BD599" t="s">
        <v>74</v>
      </c>
      <c r="BE599" t="s">
        <v>11353</v>
      </c>
      <c r="BF599" t="str">
        <f>HYPERLINK("http://dx.doi.org/10.1073/pnas.2016544117","http://dx.doi.org/10.1073/pnas.2016544117")</f>
        <v>http://dx.doi.org/10.1073/pnas.2016544117</v>
      </c>
      <c r="BG599" t="s">
        <v>74</v>
      </c>
      <c r="BH599" t="s">
        <v>74</v>
      </c>
      <c r="BI599">
        <v>9</v>
      </c>
      <c r="BJ599" t="s">
        <v>534</v>
      </c>
      <c r="BK599" t="s">
        <v>103</v>
      </c>
      <c r="BL599" t="s">
        <v>535</v>
      </c>
      <c r="BM599" t="s">
        <v>11354</v>
      </c>
      <c r="BN599">
        <v>33288724</v>
      </c>
      <c r="BO599" t="s">
        <v>1732</v>
      </c>
      <c r="BP599" t="s">
        <v>74</v>
      </c>
      <c r="BQ599" t="s">
        <v>74</v>
      </c>
      <c r="BR599" t="s">
        <v>106</v>
      </c>
      <c r="BS599" t="s">
        <v>11355</v>
      </c>
      <c r="BT599" t="str">
        <f>HYPERLINK("https%3A%2F%2Fwww.webofscience.com%2Fwos%2Fwoscc%2Ffull-record%2FWOS:000604551600034","View Full Record in Web of Science")</f>
        <v>View Full Record in Web of Science</v>
      </c>
    </row>
    <row r="600" spans="1:72" x14ac:dyDescent="0.15">
      <c r="A600" t="s">
        <v>72</v>
      </c>
      <c r="B600" t="s">
        <v>11356</v>
      </c>
      <c r="C600" t="s">
        <v>74</v>
      </c>
      <c r="D600" t="s">
        <v>74</v>
      </c>
      <c r="E600" t="s">
        <v>74</v>
      </c>
      <c r="F600" t="s">
        <v>11357</v>
      </c>
      <c r="G600" t="s">
        <v>74</v>
      </c>
      <c r="H600" t="s">
        <v>74</v>
      </c>
      <c r="I600" t="s">
        <v>11358</v>
      </c>
      <c r="J600" t="s">
        <v>963</v>
      </c>
      <c r="K600" t="s">
        <v>74</v>
      </c>
      <c r="L600" t="s">
        <v>74</v>
      </c>
      <c r="M600" t="s">
        <v>78</v>
      </c>
      <c r="N600" t="s">
        <v>79</v>
      </c>
      <c r="O600" t="s">
        <v>74</v>
      </c>
      <c r="P600" t="s">
        <v>74</v>
      </c>
      <c r="Q600" t="s">
        <v>74</v>
      </c>
      <c r="R600" t="s">
        <v>74</v>
      </c>
      <c r="S600" t="s">
        <v>74</v>
      </c>
      <c r="T600" t="s">
        <v>11359</v>
      </c>
      <c r="U600" t="s">
        <v>11360</v>
      </c>
      <c r="V600" t="s">
        <v>11361</v>
      </c>
      <c r="W600" t="s">
        <v>11362</v>
      </c>
      <c r="X600" t="s">
        <v>11363</v>
      </c>
      <c r="Y600" t="s">
        <v>11364</v>
      </c>
      <c r="Z600" t="s">
        <v>11365</v>
      </c>
      <c r="AA600" t="s">
        <v>11366</v>
      </c>
      <c r="AB600" t="s">
        <v>11367</v>
      </c>
      <c r="AC600" t="s">
        <v>11368</v>
      </c>
      <c r="AD600" t="s">
        <v>11369</v>
      </c>
      <c r="AE600" t="s">
        <v>11370</v>
      </c>
      <c r="AF600" t="s">
        <v>74</v>
      </c>
      <c r="AG600">
        <v>75</v>
      </c>
      <c r="AH600">
        <v>16</v>
      </c>
      <c r="AI600">
        <v>17</v>
      </c>
      <c r="AJ600">
        <v>5</v>
      </c>
      <c r="AK600">
        <v>39</v>
      </c>
      <c r="AL600" t="s">
        <v>976</v>
      </c>
      <c r="AM600" t="s">
        <v>629</v>
      </c>
      <c r="AN600" t="s">
        <v>977</v>
      </c>
      <c r="AO600" t="s">
        <v>978</v>
      </c>
      <c r="AP600" t="s">
        <v>979</v>
      </c>
      <c r="AQ600" t="s">
        <v>74</v>
      </c>
      <c r="AR600" t="s">
        <v>980</v>
      </c>
      <c r="AS600" t="s">
        <v>981</v>
      </c>
      <c r="AT600" t="s">
        <v>11352</v>
      </c>
      <c r="AU600">
        <v>2020</v>
      </c>
      <c r="AV600">
        <v>117</v>
      </c>
      <c r="AW600">
        <v>52</v>
      </c>
      <c r="AX600" t="s">
        <v>74</v>
      </c>
      <c r="AY600" t="s">
        <v>74</v>
      </c>
      <c r="AZ600" t="s">
        <v>74</v>
      </c>
      <c r="BA600" t="s">
        <v>74</v>
      </c>
      <c r="BB600">
        <v>33170</v>
      </c>
      <c r="BC600">
        <v>33176</v>
      </c>
      <c r="BD600" t="s">
        <v>74</v>
      </c>
      <c r="BE600" t="s">
        <v>11371</v>
      </c>
      <c r="BF600" t="str">
        <f>HYPERLINK("http://dx.doi.org/10.1073/pnas.2017835117","http://dx.doi.org/10.1073/pnas.2017835117")</f>
        <v>http://dx.doi.org/10.1073/pnas.2017835117</v>
      </c>
      <c r="BG600" t="s">
        <v>74</v>
      </c>
      <c r="BH600" t="s">
        <v>74</v>
      </c>
      <c r="BI600">
        <v>7</v>
      </c>
      <c r="BJ600" t="s">
        <v>534</v>
      </c>
      <c r="BK600" t="s">
        <v>271</v>
      </c>
      <c r="BL600" t="s">
        <v>535</v>
      </c>
      <c r="BM600" t="s">
        <v>11354</v>
      </c>
      <c r="BN600">
        <v>33376216</v>
      </c>
      <c r="BO600" t="s">
        <v>561</v>
      </c>
      <c r="BP600" t="s">
        <v>74</v>
      </c>
      <c r="BQ600" t="s">
        <v>74</v>
      </c>
      <c r="BR600" t="s">
        <v>106</v>
      </c>
      <c r="BS600" t="s">
        <v>11372</v>
      </c>
      <c r="BT600" t="str">
        <f>HYPERLINK("https%3A%2F%2Fwww.webofscience.com%2Fwos%2Fwoscc%2Ffull-record%2FWOS:000604551600050","View Full Record in Web of Science")</f>
        <v>View Full Record in Web of Science</v>
      </c>
    </row>
    <row r="601" spans="1:72" x14ac:dyDescent="0.15">
      <c r="A601" t="s">
        <v>72</v>
      </c>
      <c r="B601" t="s">
        <v>11373</v>
      </c>
      <c r="C601" t="s">
        <v>74</v>
      </c>
      <c r="D601" t="s">
        <v>74</v>
      </c>
      <c r="E601" t="s">
        <v>74</v>
      </c>
      <c r="F601" t="s">
        <v>11374</v>
      </c>
      <c r="G601" t="s">
        <v>74</v>
      </c>
      <c r="H601" t="s">
        <v>74</v>
      </c>
      <c r="I601" t="s">
        <v>11375</v>
      </c>
      <c r="J601" t="s">
        <v>11376</v>
      </c>
      <c r="K601" t="s">
        <v>74</v>
      </c>
      <c r="L601" t="s">
        <v>74</v>
      </c>
      <c r="M601" t="s">
        <v>78</v>
      </c>
      <c r="N601" t="s">
        <v>79</v>
      </c>
      <c r="O601" t="s">
        <v>74</v>
      </c>
      <c r="P601" t="s">
        <v>74</v>
      </c>
      <c r="Q601" t="s">
        <v>74</v>
      </c>
      <c r="R601" t="s">
        <v>74</v>
      </c>
      <c r="S601" t="s">
        <v>74</v>
      </c>
      <c r="T601" t="s">
        <v>11377</v>
      </c>
      <c r="U601" t="s">
        <v>11378</v>
      </c>
      <c r="V601" t="s">
        <v>11379</v>
      </c>
      <c r="W601" t="s">
        <v>11380</v>
      </c>
      <c r="X601" t="s">
        <v>11381</v>
      </c>
      <c r="Y601" t="s">
        <v>11382</v>
      </c>
      <c r="Z601" t="s">
        <v>11383</v>
      </c>
      <c r="AA601" t="s">
        <v>74</v>
      </c>
      <c r="AB601" t="s">
        <v>74</v>
      </c>
      <c r="AC601" t="s">
        <v>11384</v>
      </c>
      <c r="AD601" t="s">
        <v>11385</v>
      </c>
      <c r="AE601" t="s">
        <v>11386</v>
      </c>
      <c r="AF601" t="s">
        <v>74</v>
      </c>
      <c r="AG601">
        <v>48</v>
      </c>
      <c r="AH601">
        <v>4</v>
      </c>
      <c r="AI601">
        <v>4</v>
      </c>
      <c r="AJ601">
        <v>3</v>
      </c>
      <c r="AK601">
        <v>32</v>
      </c>
      <c r="AL601" t="s">
        <v>602</v>
      </c>
      <c r="AM601" t="s">
        <v>603</v>
      </c>
      <c r="AN601" t="s">
        <v>604</v>
      </c>
      <c r="AO601" t="s">
        <v>11387</v>
      </c>
      <c r="AP601" t="s">
        <v>11388</v>
      </c>
      <c r="AQ601" t="s">
        <v>74</v>
      </c>
      <c r="AR601" t="s">
        <v>11389</v>
      </c>
      <c r="AS601" t="s">
        <v>11390</v>
      </c>
      <c r="AT601" t="s">
        <v>685</v>
      </c>
      <c r="AU601">
        <v>2020</v>
      </c>
      <c r="AV601">
        <v>12</v>
      </c>
      <c r="AW601">
        <v>6</v>
      </c>
      <c r="AX601" t="s">
        <v>74</v>
      </c>
      <c r="AY601" t="s">
        <v>74</v>
      </c>
      <c r="AZ601" t="s">
        <v>74</v>
      </c>
      <c r="BA601" t="s">
        <v>74</v>
      </c>
      <c r="BB601">
        <v>905</v>
      </c>
      <c r="BC601">
        <v>916</v>
      </c>
      <c r="BD601" t="s">
        <v>74</v>
      </c>
      <c r="BE601" t="s">
        <v>11391</v>
      </c>
      <c r="BF601" t="str">
        <f>HYPERLINK("http://dx.doi.org/10.1007/s40333-020-0083-9","http://dx.doi.org/10.1007/s40333-020-0083-9")</f>
        <v>http://dx.doi.org/10.1007/s40333-020-0083-9</v>
      </c>
      <c r="BG601" t="s">
        <v>74</v>
      </c>
      <c r="BH601" t="s">
        <v>11309</v>
      </c>
      <c r="BI601">
        <v>12</v>
      </c>
      <c r="BJ601" t="s">
        <v>102</v>
      </c>
      <c r="BK601" t="s">
        <v>103</v>
      </c>
      <c r="BL601" t="s">
        <v>104</v>
      </c>
      <c r="BM601" t="s">
        <v>11392</v>
      </c>
      <c r="BN601" t="s">
        <v>74</v>
      </c>
      <c r="BO601" t="s">
        <v>3283</v>
      </c>
      <c r="BP601" t="s">
        <v>74</v>
      </c>
      <c r="BQ601" t="s">
        <v>74</v>
      </c>
      <c r="BR601" t="s">
        <v>106</v>
      </c>
      <c r="BS601" t="s">
        <v>11393</v>
      </c>
      <c r="BT601" t="str">
        <f>HYPERLINK("https%3A%2F%2Fwww.webofscience.com%2Fwos%2Fwoscc%2Ffull-record%2FWOS:000603535500004","View Full Record in Web of Science")</f>
        <v>View Full Record in Web of Science</v>
      </c>
    </row>
    <row r="602" spans="1:72" x14ac:dyDescent="0.15">
      <c r="A602" t="s">
        <v>72</v>
      </c>
      <c r="B602" t="s">
        <v>11394</v>
      </c>
      <c r="C602" t="s">
        <v>74</v>
      </c>
      <c r="D602" t="s">
        <v>74</v>
      </c>
      <c r="E602" t="s">
        <v>74</v>
      </c>
      <c r="F602" t="s">
        <v>11395</v>
      </c>
      <c r="G602" t="s">
        <v>74</v>
      </c>
      <c r="H602" t="s">
        <v>74</v>
      </c>
      <c r="I602" t="s">
        <v>11396</v>
      </c>
      <c r="J602" t="s">
        <v>11397</v>
      </c>
      <c r="K602" t="s">
        <v>74</v>
      </c>
      <c r="L602" t="s">
        <v>74</v>
      </c>
      <c r="M602" t="s">
        <v>78</v>
      </c>
      <c r="N602" t="s">
        <v>79</v>
      </c>
      <c r="O602" t="s">
        <v>74</v>
      </c>
      <c r="P602" t="s">
        <v>74</v>
      </c>
      <c r="Q602" t="s">
        <v>74</v>
      </c>
      <c r="R602" t="s">
        <v>74</v>
      </c>
      <c r="S602" t="s">
        <v>74</v>
      </c>
      <c r="T602" t="s">
        <v>11398</v>
      </c>
      <c r="U602" t="s">
        <v>11399</v>
      </c>
      <c r="V602" t="s">
        <v>11400</v>
      </c>
      <c r="W602" t="s">
        <v>11401</v>
      </c>
      <c r="X602" t="s">
        <v>11402</v>
      </c>
      <c r="Y602" t="s">
        <v>11403</v>
      </c>
      <c r="Z602" t="s">
        <v>11404</v>
      </c>
      <c r="AA602" t="s">
        <v>11405</v>
      </c>
      <c r="AB602" t="s">
        <v>11406</v>
      </c>
      <c r="AC602" t="s">
        <v>11407</v>
      </c>
      <c r="AD602" t="s">
        <v>11408</v>
      </c>
      <c r="AE602" t="s">
        <v>11409</v>
      </c>
      <c r="AF602" t="s">
        <v>74</v>
      </c>
      <c r="AG602">
        <v>117</v>
      </c>
      <c r="AH602">
        <v>12</v>
      </c>
      <c r="AI602">
        <v>14</v>
      </c>
      <c r="AJ602">
        <v>2</v>
      </c>
      <c r="AK602">
        <v>14</v>
      </c>
      <c r="AL602" t="s">
        <v>552</v>
      </c>
      <c r="AM602" t="s">
        <v>553</v>
      </c>
      <c r="AN602" t="s">
        <v>554</v>
      </c>
      <c r="AO602" t="s">
        <v>11410</v>
      </c>
      <c r="AP602" t="s">
        <v>74</v>
      </c>
      <c r="AQ602" t="s">
        <v>74</v>
      </c>
      <c r="AR602" t="s">
        <v>11397</v>
      </c>
      <c r="AS602" t="s">
        <v>11411</v>
      </c>
      <c r="AT602" t="s">
        <v>374</v>
      </c>
      <c r="AU602">
        <v>2021</v>
      </c>
      <c r="AV602">
        <v>10</v>
      </c>
      <c r="AW602">
        <v>1</v>
      </c>
      <c r="AX602" t="s">
        <v>74</v>
      </c>
      <c r="AY602" t="s">
        <v>74</v>
      </c>
      <c r="AZ602" t="s">
        <v>74</v>
      </c>
      <c r="BA602" t="s">
        <v>74</v>
      </c>
      <c r="BB602" t="s">
        <v>74</v>
      </c>
      <c r="BC602" t="s">
        <v>74</v>
      </c>
      <c r="BD602" t="s">
        <v>11412</v>
      </c>
      <c r="BE602" t="s">
        <v>11413</v>
      </c>
      <c r="BF602" t="str">
        <f>HYPERLINK("http://dx.doi.org/10.1002/mbo3.1152","http://dx.doi.org/10.1002/mbo3.1152")</f>
        <v>http://dx.doi.org/10.1002/mbo3.1152</v>
      </c>
      <c r="BG602" t="s">
        <v>74</v>
      </c>
      <c r="BH602" t="s">
        <v>11309</v>
      </c>
      <c r="BI602">
        <v>25</v>
      </c>
      <c r="BJ602" t="s">
        <v>3581</v>
      </c>
      <c r="BK602" t="s">
        <v>103</v>
      </c>
      <c r="BL602" t="s">
        <v>3581</v>
      </c>
      <c r="BM602" t="s">
        <v>11414</v>
      </c>
      <c r="BN602">
        <v>33377317</v>
      </c>
      <c r="BO602" t="s">
        <v>561</v>
      </c>
      <c r="BP602" t="s">
        <v>74</v>
      </c>
      <c r="BQ602" t="s">
        <v>74</v>
      </c>
      <c r="BR602" t="s">
        <v>106</v>
      </c>
      <c r="BS602" t="s">
        <v>11415</v>
      </c>
      <c r="BT602" t="str">
        <f>HYPERLINK("https%3A%2F%2Fwww.webofscience.com%2Fwos%2Fwoscc%2Ffull-record%2FWOS:000603324400001","View Full Record in Web of Science")</f>
        <v>View Full Record in Web of Science</v>
      </c>
    </row>
    <row r="603" spans="1:72" x14ac:dyDescent="0.15">
      <c r="A603" t="s">
        <v>72</v>
      </c>
      <c r="B603" t="s">
        <v>11416</v>
      </c>
      <c r="C603" t="s">
        <v>74</v>
      </c>
      <c r="D603" t="s">
        <v>74</v>
      </c>
      <c r="E603" t="s">
        <v>74</v>
      </c>
      <c r="F603" t="s">
        <v>11417</v>
      </c>
      <c r="G603" t="s">
        <v>74</v>
      </c>
      <c r="H603" t="s">
        <v>74</v>
      </c>
      <c r="I603" t="s">
        <v>11418</v>
      </c>
      <c r="J603" t="s">
        <v>303</v>
      </c>
      <c r="K603" t="s">
        <v>74</v>
      </c>
      <c r="L603" t="s">
        <v>74</v>
      </c>
      <c r="M603" t="s">
        <v>78</v>
      </c>
      <c r="N603" t="s">
        <v>79</v>
      </c>
      <c r="O603" t="s">
        <v>74</v>
      </c>
      <c r="P603" t="s">
        <v>74</v>
      </c>
      <c r="Q603" t="s">
        <v>74</v>
      </c>
      <c r="R603" t="s">
        <v>74</v>
      </c>
      <c r="S603" t="s">
        <v>74</v>
      </c>
      <c r="T603" t="s">
        <v>11419</v>
      </c>
      <c r="U603" t="s">
        <v>11420</v>
      </c>
      <c r="V603" t="s">
        <v>11421</v>
      </c>
      <c r="W603" t="s">
        <v>11422</v>
      </c>
      <c r="X603" t="s">
        <v>11423</v>
      </c>
      <c r="Y603" t="s">
        <v>11424</v>
      </c>
      <c r="Z603" t="s">
        <v>11425</v>
      </c>
      <c r="AA603" t="s">
        <v>11426</v>
      </c>
      <c r="AB603" t="s">
        <v>11427</v>
      </c>
      <c r="AC603" t="s">
        <v>11428</v>
      </c>
      <c r="AD603" t="s">
        <v>11429</v>
      </c>
      <c r="AE603" t="s">
        <v>11430</v>
      </c>
      <c r="AF603" t="s">
        <v>74</v>
      </c>
      <c r="AG603">
        <v>22</v>
      </c>
      <c r="AH603">
        <v>3</v>
      </c>
      <c r="AI603">
        <v>3</v>
      </c>
      <c r="AJ603">
        <v>1</v>
      </c>
      <c r="AK603">
        <v>10</v>
      </c>
      <c r="AL603" t="s">
        <v>315</v>
      </c>
      <c r="AM603" t="s">
        <v>316</v>
      </c>
      <c r="AN603" t="s">
        <v>317</v>
      </c>
      <c r="AO603" t="s">
        <v>318</v>
      </c>
      <c r="AP603" t="s">
        <v>319</v>
      </c>
      <c r="AQ603" t="s">
        <v>74</v>
      </c>
      <c r="AR603" t="s">
        <v>320</v>
      </c>
      <c r="AS603" t="s">
        <v>321</v>
      </c>
      <c r="AT603" t="s">
        <v>3722</v>
      </c>
      <c r="AU603">
        <v>2020</v>
      </c>
      <c r="AV603">
        <v>39</v>
      </c>
      <c r="AW603" t="s">
        <v>74</v>
      </c>
      <c r="AX603" t="s">
        <v>74</v>
      </c>
      <c r="AY603" t="s">
        <v>74</v>
      </c>
      <c r="AZ603" t="s">
        <v>74</v>
      </c>
      <c r="BA603" t="s">
        <v>74</v>
      </c>
      <c r="BB603" t="s">
        <v>74</v>
      </c>
      <c r="BC603" t="s">
        <v>74</v>
      </c>
      <c r="BD603">
        <v>5146</v>
      </c>
      <c r="BE603" t="s">
        <v>11431</v>
      </c>
      <c r="BF603" t="str">
        <f>HYPERLINK("http://dx.doi.org/10.33265/polar.v39.5146","http://dx.doi.org/10.33265/polar.v39.5146")</f>
        <v>http://dx.doi.org/10.33265/polar.v39.5146</v>
      </c>
      <c r="BG603" t="s">
        <v>74</v>
      </c>
      <c r="BH603" t="s">
        <v>74</v>
      </c>
      <c r="BI603">
        <v>9</v>
      </c>
      <c r="BJ603" t="s">
        <v>323</v>
      </c>
      <c r="BK603" t="s">
        <v>103</v>
      </c>
      <c r="BL603" t="s">
        <v>324</v>
      </c>
      <c r="BM603" t="s">
        <v>11432</v>
      </c>
      <c r="BN603" t="s">
        <v>74</v>
      </c>
      <c r="BO603" t="s">
        <v>326</v>
      </c>
      <c r="BP603" t="s">
        <v>74</v>
      </c>
      <c r="BQ603" t="s">
        <v>74</v>
      </c>
      <c r="BR603" t="s">
        <v>106</v>
      </c>
      <c r="BS603" t="s">
        <v>11433</v>
      </c>
      <c r="BT603" t="str">
        <f>HYPERLINK("https%3A%2F%2Fwww.webofscience.com%2Fwos%2Fwoscc%2Ffull-record%2FWOS:000607062500001","View Full Record in Web of Science")</f>
        <v>View Full Record in Web of Science</v>
      </c>
    </row>
    <row r="604" spans="1:72" x14ac:dyDescent="0.15">
      <c r="A604" t="s">
        <v>72</v>
      </c>
      <c r="B604" t="s">
        <v>11434</v>
      </c>
      <c r="C604" t="s">
        <v>74</v>
      </c>
      <c r="D604" t="s">
        <v>74</v>
      </c>
      <c r="E604" t="s">
        <v>74</v>
      </c>
      <c r="F604" t="s">
        <v>11435</v>
      </c>
      <c r="G604" t="s">
        <v>74</v>
      </c>
      <c r="H604" t="s">
        <v>74</v>
      </c>
      <c r="I604" t="s">
        <v>11436</v>
      </c>
      <c r="J604" t="s">
        <v>1278</v>
      </c>
      <c r="K604" t="s">
        <v>74</v>
      </c>
      <c r="L604" t="s">
        <v>74</v>
      </c>
      <c r="M604" t="s">
        <v>78</v>
      </c>
      <c r="N604" t="s">
        <v>79</v>
      </c>
      <c r="O604" t="s">
        <v>74</v>
      </c>
      <c r="P604" t="s">
        <v>74</v>
      </c>
      <c r="Q604" t="s">
        <v>74</v>
      </c>
      <c r="R604" t="s">
        <v>74</v>
      </c>
      <c r="S604" t="s">
        <v>74</v>
      </c>
      <c r="T604" t="s">
        <v>74</v>
      </c>
      <c r="U604" t="s">
        <v>74</v>
      </c>
      <c r="V604" t="s">
        <v>11437</v>
      </c>
      <c r="W604" t="s">
        <v>11438</v>
      </c>
      <c r="X604" t="s">
        <v>11439</v>
      </c>
      <c r="Y604" t="s">
        <v>11440</v>
      </c>
      <c r="Z604" t="s">
        <v>11441</v>
      </c>
      <c r="AA604" t="s">
        <v>11442</v>
      </c>
      <c r="AB604" t="s">
        <v>11443</v>
      </c>
      <c r="AC604" t="s">
        <v>11444</v>
      </c>
      <c r="AD604" t="s">
        <v>11445</v>
      </c>
      <c r="AE604" t="s">
        <v>11446</v>
      </c>
      <c r="AF604" t="s">
        <v>74</v>
      </c>
      <c r="AG604">
        <v>20</v>
      </c>
      <c r="AH604">
        <v>30</v>
      </c>
      <c r="AI604">
        <v>30</v>
      </c>
      <c r="AJ604">
        <v>0</v>
      </c>
      <c r="AK604">
        <v>16</v>
      </c>
      <c r="AL604" t="s">
        <v>1291</v>
      </c>
      <c r="AM604" t="s">
        <v>629</v>
      </c>
      <c r="AN604" t="s">
        <v>1292</v>
      </c>
      <c r="AO604" t="s">
        <v>1293</v>
      </c>
      <c r="AP604" t="s">
        <v>1294</v>
      </c>
      <c r="AQ604" t="s">
        <v>74</v>
      </c>
      <c r="AR604" t="s">
        <v>1295</v>
      </c>
      <c r="AS604" t="s">
        <v>1296</v>
      </c>
      <c r="AT604" t="s">
        <v>3722</v>
      </c>
      <c r="AU604">
        <v>2020</v>
      </c>
      <c r="AV604">
        <v>47</v>
      </c>
      <c r="AW604">
        <v>24</v>
      </c>
      <c r="AX604" t="s">
        <v>74</v>
      </c>
      <c r="AY604" t="s">
        <v>74</v>
      </c>
      <c r="AZ604" t="s">
        <v>74</v>
      </c>
      <c r="BA604" t="s">
        <v>74</v>
      </c>
      <c r="BB604" t="s">
        <v>74</v>
      </c>
      <c r="BC604" t="s">
        <v>74</v>
      </c>
      <c r="BD604" t="s">
        <v>11447</v>
      </c>
      <c r="BE604" t="s">
        <v>11448</v>
      </c>
      <c r="BF604" t="str">
        <f>HYPERLINK("http://dx.doi.org/10.1029/2020GL090831","http://dx.doi.org/10.1029/2020GL090831")</f>
        <v>http://dx.doi.org/10.1029/2020GL090831</v>
      </c>
      <c r="BG604" t="s">
        <v>74</v>
      </c>
      <c r="BH604" t="s">
        <v>74</v>
      </c>
      <c r="BI604">
        <v>10</v>
      </c>
      <c r="BJ604" t="s">
        <v>401</v>
      </c>
      <c r="BK604" t="s">
        <v>103</v>
      </c>
      <c r="BL604" t="s">
        <v>402</v>
      </c>
      <c r="BM604" t="s">
        <v>11449</v>
      </c>
      <c r="BN604" t="s">
        <v>74</v>
      </c>
      <c r="BO604" t="s">
        <v>8164</v>
      </c>
      <c r="BP604" t="s">
        <v>74</v>
      </c>
      <c r="BQ604" t="s">
        <v>74</v>
      </c>
      <c r="BR604" t="s">
        <v>106</v>
      </c>
      <c r="BS604" t="s">
        <v>11450</v>
      </c>
      <c r="BT604" t="str">
        <f>HYPERLINK("https%3A%2F%2Fwww.webofscience.com%2Fwos%2Fwoscc%2Ffull-record%2FWOS:000603666000016","View Full Record in Web of Science")</f>
        <v>View Full Record in Web of Science</v>
      </c>
    </row>
    <row r="605" spans="1:72" x14ac:dyDescent="0.15">
      <c r="A605" t="s">
        <v>72</v>
      </c>
      <c r="B605" t="s">
        <v>11451</v>
      </c>
      <c r="C605" t="s">
        <v>74</v>
      </c>
      <c r="D605" t="s">
        <v>74</v>
      </c>
      <c r="E605" t="s">
        <v>74</v>
      </c>
      <c r="F605" t="s">
        <v>11452</v>
      </c>
      <c r="G605" t="s">
        <v>74</v>
      </c>
      <c r="H605" t="s">
        <v>74</v>
      </c>
      <c r="I605" t="s">
        <v>11453</v>
      </c>
      <c r="J605" t="s">
        <v>740</v>
      </c>
      <c r="K605" t="s">
        <v>74</v>
      </c>
      <c r="L605" t="s">
        <v>74</v>
      </c>
      <c r="M605" t="s">
        <v>78</v>
      </c>
      <c r="N605" t="s">
        <v>79</v>
      </c>
      <c r="O605" t="s">
        <v>74</v>
      </c>
      <c r="P605" t="s">
        <v>74</v>
      </c>
      <c r="Q605" t="s">
        <v>74</v>
      </c>
      <c r="R605" t="s">
        <v>74</v>
      </c>
      <c r="S605" t="s">
        <v>74</v>
      </c>
      <c r="T605" t="s">
        <v>11454</v>
      </c>
      <c r="U605" t="s">
        <v>11455</v>
      </c>
      <c r="V605" t="s">
        <v>11456</v>
      </c>
      <c r="W605" t="s">
        <v>11457</v>
      </c>
      <c r="X605" t="s">
        <v>11458</v>
      </c>
      <c r="Y605" t="s">
        <v>11459</v>
      </c>
      <c r="Z605" t="s">
        <v>11460</v>
      </c>
      <c r="AA605" t="s">
        <v>11461</v>
      </c>
      <c r="AB605" t="s">
        <v>11462</v>
      </c>
      <c r="AC605" t="s">
        <v>11463</v>
      </c>
      <c r="AD605" t="s">
        <v>11464</v>
      </c>
      <c r="AE605" t="s">
        <v>11465</v>
      </c>
      <c r="AF605" t="s">
        <v>74</v>
      </c>
      <c r="AG605">
        <v>86</v>
      </c>
      <c r="AH605">
        <v>11</v>
      </c>
      <c r="AI605">
        <v>11</v>
      </c>
      <c r="AJ605">
        <v>7</v>
      </c>
      <c r="AK605">
        <v>37</v>
      </c>
      <c r="AL605" t="s">
        <v>552</v>
      </c>
      <c r="AM605" t="s">
        <v>553</v>
      </c>
      <c r="AN605" t="s">
        <v>554</v>
      </c>
      <c r="AO605" t="s">
        <v>753</v>
      </c>
      <c r="AP605" t="s">
        <v>754</v>
      </c>
      <c r="AQ605" t="s">
        <v>74</v>
      </c>
      <c r="AR605" t="s">
        <v>755</v>
      </c>
      <c r="AS605" t="s">
        <v>756</v>
      </c>
      <c r="AT605" t="s">
        <v>347</v>
      </c>
      <c r="AU605">
        <v>2021</v>
      </c>
      <c r="AV605">
        <v>40</v>
      </c>
      <c r="AW605">
        <v>3</v>
      </c>
      <c r="AX605" t="s">
        <v>74</v>
      </c>
      <c r="AY605" t="s">
        <v>74</v>
      </c>
      <c r="AZ605" t="s">
        <v>582</v>
      </c>
      <c r="BA605" t="s">
        <v>74</v>
      </c>
      <c r="BB605">
        <v>799</v>
      </c>
      <c r="BC605">
        <v>810</v>
      </c>
      <c r="BD605" t="s">
        <v>74</v>
      </c>
      <c r="BE605" t="s">
        <v>11466</v>
      </c>
      <c r="BF605" t="str">
        <f>HYPERLINK("http://dx.doi.org/10.1002/etc.4924","http://dx.doi.org/10.1002/etc.4924")</f>
        <v>http://dx.doi.org/10.1002/etc.4924</v>
      </c>
      <c r="BG605" t="s">
        <v>74</v>
      </c>
      <c r="BH605" t="s">
        <v>11309</v>
      </c>
      <c r="BI605">
        <v>12</v>
      </c>
      <c r="BJ605" t="s">
        <v>480</v>
      </c>
      <c r="BK605" t="s">
        <v>103</v>
      </c>
      <c r="BL605" t="s">
        <v>481</v>
      </c>
      <c r="BM605" t="s">
        <v>11467</v>
      </c>
      <c r="BN605">
        <v>33170512</v>
      </c>
      <c r="BO605" t="s">
        <v>1356</v>
      </c>
      <c r="BP605" t="s">
        <v>74</v>
      </c>
      <c r="BQ605" t="s">
        <v>74</v>
      </c>
      <c r="BR605" t="s">
        <v>106</v>
      </c>
      <c r="BS605" t="s">
        <v>11468</v>
      </c>
      <c r="BT605" t="str">
        <f>HYPERLINK("https%3A%2F%2Fwww.webofscience.com%2Fwos%2Fwoscc%2Ffull-record%2FWOS:000602704400001","View Full Record in Web of Science")</f>
        <v>View Full Record in Web of Science</v>
      </c>
    </row>
    <row r="606" spans="1:72" x14ac:dyDescent="0.15">
      <c r="A606" t="s">
        <v>72</v>
      </c>
      <c r="B606" t="s">
        <v>11469</v>
      </c>
      <c r="C606" t="s">
        <v>74</v>
      </c>
      <c r="D606" t="s">
        <v>74</v>
      </c>
      <c r="E606" t="s">
        <v>74</v>
      </c>
      <c r="F606" t="s">
        <v>11470</v>
      </c>
      <c r="G606" t="s">
        <v>74</v>
      </c>
      <c r="H606" t="s">
        <v>74</v>
      </c>
      <c r="I606" t="s">
        <v>11471</v>
      </c>
      <c r="J606" t="s">
        <v>11292</v>
      </c>
      <c r="K606" t="s">
        <v>74</v>
      </c>
      <c r="L606" t="s">
        <v>74</v>
      </c>
      <c r="M606" t="s">
        <v>78</v>
      </c>
      <c r="N606" t="s">
        <v>79</v>
      </c>
      <c r="O606" t="s">
        <v>74</v>
      </c>
      <c r="P606" t="s">
        <v>74</v>
      </c>
      <c r="Q606" t="s">
        <v>74</v>
      </c>
      <c r="R606" t="s">
        <v>74</v>
      </c>
      <c r="S606" t="s">
        <v>74</v>
      </c>
      <c r="T606" t="s">
        <v>11472</v>
      </c>
      <c r="U606" t="s">
        <v>11473</v>
      </c>
      <c r="V606" t="s">
        <v>11474</v>
      </c>
      <c r="W606" t="s">
        <v>11475</v>
      </c>
      <c r="X606" t="s">
        <v>11476</v>
      </c>
      <c r="Y606" t="s">
        <v>11477</v>
      </c>
      <c r="Z606" t="s">
        <v>11478</v>
      </c>
      <c r="AA606" t="s">
        <v>11479</v>
      </c>
      <c r="AB606" t="s">
        <v>11480</v>
      </c>
      <c r="AC606" t="s">
        <v>11481</v>
      </c>
      <c r="AD606" t="s">
        <v>11482</v>
      </c>
      <c r="AE606" t="s">
        <v>11483</v>
      </c>
      <c r="AF606" t="s">
        <v>74</v>
      </c>
      <c r="AG606">
        <v>76</v>
      </c>
      <c r="AH606">
        <v>5</v>
      </c>
      <c r="AI606">
        <v>6</v>
      </c>
      <c r="AJ606">
        <v>2</v>
      </c>
      <c r="AK606">
        <v>12</v>
      </c>
      <c r="AL606" t="s">
        <v>552</v>
      </c>
      <c r="AM606" t="s">
        <v>553</v>
      </c>
      <c r="AN606" t="s">
        <v>554</v>
      </c>
      <c r="AO606" t="s">
        <v>11305</v>
      </c>
      <c r="AP606" t="s">
        <v>74</v>
      </c>
      <c r="AQ606" t="s">
        <v>74</v>
      </c>
      <c r="AR606" t="s">
        <v>11306</v>
      </c>
      <c r="AS606" t="s">
        <v>11307</v>
      </c>
      <c r="AT606" t="s">
        <v>374</v>
      </c>
      <c r="AU606">
        <v>2021</v>
      </c>
      <c r="AV606">
        <v>11</v>
      </c>
      <c r="AW606">
        <v>2</v>
      </c>
      <c r="AX606" t="s">
        <v>74</v>
      </c>
      <c r="AY606" t="s">
        <v>74</v>
      </c>
      <c r="AZ606" t="s">
        <v>74</v>
      </c>
      <c r="BA606" t="s">
        <v>74</v>
      </c>
      <c r="BB606">
        <v>1023</v>
      </c>
      <c r="BC606">
        <v>1036</v>
      </c>
      <c r="BD606" t="s">
        <v>74</v>
      </c>
      <c r="BE606" t="s">
        <v>11484</v>
      </c>
      <c r="BF606" t="str">
        <f>HYPERLINK("http://dx.doi.org/10.1002/ece3.7119","http://dx.doi.org/10.1002/ece3.7119")</f>
        <v>http://dx.doi.org/10.1002/ece3.7119</v>
      </c>
      <c r="BG606" t="s">
        <v>74</v>
      </c>
      <c r="BH606" t="s">
        <v>11309</v>
      </c>
      <c r="BI606">
        <v>14</v>
      </c>
      <c r="BJ606" t="s">
        <v>11310</v>
      </c>
      <c r="BK606" t="s">
        <v>103</v>
      </c>
      <c r="BL606" t="s">
        <v>5971</v>
      </c>
      <c r="BM606" t="s">
        <v>11311</v>
      </c>
      <c r="BN606">
        <v>33520184</v>
      </c>
      <c r="BO606" t="s">
        <v>561</v>
      </c>
      <c r="BP606" t="s">
        <v>74</v>
      </c>
      <c r="BQ606" t="s">
        <v>74</v>
      </c>
      <c r="BR606" t="s">
        <v>106</v>
      </c>
      <c r="BS606" t="s">
        <v>11485</v>
      </c>
      <c r="BT606" t="str">
        <f>HYPERLINK("https%3A%2F%2Fwww.webofscience.com%2Fwos%2Fwoscc%2Ffull-record%2FWOS:000602669200001","View Full Record in Web of Science")</f>
        <v>View Full Record in Web of Science</v>
      </c>
    </row>
    <row r="607" spans="1:72" x14ac:dyDescent="0.15">
      <c r="A607" t="s">
        <v>72</v>
      </c>
      <c r="B607" t="s">
        <v>11486</v>
      </c>
      <c r="C607" t="s">
        <v>74</v>
      </c>
      <c r="D607" t="s">
        <v>74</v>
      </c>
      <c r="E607" t="s">
        <v>74</v>
      </c>
      <c r="F607" t="s">
        <v>11487</v>
      </c>
      <c r="G607" t="s">
        <v>74</v>
      </c>
      <c r="H607" t="s">
        <v>74</v>
      </c>
      <c r="I607" t="s">
        <v>11488</v>
      </c>
      <c r="J607" t="s">
        <v>11489</v>
      </c>
      <c r="K607" t="s">
        <v>74</v>
      </c>
      <c r="L607" t="s">
        <v>74</v>
      </c>
      <c r="M607" t="s">
        <v>78</v>
      </c>
      <c r="N607" t="s">
        <v>79</v>
      </c>
      <c r="O607" t="s">
        <v>74</v>
      </c>
      <c r="P607" t="s">
        <v>74</v>
      </c>
      <c r="Q607" t="s">
        <v>74</v>
      </c>
      <c r="R607" t="s">
        <v>74</v>
      </c>
      <c r="S607" t="s">
        <v>74</v>
      </c>
      <c r="T607" t="s">
        <v>11490</v>
      </c>
      <c r="U607" t="s">
        <v>11491</v>
      </c>
      <c r="V607" t="s">
        <v>11492</v>
      </c>
      <c r="W607" t="s">
        <v>11493</v>
      </c>
      <c r="X607" t="s">
        <v>11494</v>
      </c>
      <c r="Y607" t="s">
        <v>11495</v>
      </c>
      <c r="Z607" t="s">
        <v>11496</v>
      </c>
      <c r="AA607" t="s">
        <v>11497</v>
      </c>
      <c r="AB607" t="s">
        <v>11498</v>
      </c>
      <c r="AC607" t="s">
        <v>11499</v>
      </c>
      <c r="AD607" t="s">
        <v>11499</v>
      </c>
      <c r="AE607" t="s">
        <v>11500</v>
      </c>
      <c r="AF607" t="s">
        <v>74</v>
      </c>
      <c r="AG607">
        <v>51</v>
      </c>
      <c r="AH607">
        <v>8</v>
      </c>
      <c r="AI607">
        <v>9</v>
      </c>
      <c r="AJ607">
        <v>0</v>
      </c>
      <c r="AK607">
        <v>17</v>
      </c>
      <c r="AL607" t="s">
        <v>802</v>
      </c>
      <c r="AM607" t="s">
        <v>178</v>
      </c>
      <c r="AN607" t="s">
        <v>803</v>
      </c>
      <c r="AO607" t="s">
        <v>11501</v>
      </c>
      <c r="AP607" t="s">
        <v>11502</v>
      </c>
      <c r="AQ607" t="s">
        <v>74</v>
      </c>
      <c r="AR607" t="s">
        <v>11503</v>
      </c>
      <c r="AS607" t="s">
        <v>11504</v>
      </c>
      <c r="AT607" t="s">
        <v>831</v>
      </c>
      <c r="AU607">
        <v>2021</v>
      </c>
      <c r="AV607">
        <v>131</v>
      </c>
      <c r="AW607">
        <v>1</v>
      </c>
      <c r="AX607" t="s">
        <v>74</v>
      </c>
      <c r="AY607" t="s">
        <v>74</v>
      </c>
      <c r="AZ607" t="s">
        <v>74</v>
      </c>
      <c r="BA607" t="s">
        <v>74</v>
      </c>
      <c r="BB607">
        <v>80</v>
      </c>
      <c r="BC607">
        <v>92</v>
      </c>
      <c r="BD607" t="s">
        <v>74</v>
      </c>
      <c r="BE607" t="s">
        <v>11505</v>
      </c>
      <c r="BF607" t="str">
        <f>HYPERLINK("http://dx.doi.org/10.1111/jam.14969","http://dx.doi.org/10.1111/jam.14969")</f>
        <v>http://dx.doi.org/10.1111/jam.14969</v>
      </c>
      <c r="BG607" t="s">
        <v>74</v>
      </c>
      <c r="BH607" t="s">
        <v>11309</v>
      </c>
      <c r="BI607">
        <v>13</v>
      </c>
      <c r="BJ607" t="s">
        <v>709</v>
      </c>
      <c r="BK607" t="s">
        <v>103</v>
      </c>
      <c r="BL607" t="s">
        <v>709</v>
      </c>
      <c r="BM607" t="s">
        <v>11506</v>
      </c>
      <c r="BN607">
        <v>33326661</v>
      </c>
      <c r="BO607" t="s">
        <v>74</v>
      </c>
      <c r="BP607" t="s">
        <v>74</v>
      </c>
      <c r="BQ607" t="s">
        <v>74</v>
      </c>
      <c r="BR607" t="s">
        <v>106</v>
      </c>
      <c r="BS607" t="s">
        <v>11507</v>
      </c>
      <c r="BT607" t="str">
        <f>HYPERLINK("https%3A%2F%2Fwww.webofscience.com%2Fwos%2Fwoscc%2Ffull-record%2FWOS:000602652200001","View Full Record in Web of Science")</f>
        <v>View Full Record in Web of Science</v>
      </c>
    </row>
    <row r="608" spans="1:72" x14ac:dyDescent="0.15">
      <c r="A608" t="s">
        <v>72</v>
      </c>
      <c r="B608" t="s">
        <v>11508</v>
      </c>
      <c r="C608" t="s">
        <v>74</v>
      </c>
      <c r="D608" t="s">
        <v>74</v>
      </c>
      <c r="E608" t="s">
        <v>74</v>
      </c>
      <c r="F608" t="s">
        <v>11509</v>
      </c>
      <c r="G608" t="s">
        <v>74</v>
      </c>
      <c r="H608" t="s">
        <v>74</v>
      </c>
      <c r="I608" t="s">
        <v>11510</v>
      </c>
      <c r="J608" t="s">
        <v>515</v>
      </c>
      <c r="K608" t="s">
        <v>74</v>
      </c>
      <c r="L608" t="s">
        <v>74</v>
      </c>
      <c r="M608" t="s">
        <v>78</v>
      </c>
      <c r="N608" t="s">
        <v>79</v>
      </c>
      <c r="O608" t="s">
        <v>74</v>
      </c>
      <c r="P608" t="s">
        <v>74</v>
      </c>
      <c r="Q608" t="s">
        <v>74</v>
      </c>
      <c r="R608" t="s">
        <v>74</v>
      </c>
      <c r="S608" t="s">
        <v>74</v>
      </c>
      <c r="T608" t="s">
        <v>74</v>
      </c>
      <c r="U608" t="s">
        <v>11511</v>
      </c>
      <c r="V608" t="s">
        <v>11512</v>
      </c>
      <c r="W608" t="s">
        <v>11513</v>
      </c>
      <c r="X608" t="s">
        <v>5705</v>
      </c>
      <c r="Y608" t="s">
        <v>11514</v>
      </c>
      <c r="Z608" t="s">
        <v>11515</v>
      </c>
      <c r="AA608" t="s">
        <v>11516</v>
      </c>
      <c r="AB608" t="s">
        <v>11517</v>
      </c>
      <c r="AC608" t="s">
        <v>6817</v>
      </c>
      <c r="AD608" t="s">
        <v>5636</v>
      </c>
      <c r="AE608" t="s">
        <v>74</v>
      </c>
      <c r="AF608" t="s">
        <v>74</v>
      </c>
      <c r="AG608">
        <v>62</v>
      </c>
      <c r="AH608">
        <v>31</v>
      </c>
      <c r="AI608">
        <v>33</v>
      </c>
      <c r="AJ608">
        <v>2</v>
      </c>
      <c r="AK608">
        <v>27</v>
      </c>
      <c r="AL608" t="s">
        <v>527</v>
      </c>
      <c r="AM608" t="s">
        <v>528</v>
      </c>
      <c r="AN608" t="s">
        <v>529</v>
      </c>
      <c r="AO608" t="s">
        <v>74</v>
      </c>
      <c r="AP608" t="s">
        <v>530</v>
      </c>
      <c r="AQ608" t="s">
        <v>74</v>
      </c>
      <c r="AR608" t="s">
        <v>531</v>
      </c>
      <c r="AS608" t="s">
        <v>532</v>
      </c>
      <c r="AT608" t="s">
        <v>11518</v>
      </c>
      <c r="AU608">
        <v>2020</v>
      </c>
      <c r="AV608">
        <v>11</v>
      </c>
      <c r="AW608">
        <v>1</v>
      </c>
      <c r="AX608" t="s">
        <v>74</v>
      </c>
      <c r="AY608" t="s">
        <v>74</v>
      </c>
      <c r="AZ608" t="s">
        <v>74</v>
      </c>
      <c r="BA608" t="s">
        <v>74</v>
      </c>
      <c r="BB608" t="s">
        <v>74</v>
      </c>
      <c r="BC608" t="s">
        <v>74</v>
      </c>
      <c r="BD608">
        <v>6051</v>
      </c>
      <c r="BE608" t="s">
        <v>11519</v>
      </c>
      <c r="BF608" t="str">
        <f>HYPERLINK("http://dx.doi.org/10.1038/s41467-020-19956-7","http://dx.doi.org/10.1038/s41467-020-19956-7")</f>
        <v>http://dx.doi.org/10.1038/s41467-020-19956-7</v>
      </c>
      <c r="BG608" t="s">
        <v>74</v>
      </c>
      <c r="BH608" t="s">
        <v>74</v>
      </c>
      <c r="BI608">
        <v>8</v>
      </c>
      <c r="BJ608" t="s">
        <v>534</v>
      </c>
      <c r="BK608" t="s">
        <v>103</v>
      </c>
      <c r="BL608" t="s">
        <v>535</v>
      </c>
      <c r="BM608" t="s">
        <v>11520</v>
      </c>
      <c r="BN608">
        <v>33247126</v>
      </c>
      <c r="BO608" t="s">
        <v>510</v>
      </c>
      <c r="BP608" t="s">
        <v>74</v>
      </c>
      <c r="BQ608" t="s">
        <v>74</v>
      </c>
      <c r="BR608" t="s">
        <v>106</v>
      </c>
      <c r="BS608" t="s">
        <v>11521</v>
      </c>
      <c r="BT608" t="str">
        <f>HYPERLINK("https%3A%2F%2Fwww.webofscience.com%2Fwos%2Fwoscc%2Ffull-record%2FWOS:000596476900028","View Full Record in Web of Science")</f>
        <v>View Full Record in Web of Science</v>
      </c>
    </row>
    <row r="609" spans="1:72" x14ac:dyDescent="0.15">
      <c r="A609" t="s">
        <v>72</v>
      </c>
      <c r="B609" t="s">
        <v>11522</v>
      </c>
      <c r="C609" t="s">
        <v>74</v>
      </c>
      <c r="D609" t="s">
        <v>74</v>
      </c>
      <c r="E609" t="s">
        <v>74</v>
      </c>
      <c r="F609" t="s">
        <v>11523</v>
      </c>
      <c r="G609" t="s">
        <v>74</v>
      </c>
      <c r="H609" t="s">
        <v>74</v>
      </c>
      <c r="I609" t="s">
        <v>11524</v>
      </c>
      <c r="J609" t="s">
        <v>11525</v>
      </c>
      <c r="K609" t="s">
        <v>74</v>
      </c>
      <c r="L609" t="s">
        <v>74</v>
      </c>
      <c r="M609" t="s">
        <v>78</v>
      </c>
      <c r="N609" t="s">
        <v>141</v>
      </c>
      <c r="O609" t="s">
        <v>74</v>
      </c>
      <c r="P609" t="s">
        <v>74</v>
      </c>
      <c r="Q609" t="s">
        <v>74</v>
      </c>
      <c r="R609" t="s">
        <v>74</v>
      </c>
      <c r="S609" t="s">
        <v>74</v>
      </c>
      <c r="T609" t="s">
        <v>11526</v>
      </c>
      <c r="U609" t="s">
        <v>11527</v>
      </c>
      <c r="V609" t="s">
        <v>11528</v>
      </c>
      <c r="W609" t="s">
        <v>11529</v>
      </c>
      <c r="X609" t="s">
        <v>11124</v>
      </c>
      <c r="Y609" t="s">
        <v>11530</v>
      </c>
      <c r="Z609" t="s">
        <v>11531</v>
      </c>
      <c r="AA609" t="s">
        <v>11532</v>
      </c>
      <c r="AB609" t="s">
        <v>11533</v>
      </c>
      <c r="AC609" t="s">
        <v>11534</v>
      </c>
      <c r="AD609" t="s">
        <v>11535</v>
      </c>
      <c r="AE609" t="s">
        <v>11536</v>
      </c>
      <c r="AF609" t="s">
        <v>74</v>
      </c>
      <c r="AG609">
        <v>242</v>
      </c>
      <c r="AH609">
        <v>9</v>
      </c>
      <c r="AI609">
        <v>9</v>
      </c>
      <c r="AJ609">
        <v>0</v>
      </c>
      <c r="AK609">
        <v>18</v>
      </c>
      <c r="AL609" t="s">
        <v>552</v>
      </c>
      <c r="AM609" t="s">
        <v>553</v>
      </c>
      <c r="AN609" t="s">
        <v>554</v>
      </c>
      <c r="AO609" t="s">
        <v>11537</v>
      </c>
      <c r="AP609" t="s">
        <v>11538</v>
      </c>
      <c r="AQ609" t="s">
        <v>74</v>
      </c>
      <c r="AR609" t="s">
        <v>11539</v>
      </c>
      <c r="AS609" t="s">
        <v>11540</v>
      </c>
      <c r="AT609" t="s">
        <v>707</v>
      </c>
      <c r="AU609">
        <v>2021</v>
      </c>
      <c r="AV609">
        <v>13</v>
      </c>
      <c r="AW609">
        <v>3</v>
      </c>
      <c r="AX609" t="s">
        <v>74</v>
      </c>
      <c r="AY609" t="s">
        <v>74</v>
      </c>
      <c r="AZ609" t="s">
        <v>74</v>
      </c>
      <c r="BA609" t="s">
        <v>74</v>
      </c>
      <c r="BB609">
        <v>1255</v>
      </c>
      <c r="BC609">
        <v>1284</v>
      </c>
      <c r="BD609" t="s">
        <v>74</v>
      </c>
      <c r="BE609" t="s">
        <v>11541</v>
      </c>
      <c r="BF609" t="str">
        <f>HYPERLINK("http://dx.doi.org/10.1111/raq.12522","http://dx.doi.org/10.1111/raq.12522")</f>
        <v>http://dx.doi.org/10.1111/raq.12522</v>
      </c>
      <c r="BG609" t="s">
        <v>74</v>
      </c>
      <c r="BH609" t="s">
        <v>11309</v>
      </c>
      <c r="BI609">
        <v>30</v>
      </c>
      <c r="BJ609" t="s">
        <v>11264</v>
      </c>
      <c r="BK609" t="s">
        <v>103</v>
      </c>
      <c r="BL609" t="s">
        <v>11264</v>
      </c>
      <c r="BM609" t="s">
        <v>11542</v>
      </c>
      <c r="BN609" t="s">
        <v>74</v>
      </c>
      <c r="BO609" t="s">
        <v>74</v>
      </c>
      <c r="BP609" t="s">
        <v>74</v>
      </c>
      <c r="BQ609" t="s">
        <v>74</v>
      </c>
      <c r="BR609" t="s">
        <v>106</v>
      </c>
      <c r="BS609" t="s">
        <v>11543</v>
      </c>
      <c r="BT609" t="str">
        <f>HYPERLINK("https%3A%2F%2Fwww.webofscience.com%2Fwos%2Fwoscc%2Ffull-record%2FWOS:000601920500001","View Full Record in Web of Science")</f>
        <v>View Full Record in Web of Science</v>
      </c>
    </row>
    <row r="610" spans="1:72" x14ac:dyDescent="0.15">
      <c r="A610" t="s">
        <v>72</v>
      </c>
      <c r="B610" t="s">
        <v>11544</v>
      </c>
      <c r="C610" t="s">
        <v>74</v>
      </c>
      <c r="D610" t="s">
        <v>74</v>
      </c>
      <c r="E610" t="s">
        <v>74</v>
      </c>
      <c r="F610" t="s">
        <v>9160</v>
      </c>
      <c r="G610" t="s">
        <v>74</v>
      </c>
      <c r="H610" t="s">
        <v>74</v>
      </c>
      <c r="I610" t="s">
        <v>11545</v>
      </c>
      <c r="J610" t="s">
        <v>9162</v>
      </c>
      <c r="K610" t="s">
        <v>74</v>
      </c>
      <c r="L610" t="s">
        <v>74</v>
      </c>
      <c r="M610" t="s">
        <v>78</v>
      </c>
      <c r="N610" t="s">
        <v>79</v>
      </c>
      <c r="O610" t="s">
        <v>74</v>
      </c>
      <c r="P610" t="s">
        <v>74</v>
      </c>
      <c r="Q610" t="s">
        <v>74</v>
      </c>
      <c r="R610" t="s">
        <v>74</v>
      </c>
      <c r="S610" t="s">
        <v>74</v>
      </c>
      <c r="T610" t="s">
        <v>11546</v>
      </c>
      <c r="U610" t="s">
        <v>11547</v>
      </c>
      <c r="V610" t="s">
        <v>11548</v>
      </c>
      <c r="W610" t="s">
        <v>11549</v>
      </c>
      <c r="X610" t="s">
        <v>11550</v>
      </c>
      <c r="Y610" t="s">
        <v>11551</v>
      </c>
      <c r="Z610" t="s">
        <v>11552</v>
      </c>
      <c r="AA610" t="s">
        <v>74</v>
      </c>
      <c r="AB610" t="s">
        <v>9169</v>
      </c>
      <c r="AC610" t="s">
        <v>11553</v>
      </c>
      <c r="AD610" t="s">
        <v>11553</v>
      </c>
      <c r="AE610" t="s">
        <v>11554</v>
      </c>
      <c r="AF610" t="s">
        <v>74</v>
      </c>
      <c r="AG610">
        <v>77</v>
      </c>
      <c r="AH610">
        <v>8</v>
      </c>
      <c r="AI610">
        <v>9</v>
      </c>
      <c r="AJ610">
        <v>3</v>
      </c>
      <c r="AK610">
        <v>10</v>
      </c>
      <c r="AL610" t="s">
        <v>418</v>
      </c>
      <c r="AM610" t="s">
        <v>178</v>
      </c>
      <c r="AN610" t="s">
        <v>419</v>
      </c>
      <c r="AO610" t="s">
        <v>9172</v>
      </c>
      <c r="AP610" t="s">
        <v>9173</v>
      </c>
      <c r="AQ610" t="s">
        <v>74</v>
      </c>
      <c r="AR610" t="s">
        <v>9174</v>
      </c>
      <c r="AS610" t="s">
        <v>9175</v>
      </c>
      <c r="AT610" t="s">
        <v>11555</v>
      </c>
      <c r="AU610">
        <v>2020</v>
      </c>
      <c r="AV610">
        <v>210</v>
      </c>
      <c r="AW610" t="s">
        <v>74</v>
      </c>
      <c r="AX610" t="s">
        <v>74</v>
      </c>
      <c r="AY610" t="s">
        <v>74</v>
      </c>
      <c r="AZ610" t="s">
        <v>74</v>
      </c>
      <c r="BA610" t="s">
        <v>74</v>
      </c>
      <c r="BB610" t="s">
        <v>74</v>
      </c>
      <c r="BC610" t="s">
        <v>74</v>
      </c>
      <c r="BD610">
        <v>104257</v>
      </c>
      <c r="BE610" t="s">
        <v>11556</v>
      </c>
      <c r="BF610" t="str">
        <f>HYPERLINK("http://dx.doi.org/10.1016/j.csr.2020.104257","http://dx.doi.org/10.1016/j.csr.2020.104257")</f>
        <v>http://dx.doi.org/10.1016/j.csr.2020.104257</v>
      </c>
      <c r="BG610" t="s">
        <v>74</v>
      </c>
      <c r="BH610" t="s">
        <v>74</v>
      </c>
      <c r="BI610">
        <v>13</v>
      </c>
      <c r="BJ610" t="s">
        <v>2250</v>
      </c>
      <c r="BK610" t="s">
        <v>103</v>
      </c>
      <c r="BL610" t="s">
        <v>2250</v>
      </c>
      <c r="BM610" t="s">
        <v>11557</v>
      </c>
      <c r="BN610" t="s">
        <v>74</v>
      </c>
      <c r="BO610" t="s">
        <v>74</v>
      </c>
      <c r="BP610" t="s">
        <v>74</v>
      </c>
      <c r="BQ610" t="s">
        <v>74</v>
      </c>
      <c r="BR610" t="s">
        <v>106</v>
      </c>
      <c r="BS610" t="s">
        <v>11558</v>
      </c>
      <c r="BT610" t="str">
        <f>HYPERLINK("https%3A%2F%2Fwww.webofscience.com%2Fwos%2Fwoscc%2Ffull-record%2FWOS:000592501300003","View Full Record in Web of Science")</f>
        <v>View Full Record in Web of Science</v>
      </c>
    </row>
    <row r="611" spans="1:72" x14ac:dyDescent="0.15">
      <c r="A611" t="s">
        <v>72</v>
      </c>
      <c r="B611" t="s">
        <v>11559</v>
      </c>
      <c r="C611" t="s">
        <v>74</v>
      </c>
      <c r="D611" t="s">
        <v>74</v>
      </c>
      <c r="E611" t="s">
        <v>74</v>
      </c>
      <c r="F611" t="s">
        <v>11560</v>
      </c>
      <c r="G611" t="s">
        <v>74</v>
      </c>
      <c r="H611" t="s">
        <v>74</v>
      </c>
      <c r="I611" t="s">
        <v>11561</v>
      </c>
      <c r="J611" t="s">
        <v>11562</v>
      </c>
      <c r="K611" t="s">
        <v>74</v>
      </c>
      <c r="L611" t="s">
        <v>74</v>
      </c>
      <c r="M611" t="s">
        <v>78</v>
      </c>
      <c r="N611" t="s">
        <v>79</v>
      </c>
      <c r="O611" t="s">
        <v>74</v>
      </c>
      <c r="P611" t="s">
        <v>74</v>
      </c>
      <c r="Q611" t="s">
        <v>74</v>
      </c>
      <c r="R611" t="s">
        <v>74</v>
      </c>
      <c r="S611" t="s">
        <v>74</v>
      </c>
      <c r="T611" t="s">
        <v>11563</v>
      </c>
      <c r="U611" t="s">
        <v>74</v>
      </c>
      <c r="V611" t="s">
        <v>11564</v>
      </c>
      <c r="W611" t="s">
        <v>11565</v>
      </c>
      <c r="X611" t="s">
        <v>11566</v>
      </c>
      <c r="Y611" t="s">
        <v>11567</v>
      </c>
      <c r="Z611" t="s">
        <v>11568</v>
      </c>
      <c r="AA611" t="s">
        <v>11569</v>
      </c>
      <c r="AB611" t="s">
        <v>11570</v>
      </c>
      <c r="AC611" t="s">
        <v>11571</v>
      </c>
      <c r="AD611" t="s">
        <v>11572</v>
      </c>
      <c r="AE611" t="s">
        <v>11573</v>
      </c>
      <c r="AF611" t="s">
        <v>74</v>
      </c>
      <c r="AG611">
        <v>38</v>
      </c>
      <c r="AH611">
        <v>5</v>
      </c>
      <c r="AI611">
        <v>9</v>
      </c>
      <c r="AJ611">
        <v>6</v>
      </c>
      <c r="AK611">
        <v>47</v>
      </c>
      <c r="AL611" t="s">
        <v>2630</v>
      </c>
      <c r="AM611" t="s">
        <v>2631</v>
      </c>
      <c r="AN611" t="s">
        <v>2632</v>
      </c>
      <c r="AO611" t="s">
        <v>11574</v>
      </c>
      <c r="AP611" t="s">
        <v>11575</v>
      </c>
      <c r="AQ611" t="s">
        <v>74</v>
      </c>
      <c r="AR611" t="s">
        <v>11576</v>
      </c>
      <c r="AS611" t="s">
        <v>11577</v>
      </c>
      <c r="AT611" t="s">
        <v>11578</v>
      </c>
      <c r="AU611">
        <v>2021</v>
      </c>
      <c r="AV611">
        <v>14</v>
      </c>
      <c r="AW611">
        <v>5</v>
      </c>
      <c r="AX611" t="s">
        <v>74</v>
      </c>
      <c r="AY611" t="s">
        <v>74</v>
      </c>
      <c r="AZ611" t="s">
        <v>74</v>
      </c>
      <c r="BA611" t="s">
        <v>74</v>
      </c>
      <c r="BB611">
        <v>597</v>
      </c>
      <c r="BC611">
        <v>618</v>
      </c>
      <c r="BD611" t="s">
        <v>74</v>
      </c>
      <c r="BE611" t="s">
        <v>11579</v>
      </c>
      <c r="BF611" t="str">
        <f>HYPERLINK("http://dx.doi.org/10.1080/17538947.2020.1862317","http://dx.doi.org/10.1080/17538947.2020.1862317")</f>
        <v>http://dx.doi.org/10.1080/17538947.2020.1862317</v>
      </c>
      <c r="BG611" t="s">
        <v>74</v>
      </c>
      <c r="BH611" t="s">
        <v>11309</v>
      </c>
      <c r="BI611">
        <v>22</v>
      </c>
      <c r="BJ611" t="s">
        <v>11580</v>
      </c>
      <c r="BK611" t="s">
        <v>103</v>
      </c>
      <c r="BL611" t="s">
        <v>11581</v>
      </c>
      <c r="BM611" t="s">
        <v>11582</v>
      </c>
      <c r="BN611" t="s">
        <v>74</v>
      </c>
      <c r="BO611" t="s">
        <v>3283</v>
      </c>
      <c r="BP611" t="s">
        <v>74</v>
      </c>
      <c r="BQ611" t="s">
        <v>74</v>
      </c>
      <c r="BR611" t="s">
        <v>106</v>
      </c>
      <c r="BS611" t="s">
        <v>11583</v>
      </c>
      <c r="BT611" t="str">
        <f>HYPERLINK("https%3A%2F%2Fwww.webofscience.com%2Fwos%2Fwoscc%2Ffull-record%2FWOS:000603803200001","View Full Record in Web of Science")</f>
        <v>View Full Record in Web of Science</v>
      </c>
    </row>
    <row r="612" spans="1:72" x14ac:dyDescent="0.15">
      <c r="A612" t="s">
        <v>72</v>
      </c>
      <c r="B612" t="s">
        <v>11584</v>
      </c>
      <c r="C612" t="s">
        <v>74</v>
      </c>
      <c r="D612" t="s">
        <v>74</v>
      </c>
      <c r="E612" t="s">
        <v>74</v>
      </c>
      <c r="F612" t="s">
        <v>11585</v>
      </c>
      <c r="G612" t="s">
        <v>74</v>
      </c>
      <c r="H612" t="s">
        <v>74</v>
      </c>
      <c r="I612" t="s">
        <v>11586</v>
      </c>
      <c r="J612" t="s">
        <v>11587</v>
      </c>
      <c r="K612" t="s">
        <v>74</v>
      </c>
      <c r="L612" t="s">
        <v>74</v>
      </c>
      <c r="M612" t="s">
        <v>78</v>
      </c>
      <c r="N612" t="s">
        <v>79</v>
      </c>
      <c r="O612" t="s">
        <v>74</v>
      </c>
      <c r="P612" t="s">
        <v>74</v>
      </c>
      <c r="Q612" t="s">
        <v>74</v>
      </c>
      <c r="R612" t="s">
        <v>74</v>
      </c>
      <c r="S612" t="s">
        <v>74</v>
      </c>
      <c r="T612" t="s">
        <v>11588</v>
      </c>
      <c r="U612" t="s">
        <v>11589</v>
      </c>
      <c r="V612" t="s">
        <v>11590</v>
      </c>
      <c r="W612" t="s">
        <v>11591</v>
      </c>
      <c r="X612" t="s">
        <v>11592</v>
      </c>
      <c r="Y612" t="s">
        <v>11593</v>
      </c>
      <c r="Z612" t="s">
        <v>11594</v>
      </c>
      <c r="AA612" t="s">
        <v>11595</v>
      </c>
      <c r="AB612" t="s">
        <v>11596</v>
      </c>
      <c r="AC612" t="s">
        <v>11597</v>
      </c>
      <c r="AD612" t="s">
        <v>11598</v>
      </c>
      <c r="AE612" t="s">
        <v>11599</v>
      </c>
      <c r="AF612" t="s">
        <v>74</v>
      </c>
      <c r="AG612">
        <v>55</v>
      </c>
      <c r="AH612">
        <v>4</v>
      </c>
      <c r="AI612">
        <v>4</v>
      </c>
      <c r="AJ612">
        <v>5</v>
      </c>
      <c r="AK612">
        <v>18</v>
      </c>
      <c r="AL612" t="s">
        <v>11600</v>
      </c>
      <c r="AM612" t="s">
        <v>11601</v>
      </c>
      <c r="AN612" t="s">
        <v>11602</v>
      </c>
      <c r="AO612" t="s">
        <v>11603</v>
      </c>
      <c r="AP612" t="s">
        <v>74</v>
      </c>
      <c r="AQ612" t="s">
        <v>74</v>
      </c>
      <c r="AR612" t="s">
        <v>11604</v>
      </c>
      <c r="AS612" t="s">
        <v>11605</v>
      </c>
      <c r="AT612" t="s">
        <v>11606</v>
      </c>
      <c r="AU612">
        <v>2020</v>
      </c>
      <c r="AV612">
        <v>119</v>
      </c>
      <c r="AW612">
        <v>12</v>
      </c>
      <c r="AX612" t="s">
        <v>74</v>
      </c>
      <c r="AY612" t="s">
        <v>74</v>
      </c>
      <c r="AZ612" t="s">
        <v>74</v>
      </c>
      <c r="BA612" t="s">
        <v>74</v>
      </c>
      <c r="BB612">
        <v>1961</v>
      </c>
      <c r="BC612">
        <v>1973</v>
      </c>
      <c r="BD612" t="s">
        <v>74</v>
      </c>
      <c r="BE612" t="s">
        <v>11607</v>
      </c>
      <c r="BF612" t="str">
        <f>HYPERLINK("http://dx.doi.org/10.18520/cs/v119/i12/1961-1973","http://dx.doi.org/10.18520/cs/v119/i12/1961-1973")</f>
        <v>http://dx.doi.org/10.18520/cs/v119/i12/1961-1973</v>
      </c>
      <c r="BG612" t="s">
        <v>74</v>
      </c>
      <c r="BH612" t="s">
        <v>74</v>
      </c>
      <c r="BI612">
        <v>13</v>
      </c>
      <c r="BJ612" t="s">
        <v>534</v>
      </c>
      <c r="BK612" t="s">
        <v>103</v>
      </c>
      <c r="BL612" t="s">
        <v>535</v>
      </c>
      <c r="BM612" t="s">
        <v>11608</v>
      </c>
      <c r="BN612" t="s">
        <v>74</v>
      </c>
      <c r="BO612" t="s">
        <v>326</v>
      </c>
      <c r="BP612" t="s">
        <v>74</v>
      </c>
      <c r="BQ612" t="s">
        <v>74</v>
      </c>
      <c r="BR612" t="s">
        <v>106</v>
      </c>
      <c r="BS612" t="s">
        <v>11609</v>
      </c>
      <c r="BT612" t="str">
        <f>HYPERLINK("https%3A%2F%2Fwww.webofscience.com%2Fwos%2Fwoscc%2Ffull-record%2FWOS:000601334000017","View Full Record in Web of Science")</f>
        <v>View Full Record in Web of Science</v>
      </c>
    </row>
    <row r="613" spans="1:72" x14ac:dyDescent="0.15">
      <c r="A613" t="s">
        <v>72</v>
      </c>
      <c r="B613" t="s">
        <v>11610</v>
      </c>
      <c r="C613" t="s">
        <v>74</v>
      </c>
      <c r="D613" t="s">
        <v>74</v>
      </c>
      <c r="E613" t="s">
        <v>74</v>
      </c>
      <c r="F613" t="s">
        <v>11611</v>
      </c>
      <c r="G613" t="s">
        <v>74</v>
      </c>
      <c r="H613" t="s">
        <v>74</v>
      </c>
      <c r="I613" t="s">
        <v>11612</v>
      </c>
      <c r="J613" t="s">
        <v>11613</v>
      </c>
      <c r="K613" t="s">
        <v>74</v>
      </c>
      <c r="L613" t="s">
        <v>74</v>
      </c>
      <c r="M613" t="s">
        <v>78</v>
      </c>
      <c r="N613" t="s">
        <v>79</v>
      </c>
      <c r="O613" t="s">
        <v>74</v>
      </c>
      <c r="P613" t="s">
        <v>74</v>
      </c>
      <c r="Q613" t="s">
        <v>74</v>
      </c>
      <c r="R613" t="s">
        <v>74</v>
      </c>
      <c r="S613" t="s">
        <v>74</v>
      </c>
      <c r="T613" t="s">
        <v>74</v>
      </c>
      <c r="U613" t="s">
        <v>11614</v>
      </c>
      <c r="V613" t="s">
        <v>11615</v>
      </c>
      <c r="W613" t="s">
        <v>11616</v>
      </c>
      <c r="X613" t="s">
        <v>11617</v>
      </c>
      <c r="Y613" t="s">
        <v>11618</v>
      </c>
      <c r="Z613" t="s">
        <v>11619</v>
      </c>
      <c r="AA613" t="s">
        <v>11620</v>
      </c>
      <c r="AB613" t="s">
        <v>11621</v>
      </c>
      <c r="AC613" t="s">
        <v>11622</v>
      </c>
      <c r="AD613" t="s">
        <v>11623</v>
      </c>
      <c r="AE613" t="s">
        <v>11624</v>
      </c>
      <c r="AF613" t="s">
        <v>74</v>
      </c>
      <c r="AG613">
        <v>18</v>
      </c>
      <c r="AH613">
        <v>5</v>
      </c>
      <c r="AI613">
        <v>5</v>
      </c>
      <c r="AJ613">
        <v>1</v>
      </c>
      <c r="AK613">
        <v>28</v>
      </c>
      <c r="AL613" t="s">
        <v>628</v>
      </c>
      <c r="AM613" t="s">
        <v>629</v>
      </c>
      <c r="AN613" t="s">
        <v>630</v>
      </c>
      <c r="AO613" t="s">
        <v>11625</v>
      </c>
      <c r="AP613" t="s">
        <v>11626</v>
      </c>
      <c r="AQ613" t="s">
        <v>74</v>
      </c>
      <c r="AR613" t="s">
        <v>11627</v>
      </c>
      <c r="AS613" t="s">
        <v>11628</v>
      </c>
      <c r="AT613" t="s">
        <v>11629</v>
      </c>
      <c r="AU613">
        <v>2020</v>
      </c>
      <c r="AV613">
        <v>83</v>
      </c>
      <c r="AW613">
        <v>12</v>
      </c>
      <c r="AX613" t="s">
        <v>74</v>
      </c>
      <c r="AY613" t="s">
        <v>74</v>
      </c>
      <c r="AZ613" t="s">
        <v>74</v>
      </c>
      <c r="BA613" t="s">
        <v>74</v>
      </c>
      <c r="BB613">
        <v>3493</v>
      </c>
      <c r="BC613">
        <v>3501</v>
      </c>
      <c r="BD613" t="s">
        <v>74</v>
      </c>
      <c r="BE613" t="s">
        <v>11630</v>
      </c>
      <c r="BF613" t="str">
        <f>HYPERLINK("http://dx.doi.org/10.1021/acs.jnatprod.9b01105","http://dx.doi.org/10.1021/acs.jnatprod.9b01105")</f>
        <v>http://dx.doi.org/10.1021/acs.jnatprod.9b01105</v>
      </c>
      <c r="BG613" t="s">
        <v>74</v>
      </c>
      <c r="BH613" t="s">
        <v>74</v>
      </c>
      <c r="BI613">
        <v>9</v>
      </c>
      <c r="BJ613" t="s">
        <v>11631</v>
      </c>
      <c r="BK613" t="s">
        <v>638</v>
      </c>
      <c r="BL613" t="s">
        <v>11632</v>
      </c>
      <c r="BM613" t="s">
        <v>11633</v>
      </c>
      <c r="BN613">
        <v>33233893</v>
      </c>
      <c r="BO613" t="s">
        <v>74</v>
      </c>
      <c r="BP613" t="s">
        <v>74</v>
      </c>
      <c r="BQ613" t="s">
        <v>74</v>
      </c>
      <c r="BR613" t="s">
        <v>106</v>
      </c>
      <c r="BS613" t="s">
        <v>11634</v>
      </c>
      <c r="BT613" t="str">
        <f>HYPERLINK("https%3A%2F%2Fwww.webofscience.com%2Fwos%2Fwoscc%2Ffull-record%2FWOS:000603402900001","View Full Record in Web of Science")</f>
        <v>View Full Record in Web of Science</v>
      </c>
    </row>
    <row r="614" spans="1:72" x14ac:dyDescent="0.15">
      <c r="A614" t="s">
        <v>72</v>
      </c>
      <c r="B614" t="s">
        <v>11635</v>
      </c>
      <c r="C614" t="s">
        <v>74</v>
      </c>
      <c r="D614" t="s">
        <v>74</v>
      </c>
      <c r="E614" t="s">
        <v>74</v>
      </c>
      <c r="F614" t="s">
        <v>11636</v>
      </c>
      <c r="G614" t="s">
        <v>74</v>
      </c>
      <c r="H614" t="s">
        <v>74</v>
      </c>
      <c r="I614" t="s">
        <v>11637</v>
      </c>
      <c r="J614" t="s">
        <v>11638</v>
      </c>
      <c r="K614" t="s">
        <v>74</v>
      </c>
      <c r="L614" t="s">
        <v>74</v>
      </c>
      <c r="M614" t="s">
        <v>78</v>
      </c>
      <c r="N614" t="s">
        <v>79</v>
      </c>
      <c r="O614" t="s">
        <v>74</v>
      </c>
      <c r="P614" t="s">
        <v>74</v>
      </c>
      <c r="Q614" t="s">
        <v>74</v>
      </c>
      <c r="R614" t="s">
        <v>74</v>
      </c>
      <c r="S614" t="s">
        <v>74</v>
      </c>
      <c r="T614" t="s">
        <v>11639</v>
      </c>
      <c r="U614" t="s">
        <v>11640</v>
      </c>
      <c r="V614" t="s">
        <v>11641</v>
      </c>
      <c r="W614" t="s">
        <v>11642</v>
      </c>
      <c r="X614" t="s">
        <v>11643</v>
      </c>
      <c r="Y614" t="s">
        <v>11644</v>
      </c>
      <c r="Z614" t="s">
        <v>11645</v>
      </c>
      <c r="AA614" t="s">
        <v>11646</v>
      </c>
      <c r="AB614" t="s">
        <v>11647</v>
      </c>
      <c r="AC614" t="s">
        <v>11648</v>
      </c>
      <c r="AD614" t="s">
        <v>11649</v>
      </c>
      <c r="AE614" t="s">
        <v>11650</v>
      </c>
      <c r="AF614" t="s">
        <v>74</v>
      </c>
      <c r="AG614">
        <v>80</v>
      </c>
      <c r="AH614">
        <v>4</v>
      </c>
      <c r="AI614">
        <v>4</v>
      </c>
      <c r="AJ614">
        <v>0</v>
      </c>
      <c r="AK614">
        <v>11</v>
      </c>
      <c r="AL614" t="s">
        <v>3355</v>
      </c>
      <c r="AM614" t="s">
        <v>3356</v>
      </c>
      <c r="AN614" t="s">
        <v>11651</v>
      </c>
      <c r="AO614" t="s">
        <v>11652</v>
      </c>
      <c r="AP614" t="s">
        <v>11653</v>
      </c>
      <c r="AQ614" t="s">
        <v>74</v>
      </c>
      <c r="AR614" t="s">
        <v>11638</v>
      </c>
      <c r="AS614" t="s">
        <v>11654</v>
      </c>
      <c r="AT614" t="s">
        <v>11629</v>
      </c>
      <c r="AU614">
        <v>2020</v>
      </c>
      <c r="AV614">
        <v>477</v>
      </c>
      <c r="AW614">
        <v>2</v>
      </c>
      <c r="AX614" t="s">
        <v>74</v>
      </c>
      <c r="AY614" t="s">
        <v>74</v>
      </c>
      <c r="AZ614" t="s">
        <v>74</v>
      </c>
      <c r="BA614" t="s">
        <v>74</v>
      </c>
      <c r="BB614">
        <v>171</v>
      </c>
      <c r="BC614">
        <v>193</v>
      </c>
      <c r="BD614" t="s">
        <v>74</v>
      </c>
      <c r="BE614" t="s">
        <v>11655</v>
      </c>
      <c r="BF614" t="str">
        <f>HYPERLINK("http://dx.doi.org/10.11646/phytotaxa.477.2.3","http://dx.doi.org/10.11646/phytotaxa.477.2.3")</f>
        <v>http://dx.doi.org/10.11646/phytotaxa.477.2.3</v>
      </c>
      <c r="BG614" t="s">
        <v>74</v>
      </c>
      <c r="BH614" t="s">
        <v>74</v>
      </c>
      <c r="BI614">
        <v>23</v>
      </c>
      <c r="BJ614" t="s">
        <v>7174</v>
      </c>
      <c r="BK614" t="s">
        <v>103</v>
      </c>
      <c r="BL614" t="s">
        <v>7174</v>
      </c>
      <c r="BM614" t="s">
        <v>11656</v>
      </c>
      <c r="BN614" t="s">
        <v>74</v>
      </c>
      <c r="BO614" t="s">
        <v>74</v>
      </c>
      <c r="BP614" t="s">
        <v>74</v>
      </c>
      <c r="BQ614" t="s">
        <v>74</v>
      </c>
      <c r="BR614" t="s">
        <v>106</v>
      </c>
      <c r="BS614" t="s">
        <v>11657</v>
      </c>
      <c r="BT614" t="str">
        <f>HYPERLINK("https%3A%2F%2Fwww.webofscience.com%2Fwos%2Fwoscc%2Ffull-record%2FWOS:000603582900003","View Full Record in Web of Science")</f>
        <v>View Full Record in Web of Science</v>
      </c>
    </row>
    <row r="615" spans="1:72" x14ac:dyDescent="0.15">
      <c r="A615" t="s">
        <v>72</v>
      </c>
      <c r="B615" t="s">
        <v>11658</v>
      </c>
      <c r="C615" t="s">
        <v>74</v>
      </c>
      <c r="D615" t="s">
        <v>74</v>
      </c>
      <c r="E615" t="s">
        <v>74</v>
      </c>
      <c r="F615" t="s">
        <v>11659</v>
      </c>
      <c r="G615" t="s">
        <v>74</v>
      </c>
      <c r="H615" t="s">
        <v>74</v>
      </c>
      <c r="I615" t="s">
        <v>11660</v>
      </c>
      <c r="J615" t="s">
        <v>1556</v>
      </c>
      <c r="K615" t="s">
        <v>74</v>
      </c>
      <c r="L615" t="s">
        <v>74</v>
      </c>
      <c r="M615" t="s">
        <v>78</v>
      </c>
      <c r="N615" t="s">
        <v>79</v>
      </c>
      <c r="O615" t="s">
        <v>74</v>
      </c>
      <c r="P615" t="s">
        <v>74</v>
      </c>
      <c r="Q615" t="s">
        <v>74</v>
      </c>
      <c r="R615" t="s">
        <v>74</v>
      </c>
      <c r="S615" t="s">
        <v>74</v>
      </c>
      <c r="T615" t="s">
        <v>74</v>
      </c>
      <c r="U615" t="s">
        <v>11661</v>
      </c>
      <c r="V615" t="s">
        <v>11662</v>
      </c>
      <c r="W615" t="s">
        <v>11663</v>
      </c>
      <c r="X615" t="s">
        <v>11664</v>
      </c>
      <c r="Y615" t="s">
        <v>11665</v>
      </c>
      <c r="Z615" t="s">
        <v>11666</v>
      </c>
      <c r="AA615" t="s">
        <v>11667</v>
      </c>
      <c r="AB615" t="s">
        <v>11668</v>
      </c>
      <c r="AC615" t="s">
        <v>11669</v>
      </c>
      <c r="AD615" t="s">
        <v>11670</v>
      </c>
      <c r="AE615" t="s">
        <v>11671</v>
      </c>
      <c r="AF615" t="s">
        <v>74</v>
      </c>
      <c r="AG615">
        <v>128</v>
      </c>
      <c r="AH615">
        <v>39</v>
      </c>
      <c r="AI615">
        <v>40</v>
      </c>
      <c r="AJ615">
        <v>0</v>
      </c>
      <c r="AK615">
        <v>9</v>
      </c>
      <c r="AL615" t="s">
        <v>123</v>
      </c>
      <c r="AM615" t="s">
        <v>124</v>
      </c>
      <c r="AN615" t="s">
        <v>125</v>
      </c>
      <c r="AO615" t="s">
        <v>1565</v>
      </c>
      <c r="AP615" t="s">
        <v>1566</v>
      </c>
      <c r="AQ615" t="s">
        <v>74</v>
      </c>
      <c r="AR615" t="s">
        <v>1567</v>
      </c>
      <c r="AS615" t="s">
        <v>1568</v>
      </c>
      <c r="AT615" t="s">
        <v>11672</v>
      </c>
      <c r="AU615">
        <v>2020</v>
      </c>
      <c r="AV615">
        <v>16</v>
      </c>
      <c r="AW615">
        <v>6</v>
      </c>
      <c r="AX615" t="s">
        <v>74</v>
      </c>
      <c r="AY615" t="s">
        <v>74</v>
      </c>
      <c r="AZ615" t="s">
        <v>74</v>
      </c>
      <c r="BA615" t="s">
        <v>74</v>
      </c>
      <c r="BB615">
        <v>2573</v>
      </c>
      <c r="BC615">
        <v>2597</v>
      </c>
      <c r="BD615" t="s">
        <v>74</v>
      </c>
      <c r="BE615" t="s">
        <v>11673</v>
      </c>
      <c r="BF615" t="str">
        <f>HYPERLINK("http://dx.doi.org/10.5194/cp-16-2573-2020","http://dx.doi.org/10.5194/cp-16-2573-2020")</f>
        <v>http://dx.doi.org/10.5194/cp-16-2573-2020</v>
      </c>
      <c r="BG615" t="s">
        <v>74</v>
      </c>
      <c r="BH615" t="s">
        <v>74</v>
      </c>
      <c r="BI615">
        <v>25</v>
      </c>
      <c r="BJ615" t="s">
        <v>1570</v>
      </c>
      <c r="BK615" t="s">
        <v>103</v>
      </c>
      <c r="BL615" t="s">
        <v>1571</v>
      </c>
      <c r="BM615" t="s">
        <v>11674</v>
      </c>
      <c r="BN615" t="s">
        <v>74</v>
      </c>
      <c r="BO615" t="s">
        <v>917</v>
      </c>
      <c r="BP615" t="s">
        <v>74</v>
      </c>
      <c r="BQ615" t="s">
        <v>74</v>
      </c>
      <c r="BR615" t="s">
        <v>106</v>
      </c>
      <c r="BS615" t="s">
        <v>11675</v>
      </c>
      <c r="BT615" t="str">
        <f>HYPERLINK("https%3A%2F%2Fwww.webofscience.com%2Fwos%2Fwoscc%2Ffull-record%2FWOS:000603351300004","View Full Record in Web of Science")</f>
        <v>View Full Record in Web of Science</v>
      </c>
    </row>
    <row r="616" spans="1:72" x14ac:dyDescent="0.15">
      <c r="A616" t="s">
        <v>72</v>
      </c>
      <c r="B616" t="s">
        <v>11676</v>
      </c>
      <c r="C616" t="s">
        <v>74</v>
      </c>
      <c r="D616" t="s">
        <v>74</v>
      </c>
      <c r="E616" t="s">
        <v>74</v>
      </c>
      <c r="F616" t="s">
        <v>11677</v>
      </c>
      <c r="G616" t="s">
        <v>74</v>
      </c>
      <c r="H616" t="s">
        <v>74</v>
      </c>
      <c r="I616" t="s">
        <v>11678</v>
      </c>
      <c r="J616" t="s">
        <v>223</v>
      </c>
      <c r="K616" t="s">
        <v>74</v>
      </c>
      <c r="L616" t="s">
        <v>74</v>
      </c>
      <c r="M616" t="s">
        <v>78</v>
      </c>
      <c r="N616" t="s">
        <v>79</v>
      </c>
      <c r="O616" t="s">
        <v>74</v>
      </c>
      <c r="P616" t="s">
        <v>74</v>
      </c>
      <c r="Q616" t="s">
        <v>74</v>
      </c>
      <c r="R616" t="s">
        <v>74</v>
      </c>
      <c r="S616" t="s">
        <v>74</v>
      </c>
      <c r="T616" t="s">
        <v>74</v>
      </c>
      <c r="U616" t="s">
        <v>11679</v>
      </c>
      <c r="V616" t="s">
        <v>11680</v>
      </c>
      <c r="W616" t="s">
        <v>11681</v>
      </c>
      <c r="X616" t="s">
        <v>11682</v>
      </c>
      <c r="Y616" t="s">
        <v>11683</v>
      </c>
      <c r="Z616" t="s">
        <v>11684</v>
      </c>
      <c r="AA616" t="s">
        <v>11685</v>
      </c>
      <c r="AB616" t="s">
        <v>11686</v>
      </c>
      <c r="AC616" t="s">
        <v>11687</v>
      </c>
      <c r="AD616" t="s">
        <v>11688</v>
      </c>
      <c r="AE616" t="s">
        <v>11689</v>
      </c>
      <c r="AF616" t="s">
        <v>74</v>
      </c>
      <c r="AG616">
        <v>79</v>
      </c>
      <c r="AH616">
        <v>8</v>
      </c>
      <c r="AI616">
        <v>9</v>
      </c>
      <c r="AJ616">
        <v>1</v>
      </c>
      <c r="AK616">
        <v>4</v>
      </c>
      <c r="AL616" t="s">
        <v>235</v>
      </c>
      <c r="AM616" t="s">
        <v>236</v>
      </c>
      <c r="AN616" t="s">
        <v>237</v>
      </c>
      <c r="AO616" t="s">
        <v>74</v>
      </c>
      <c r="AP616" t="s">
        <v>238</v>
      </c>
      <c r="AQ616" t="s">
        <v>74</v>
      </c>
      <c r="AR616" t="s">
        <v>239</v>
      </c>
      <c r="AS616" t="s">
        <v>240</v>
      </c>
      <c r="AT616" t="s">
        <v>11672</v>
      </c>
      <c r="AU616">
        <v>2020</v>
      </c>
      <c r="AV616">
        <v>1</v>
      </c>
      <c r="AW616">
        <v>1</v>
      </c>
      <c r="AX616" t="s">
        <v>74</v>
      </c>
      <c r="AY616" t="s">
        <v>74</v>
      </c>
      <c r="AZ616" t="s">
        <v>74</v>
      </c>
      <c r="BA616" t="s">
        <v>74</v>
      </c>
      <c r="BB616" t="s">
        <v>74</v>
      </c>
      <c r="BC616" t="s">
        <v>74</v>
      </c>
      <c r="BD616">
        <v>68</v>
      </c>
      <c r="BE616" t="s">
        <v>11690</v>
      </c>
      <c r="BF616" t="str">
        <f>HYPERLINK("http://dx.doi.org/10.1038/s43247-020-00067-6","http://dx.doi.org/10.1038/s43247-020-00067-6")</f>
        <v>http://dx.doi.org/10.1038/s43247-020-00067-6</v>
      </c>
      <c r="BG616" t="s">
        <v>74</v>
      </c>
      <c r="BH616" t="s">
        <v>74</v>
      </c>
      <c r="BI616">
        <v>10</v>
      </c>
      <c r="BJ616" t="s">
        <v>243</v>
      </c>
      <c r="BK616" t="s">
        <v>103</v>
      </c>
      <c r="BL616" t="s">
        <v>244</v>
      </c>
      <c r="BM616" t="s">
        <v>11691</v>
      </c>
      <c r="BN616" t="s">
        <v>74</v>
      </c>
      <c r="BO616" t="s">
        <v>1105</v>
      </c>
      <c r="BP616" t="s">
        <v>74</v>
      </c>
      <c r="BQ616" t="s">
        <v>74</v>
      </c>
      <c r="BR616" t="s">
        <v>106</v>
      </c>
      <c r="BS616" t="s">
        <v>11692</v>
      </c>
      <c r="BT616" t="str">
        <f>HYPERLINK("https%3A%2F%2Fwww.webofscience.com%2Fwos%2Fwoscc%2Ffull-record%2FWOS:000693651500001","View Full Record in Web of Science")</f>
        <v>View Full Record in Web of Science</v>
      </c>
    </row>
    <row r="617" spans="1:72" x14ac:dyDescent="0.15">
      <c r="A617" t="s">
        <v>72</v>
      </c>
      <c r="B617" t="s">
        <v>11693</v>
      </c>
      <c r="C617" t="s">
        <v>74</v>
      </c>
      <c r="D617" t="s">
        <v>74</v>
      </c>
      <c r="E617" t="s">
        <v>74</v>
      </c>
      <c r="F617" t="s">
        <v>11694</v>
      </c>
      <c r="G617" t="s">
        <v>74</v>
      </c>
      <c r="H617" t="s">
        <v>74</v>
      </c>
      <c r="I617" t="s">
        <v>11695</v>
      </c>
      <c r="J617" t="s">
        <v>140</v>
      </c>
      <c r="K617" t="s">
        <v>74</v>
      </c>
      <c r="L617" t="s">
        <v>74</v>
      </c>
      <c r="M617" t="s">
        <v>78</v>
      </c>
      <c r="N617" t="s">
        <v>79</v>
      </c>
      <c r="O617" t="s">
        <v>74</v>
      </c>
      <c r="P617" t="s">
        <v>74</v>
      </c>
      <c r="Q617" t="s">
        <v>74</v>
      </c>
      <c r="R617" t="s">
        <v>74</v>
      </c>
      <c r="S617" t="s">
        <v>74</v>
      </c>
      <c r="T617" t="s">
        <v>74</v>
      </c>
      <c r="U617" t="s">
        <v>11696</v>
      </c>
      <c r="V617" t="s">
        <v>11697</v>
      </c>
      <c r="W617" t="s">
        <v>11698</v>
      </c>
      <c r="X617" t="s">
        <v>11699</v>
      </c>
      <c r="Y617" t="s">
        <v>11700</v>
      </c>
      <c r="Z617" t="s">
        <v>11701</v>
      </c>
      <c r="AA617" t="s">
        <v>11702</v>
      </c>
      <c r="AB617" t="s">
        <v>11703</v>
      </c>
      <c r="AC617" t="s">
        <v>11704</v>
      </c>
      <c r="AD617" t="s">
        <v>11705</v>
      </c>
      <c r="AE617" t="s">
        <v>11706</v>
      </c>
      <c r="AF617" t="s">
        <v>74</v>
      </c>
      <c r="AG617">
        <v>35</v>
      </c>
      <c r="AH617">
        <v>6</v>
      </c>
      <c r="AI617">
        <v>7</v>
      </c>
      <c r="AJ617">
        <v>0</v>
      </c>
      <c r="AK617">
        <v>6</v>
      </c>
      <c r="AL617" t="s">
        <v>123</v>
      </c>
      <c r="AM617" t="s">
        <v>124</v>
      </c>
      <c r="AN617" t="s">
        <v>125</v>
      </c>
      <c r="AO617" t="s">
        <v>152</v>
      </c>
      <c r="AP617" t="s">
        <v>153</v>
      </c>
      <c r="AQ617" t="s">
        <v>74</v>
      </c>
      <c r="AR617" t="s">
        <v>140</v>
      </c>
      <c r="AS617" t="s">
        <v>154</v>
      </c>
      <c r="AT617" t="s">
        <v>11672</v>
      </c>
      <c r="AU617">
        <v>2020</v>
      </c>
      <c r="AV617">
        <v>14</v>
      </c>
      <c r="AW617">
        <v>12</v>
      </c>
      <c r="AX617" t="s">
        <v>74</v>
      </c>
      <c r="AY617" t="s">
        <v>74</v>
      </c>
      <c r="AZ617" t="s">
        <v>74</v>
      </c>
      <c r="BA617" t="s">
        <v>74</v>
      </c>
      <c r="BB617">
        <v>4719</v>
      </c>
      <c r="BC617">
        <v>4733</v>
      </c>
      <c r="BD617" t="s">
        <v>74</v>
      </c>
      <c r="BE617" t="s">
        <v>11707</v>
      </c>
      <c r="BF617" t="str">
        <f>HYPERLINK("http://dx.doi.org/10.5194/tc-14-4719-2020","http://dx.doi.org/10.5194/tc-14-4719-2020")</f>
        <v>http://dx.doi.org/10.5194/tc-14-4719-2020</v>
      </c>
      <c r="BG617" t="s">
        <v>74</v>
      </c>
      <c r="BH617" t="s">
        <v>74</v>
      </c>
      <c r="BI617">
        <v>15</v>
      </c>
      <c r="BJ617" t="s">
        <v>156</v>
      </c>
      <c r="BK617" t="s">
        <v>103</v>
      </c>
      <c r="BL617" t="s">
        <v>157</v>
      </c>
      <c r="BM617" t="s">
        <v>11708</v>
      </c>
      <c r="BN617" t="s">
        <v>74</v>
      </c>
      <c r="BO617" t="s">
        <v>917</v>
      </c>
      <c r="BP617" t="s">
        <v>74</v>
      </c>
      <c r="BQ617" t="s">
        <v>74</v>
      </c>
      <c r="BR617" t="s">
        <v>106</v>
      </c>
      <c r="BS617" t="s">
        <v>11709</v>
      </c>
      <c r="BT617" t="str">
        <f>HYPERLINK("https%3A%2F%2Fwww.webofscience.com%2Fwos%2Fwoscc%2Ffull-record%2FWOS:000603353600001","View Full Record in Web of Science")</f>
        <v>View Full Record in Web of Science</v>
      </c>
    </row>
    <row r="618" spans="1:72" x14ac:dyDescent="0.15">
      <c r="A618" t="s">
        <v>72</v>
      </c>
      <c r="B618" t="s">
        <v>11710</v>
      </c>
      <c r="C618" t="s">
        <v>74</v>
      </c>
      <c r="D618" t="s">
        <v>74</v>
      </c>
      <c r="E618" t="s">
        <v>74</v>
      </c>
      <c r="F618" t="s">
        <v>11711</v>
      </c>
      <c r="G618" t="s">
        <v>74</v>
      </c>
      <c r="H618" t="s">
        <v>74</v>
      </c>
      <c r="I618" t="s">
        <v>11712</v>
      </c>
      <c r="J618" t="s">
        <v>2272</v>
      </c>
      <c r="K618" t="s">
        <v>74</v>
      </c>
      <c r="L618" t="s">
        <v>74</v>
      </c>
      <c r="M618" t="s">
        <v>78</v>
      </c>
      <c r="N618" t="s">
        <v>79</v>
      </c>
      <c r="O618" t="s">
        <v>74</v>
      </c>
      <c r="P618" t="s">
        <v>74</v>
      </c>
      <c r="Q618" t="s">
        <v>74</v>
      </c>
      <c r="R618" t="s">
        <v>74</v>
      </c>
      <c r="S618" t="s">
        <v>74</v>
      </c>
      <c r="T618" t="s">
        <v>74</v>
      </c>
      <c r="U618" t="s">
        <v>11713</v>
      </c>
      <c r="V618" t="s">
        <v>11714</v>
      </c>
      <c r="W618" t="s">
        <v>11715</v>
      </c>
      <c r="X618" t="s">
        <v>11716</v>
      </c>
      <c r="Y618" t="s">
        <v>11717</v>
      </c>
      <c r="Z618" t="s">
        <v>11718</v>
      </c>
      <c r="AA618" t="s">
        <v>11719</v>
      </c>
      <c r="AB618" t="s">
        <v>11720</v>
      </c>
      <c r="AC618" t="s">
        <v>11721</v>
      </c>
      <c r="AD618" t="s">
        <v>11722</v>
      </c>
      <c r="AE618" t="s">
        <v>11723</v>
      </c>
      <c r="AF618" t="s">
        <v>74</v>
      </c>
      <c r="AG618">
        <v>68</v>
      </c>
      <c r="AH618">
        <v>78</v>
      </c>
      <c r="AI618">
        <v>79</v>
      </c>
      <c r="AJ618">
        <v>1</v>
      </c>
      <c r="AK618">
        <v>22</v>
      </c>
      <c r="AL618" t="s">
        <v>123</v>
      </c>
      <c r="AM618" t="s">
        <v>124</v>
      </c>
      <c r="AN618" t="s">
        <v>125</v>
      </c>
      <c r="AO618" t="s">
        <v>2282</v>
      </c>
      <c r="AP618" t="s">
        <v>2283</v>
      </c>
      <c r="AQ618" t="s">
        <v>74</v>
      </c>
      <c r="AR618" t="s">
        <v>2284</v>
      </c>
      <c r="AS618" t="s">
        <v>2285</v>
      </c>
      <c r="AT618" t="s">
        <v>11672</v>
      </c>
      <c r="AU618">
        <v>2020</v>
      </c>
      <c r="AV618">
        <v>12</v>
      </c>
      <c r="AW618">
        <v>4</v>
      </c>
      <c r="AX618" t="s">
        <v>74</v>
      </c>
      <c r="AY618" t="s">
        <v>74</v>
      </c>
      <c r="AZ618" t="s">
        <v>74</v>
      </c>
      <c r="BA618" t="s">
        <v>74</v>
      </c>
      <c r="BB618">
        <v>3653</v>
      </c>
      <c r="BC618">
        <v>3678</v>
      </c>
      <c r="BD618" t="s">
        <v>74</v>
      </c>
      <c r="BE618" t="s">
        <v>11724</v>
      </c>
      <c r="BF618" t="str">
        <f>HYPERLINK("http://dx.doi.org/10.5194/essd-12-3653-2020","http://dx.doi.org/10.5194/essd-12-3653-2020")</f>
        <v>http://dx.doi.org/10.5194/essd-12-3653-2020</v>
      </c>
      <c r="BG618" t="s">
        <v>74</v>
      </c>
      <c r="BH618" t="s">
        <v>74</v>
      </c>
      <c r="BI618">
        <v>26</v>
      </c>
      <c r="BJ618" t="s">
        <v>1570</v>
      </c>
      <c r="BK618" t="s">
        <v>103</v>
      </c>
      <c r="BL618" t="s">
        <v>1571</v>
      </c>
      <c r="BM618" t="s">
        <v>11725</v>
      </c>
      <c r="BN618" t="s">
        <v>74</v>
      </c>
      <c r="BO618" t="s">
        <v>11726</v>
      </c>
      <c r="BP618" t="s">
        <v>74</v>
      </c>
      <c r="BQ618" t="s">
        <v>74</v>
      </c>
      <c r="BR618" t="s">
        <v>106</v>
      </c>
      <c r="BS618" t="s">
        <v>11727</v>
      </c>
      <c r="BT618" t="str">
        <f>HYPERLINK("https%3A%2F%2Fwww.webofscience.com%2Fwos%2Fwoscc%2Ffull-record%2FWOS:000603351900003","View Full Record in Web of Science")</f>
        <v>View Full Record in Web of Science</v>
      </c>
    </row>
    <row r="619" spans="1:72" x14ac:dyDescent="0.15">
      <c r="A619" t="s">
        <v>72</v>
      </c>
      <c r="B619" t="s">
        <v>11728</v>
      </c>
      <c r="C619" t="s">
        <v>74</v>
      </c>
      <c r="D619" t="s">
        <v>74</v>
      </c>
      <c r="E619" t="s">
        <v>74</v>
      </c>
      <c r="F619" t="s">
        <v>11729</v>
      </c>
      <c r="G619" t="s">
        <v>74</v>
      </c>
      <c r="H619" t="s">
        <v>74</v>
      </c>
      <c r="I619" t="s">
        <v>11730</v>
      </c>
      <c r="J619" t="s">
        <v>11731</v>
      </c>
      <c r="K619" t="s">
        <v>74</v>
      </c>
      <c r="L619" t="s">
        <v>74</v>
      </c>
      <c r="M619" t="s">
        <v>78</v>
      </c>
      <c r="N619" t="s">
        <v>79</v>
      </c>
      <c r="O619" t="s">
        <v>74</v>
      </c>
      <c r="P619" t="s">
        <v>74</v>
      </c>
      <c r="Q619" t="s">
        <v>74</v>
      </c>
      <c r="R619" t="s">
        <v>74</v>
      </c>
      <c r="S619" t="s">
        <v>74</v>
      </c>
      <c r="T619" t="s">
        <v>11732</v>
      </c>
      <c r="U619" t="s">
        <v>11733</v>
      </c>
      <c r="V619" t="s">
        <v>11734</v>
      </c>
      <c r="W619" t="s">
        <v>11735</v>
      </c>
      <c r="X619" t="s">
        <v>11736</v>
      </c>
      <c r="Y619" t="s">
        <v>11737</v>
      </c>
      <c r="Z619" t="s">
        <v>11738</v>
      </c>
      <c r="AA619" t="s">
        <v>11739</v>
      </c>
      <c r="AB619" t="s">
        <v>11740</v>
      </c>
      <c r="AC619" t="s">
        <v>11741</v>
      </c>
      <c r="AD619" t="s">
        <v>11742</v>
      </c>
      <c r="AE619" t="s">
        <v>11743</v>
      </c>
      <c r="AF619" t="s">
        <v>74</v>
      </c>
      <c r="AG619">
        <v>107</v>
      </c>
      <c r="AH619">
        <v>14</v>
      </c>
      <c r="AI619">
        <v>15</v>
      </c>
      <c r="AJ619">
        <v>2</v>
      </c>
      <c r="AK619">
        <v>22</v>
      </c>
      <c r="AL619" t="s">
        <v>11744</v>
      </c>
      <c r="AM619" t="s">
        <v>236</v>
      </c>
      <c r="AN619" t="s">
        <v>11745</v>
      </c>
      <c r="AO619" t="s">
        <v>11746</v>
      </c>
      <c r="AP619" t="s">
        <v>11747</v>
      </c>
      <c r="AQ619" t="s">
        <v>74</v>
      </c>
      <c r="AR619" t="s">
        <v>11748</v>
      </c>
      <c r="AS619" t="s">
        <v>11749</v>
      </c>
      <c r="AT619" t="s">
        <v>11672</v>
      </c>
      <c r="AU619">
        <v>2020</v>
      </c>
      <c r="AV619">
        <v>287</v>
      </c>
      <c r="AW619">
        <v>1941</v>
      </c>
      <c r="AX619" t="s">
        <v>74</v>
      </c>
      <c r="AY619" t="s">
        <v>74</v>
      </c>
      <c r="AZ619" t="s">
        <v>74</v>
      </c>
      <c r="BA619" t="s">
        <v>74</v>
      </c>
      <c r="BB619" t="s">
        <v>74</v>
      </c>
      <c r="BC619" t="s">
        <v>74</v>
      </c>
      <c r="BD619">
        <v>20201798</v>
      </c>
      <c r="BE619" t="s">
        <v>11750</v>
      </c>
      <c r="BF619" t="str">
        <f>HYPERLINK("http://dx.doi.org/10.1098/rspb.2020.1798","http://dx.doi.org/10.1098/rspb.2020.1798")</f>
        <v>http://dx.doi.org/10.1098/rspb.2020.1798</v>
      </c>
      <c r="BG619" t="s">
        <v>74</v>
      </c>
      <c r="BH619" t="s">
        <v>74</v>
      </c>
      <c r="BI619">
        <v>10</v>
      </c>
      <c r="BJ619" t="s">
        <v>11751</v>
      </c>
      <c r="BK619" t="s">
        <v>103</v>
      </c>
      <c r="BL619" t="s">
        <v>11752</v>
      </c>
      <c r="BM619" t="s">
        <v>11753</v>
      </c>
      <c r="BN619">
        <v>33352078</v>
      </c>
      <c r="BO619" t="s">
        <v>11754</v>
      </c>
      <c r="BP619" t="s">
        <v>74</v>
      </c>
      <c r="BQ619" t="s">
        <v>74</v>
      </c>
      <c r="BR619" t="s">
        <v>106</v>
      </c>
      <c r="BS619" t="s">
        <v>11755</v>
      </c>
      <c r="BT619" t="str">
        <f>HYPERLINK("https%3A%2F%2Fwww.webofscience.com%2Fwos%2Fwoscc%2Ffull-record%2FWOS:000602696300003","View Full Record in Web of Science")</f>
        <v>View Full Record in Web of Science</v>
      </c>
    </row>
    <row r="620" spans="1:72" x14ac:dyDescent="0.15">
      <c r="A620" t="s">
        <v>72</v>
      </c>
      <c r="B620" t="s">
        <v>11756</v>
      </c>
      <c r="C620" t="s">
        <v>74</v>
      </c>
      <c r="D620" t="s">
        <v>74</v>
      </c>
      <c r="E620" t="s">
        <v>74</v>
      </c>
      <c r="F620" t="s">
        <v>11757</v>
      </c>
      <c r="G620" t="s">
        <v>74</v>
      </c>
      <c r="H620" t="s">
        <v>74</v>
      </c>
      <c r="I620" t="s">
        <v>11758</v>
      </c>
      <c r="J620" t="s">
        <v>11731</v>
      </c>
      <c r="K620" t="s">
        <v>74</v>
      </c>
      <c r="L620" t="s">
        <v>74</v>
      </c>
      <c r="M620" t="s">
        <v>78</v>
      </c>
      <c r="N620" t="s">
        <v>79</v>
      </c>
      <c r="O620" t="s">
        <v>74</v>
      </c>
      <c r="P620" t="s">
        <v>74</v>
      </c>
      <c r="Q620" t="s">
        <v>74</v>
      </c>
      <c r="R620" t="s">
        <v>74</v>
      </c>
      <c r="S620" t="s">
        <v>74</v>
      </c>
      <c r="T620" t="s">
        <v>11759</v>
      </c>
      <c r="U620" t="s">
        <v>11760</v>
      </c>
      <c r="V620" t="s">
        <v>11761</v>
      </c>
      <c r="W620" t="s">
        <v>11762</v>
      </c>
      <c r="X620" t="s">
        <v>11763</v>
      </c>
      <c r="Y620" t="s">
        <v>11764</v>
      </c>
      <c r="Z620" t="s">
        <v>11765</v>
      </c>
      <c r="AA620" t="s">
        <v>11766</v>
      </c>
      <c r="AB620" t="s">
        <v>11767</v>
      </c>
      <c r="AC620" t="s">
        <v>11768</v>
      </c>
      <c r="AD620" t="s">
        <v>11769</v>
      </c>
      <c r="AE620" t="s">
        <v>11770</v>
      </c>
      <c r="AF620" t="s">
        <v>74</v>
      </c>
      <c r="AG620">
        <v>77</v>
      </c>
      <c r="AH620">
        <v>20</v>
      </c>
      <c r="AI620">
        <v>20</v>
      </c>
      <c r="AJ620">
        <v>1</v>
      </c>
      <c r="AK620">
        <v>12</v>
      </c>
      <c r="AL620" t="s">
        <v>11744</v>
      </c>
      <c r="AM620" t="s">
        <v>236</v>
      </c>
      <c r="AN620" t="s">
        <v>11745</v>
      </c>
      <c r="AO620" t="s">
        <v>11746</v>
      </c>
      <c r="AP620" t="s">
        <v>11747</v>
      </c>
      <c r="AQ620" t="s">
        <v>74</v>
      </c>
      <c r="AR620" t="s">
        <v>11748</v>
      </c>
      <c r="AS620" t="s">
        <v>11749</v>
      </c>
      <c r="AT620" t="s">
        <v>11672</v>
      </c>
      <c r="AU620">
        <v>2020</v>
      </c>
      <c r="AV620">
        <v>287</v>
      </c>
      <c r="AW620">
        <v>1941</v>
      </c>
      <c r="AX620" t="s">
        <v>74</v>
      </c>
      <c r="AY620" t="s">
        <v>74</v>
      </c>
      <c r="AZ620" t="s">
        <v>74</v>
      </c>
      <c r="BA620" t="s">
        <v>74</v>
      </c>
      <c r="BB620" t="s">
        <v>74</v>
      </c>
      <c r="BC620" t="s">
        <v>74</v>
      </c>
      <c r="BD620">
        <v>20202683</v>
      </c>
      <c r="BE620" t="s">
        <v>11771</v>
      </c>
      <c r="BF620" t="str">
        <f>HYPERLINK("http://dx.doi.org/10.1098/rspb.2020.2683","http://dx.doi.org/10.1098/rspb.2020.2683")</f>
        <v>http://dx.doi.org/10.1098/rspb.2020.2683</v>
      </c>
      <c r="BG620" t="s">
        <v>74</v>
      </c>
      <c r="BH620" t="s">
        <v>74</v>
      </c>
      <c r="BI620">
        <v>9</v>
      </c>
      <c r="BJ620" t="s">
        <v>11751</v>
      </c>
      <c r="BK620" t="s">
        <v>103</v>
      </c>
      <c r="BL620" t="s">
        <v>11752</v>
      </c>
      <c r="BM620" t="s">
        <v>11753</v>
      </c>
      <c r="BN620">
        <v>33352077</v>
      </c>
      <c r="BO620" t="s">
        <v>11772</v>
      </c>
      <c r="BP620" t="s">
        <v>74</v>
      </c>
      <c r="BQ620" t="s">
        <v>74</v>
      </c>
      <c r="BR620" t="s">
        <v>106</v>
      </c>
      <c r="BS620" t="s">
        <v>11773</v>
      </c>
      <c r="BT620" t="str">
        <f>HYPERLINK("https%3A%2F%2Fwww.webofscience.com%2Fwos%2Fwoscc%2Ffull-record%2FWOS:000602696300009","View Full Record in Web of Science")</f>
        <v>View Full Record in Web of Science</v>
      </c>
    </row>
    <row r="621" spans="1:72" x14ac:dyDescent="0.15">
      <c r="A621" t="s">
        <v>72</v>
      </c>
      <c r="B621" t="s">
        <v>11774</v>
      </c>
      <c r="C621" t="s">
        <v>74</v>
      </c>
      <c r="D621" t="s">
        <v>74</v>
      </c>
      <c r="E621" t="s">
        <v>74</v>
      </c>
      <c r="F621" t="s">
        <v>11775</v>
      </c>
      <c r="G621" t="s">
        <v>74</v>
      </c>
      <c r="H621" t="s">
        <v>74</v>
      </c>
      <c r="I621" t="s">
        <v>11776</v>
      </c>
      <c r="J621" t="s">
        <v>487</v>
      </c>
      <c r="K621" t="s">
        <v>74</v>
      </c>
      <c r="L621" t="s">
        <v>74</v>
      </c>
      <c r="M621" t="s">
        <v>78</v>
      </c>
      <c r="N621" t="s">
        <v>79</v>
      </c>
      <c r="O621" t="s">
        <v>74</v>
      </c>
      <c r="P621" t="s">
        <v>74</v>
      </c>
      <c r="Q621" t="s">
        <v>74</v>
      </c>
      <c r="R621" t="s">
        <v>74</v>
      </c>
      <c r="S621" t="s">
        <v>74</v>
      </c>
      <c r="T621" t="s">
        <v>11777</v>
      </c>
      <c r="U621" t="s">
        <v>11778</v>
      </c>
      <c r="V621" t="s">
        <v>11779</v>
      </c>
      <c r="W621" t="s">
        <v>11780</v>
      </c>
      <c r="X621" t="s">
        <v>11781</v>
      </c>
      <c r="Y621" t="s">
        <v>11782</v>
      </c>
      <c r="Z621" t="s">
        <v>11783</v>
      </c>
      <c r="AA621" t="s">
        <v>11784</v>
      </c>
      <c r="AB621" t="s">
        <v>11785</v>
      </c>
      <c r="AC621" t="s">
        <v>11786</v>
      </c>
      <c r="AD621" t="s">
        <v>11787</v>
      </c>
      <c r="AE621" t="s">
        <v>11788</v>
      </c>
      <c r="AF621" t="s">
        <v>74</v>
      </c>
      <c r="AG621">
        <v>68</v>
      </c>
      <c r="AH621">
        <v>7</v>
      </c>
      <c r="AI621">
        <v>7</v>
      </c>
      <c r="AJ621">
        <v>5</v>
      </c>
      <c r="AK621">
        <v>25</v>
      </c>
      <c r="AL621" t="s">
        <v>500</v>
      </c>
      <c r="AM621" t="s">
        <v>501</v>
      </c>
      <c r="AN621" t="s">
        <v>502</v>
      </c>
      <c r="AO621" t="s">
        <v>74</v>
      </c>
      <c r="AP621" t="s">
        <v>503</v>
      </c>
      <c r="AQ621" t="s">
        <v>74</v>
      </c>
      <c r="AR621" t="s">
        <v>504</v>
      </c>
      <c r="AS621" t="s">
        <v>505</v>
      </c>
      <c r="AT621" t="s">
        <v>11672</v>
      </c>
      <c r="AU621">
        <v>2020</v>
      </c>
      <c r="AV621">
        <v>7</v>
      </c>
      <c r="AW621" t="s">
        <v>74</v>
      </c>
      <c r="AX621" t="s">
        <v>74</v>
      </c>
      <c r="AY621" t="s">
        <v>74</v>
      </c>
      <c r="AZ621" t="s">
        <v>74</v>
      </c>
      <c r="BA621" t="s">
        <v>74</v>
      </c>
      <c r="BB621" t="s">
        <v>74</v>
      </c>
      <c r="BC621" t="s">
        <v>74</v>
      </c>
      <c r="BD621">
        <v>591642</v>
      </c>
      <c r="BE621" t="s">
        <v>11789</v>
      </c>
      <c r="BF621" t="str">
        <f>HYPERLINK("http://dx.doi.org/10.3389/fmars.2020.591642","http://dx.doi.org/10.3389/fmars.2020.591642")</f>
        <v>http://dx.doi.org/10.3389/fmars.2020.591642</v>
      </c>
      <c r="BG621" t="s">
        <v>74</v>
      </c>
      <c r="BH621" t="s">
        <v>74</v>
      </c>
      <c r="BI621">
        <v>19</v>
      </c>
      <c r="BJ621" t="s">
        <v>507</v>
      </c>
      <c r="BK621" t="s">
        <v>271</v>
      </c>
      <c r="BL621" t="s">
        <v>508</v>
      </c>
      <c r="BM621" t="s">
        <v>11790</v>
      </c>
      <c r="BN621" t="s">
        <v>74</v>
      </c>
      <c r="BO621" t="s">
        <v>11791</v>
      </c>
      <c r="BP621" t="s">
        <v>74</v>
      </c>
      <c r="BQ621" t="s">
        <v>74</v>
      </c>
      <c r="BR621" t="s">
        <v>106</v>
      </c>
      <c r="BS621" t="s">
        <v>11792</v>
      </c>
      <c r="BT621" t="str">
        <f>HYPERLINK("https%3A%2F%2Fwww.webofscience.com%2Fwos%2Fwoscc%2Ffull-record%2FWOS:000602446500001","View Full Record in Web of Science")</f>
        <v>View Full Record in Web of Science</v>
      </c>
    </row>
    <row r="622" spans="1:72" x14ac:dyDescent="0.15">
      <c r="A622" t="s">
        <v>72</v>
      </c>
      <c r="B622" t="s">
        <v>11793</v>
      </c>
      <c r="C622" t="s">
        <v>74</v>
      </c>
      <c r="D622" t="s">
        <v>74</v>
      </c>
      <c r="E622" t="s">
        <v>74</v>
      </c>
      <c r="F622" t="s">
        <v>11794</v>
      </c>
      <c r="G622" t="s">
        <v>74</v>
      </c>
      <c r="H622" t="s">
        <v>74</v>
      </c>
      <c r="I622" t="s">
        <v>11795</v>
      </c>
      <c r="J622" t="s">
        <v>487</v>
      </c>
      <c r="K622" t="s">
        <v>74</v>
      </c>
      <c r="L622" t="s">
        <v>74</v>
      </c>
      <c r="M622" t="s">
        <v>78</v>
      </c>
      <c r="N622" t="s">
        <v>141</v>
      </c>
      <c r="O622" t="s">
        <v>74</v>
      </c>
      <c r="P622" t="s">
        <v>74</v>
      </c>
      <c r="Q622" t="s">
        <v>74</v>
      </c>
      <c r="R622" t="s">
        <v>74</v>
      </c>
      <c r="S622" t="s">
        <v>74</v>
      </c>
      <c r="T622" t="s">
        <v>11796</v>
      </c>
      <c r="U622" t="s">
        <v>11797</v>
      </c>
      <c r="V622" t="s">
        <v>11798</v>
      </c>
      <c r="W622" t="s">
        <v>11799</v>
      </c>
      <c r="X622" t="s">
        <v>11800</v>
      </c>
      <c r="Y622" t="s">
        <v>11801</v>
      </c>
      <c r="Z622" t="s">
        <v>11802</v>
      </c>
      <c r="AA622" t="s">
        <v>11803</v>
      </c>
      <c r="AB622" t="s">
        <v>11804</v>
      </c>
      <c r="AC622" t="s">
        <v>11805</v>
      </c>
      <c r="AD622" t="s">
        <v>11806</v>
      </c>
      <c r="AE622" t="s">
        <v>11807</v>
      </c>
      <c r="AF622" t="s">
        <v>74</v>
      </c>
      <c r="AG622">
        <v>181</v>
      </c>
      <c r="AH622">
        <v>15</v>
      </c>
      <c r="AI622">
        <v>15</v>
      </c>
      <c r="AJ622">
        <v>10</v>
      </c>
      <c r="AK622">
        <v>58</v>
      </c>
      <c r="AL622" t="s">
        <v>500</v>
      </c>
      <c r="AM622" t="s">
        <v>501</v>
      </c>
      <c r="AN622" t="s">
        <v>502</v>
      </c>
      <c r="AO622" t="s">
        <v>74</v>
      </c>
      <c r="AP622" t="s">
        <v>503</v>
      </c>
      <c r="AQ622" t="s">
        <v>74</v>
      </c>
      <c r="AR622" t="s">
        <v>504</v>
      </c>
      <c r="AS622" t="s">
        <v>505</v>
      </c>
      <c r="AT622" t="s">
        <v>11672</v>
      </c>
      <c r="AU622">
        <v>2020</v>
      </c>
      <c r="AV622">
        <v>7</v>
      </c>
      <c r="AW622" t="s">
        <v>74</v>
      </c>
      <c r="AX622" t="s">
        <v>74</v>
      </c>
      <c r="AY622" t="s">
        <v>74</v>
      </c>
      <c r="AZ622" t="s">
        <v>74</v>
      </c>
      <c r="BA622" t="s">
        <v>74</v>
      </c>
      <c r="BB622" t="s">
        <v>74</v>
      </c>
      <c r="BC622" t="s">
        <v>74</v>
      </c>
      <c r="BD622">
        <v>614282</v>
      </c>
      <c r="BE622" t="s">
        <v>11808</v>
      </c>
      <c r="BF622" t="str">
        <f>HYPERLINK("http://dx.doi.org/10.3389/fmars.2020.614282","http://dx.doi.org/10.3389/fmars.2020.614282")</f>
        <v>http://dx.doi.org/10.3389/fmars.2020.614282</v>
      </c>
      <c r="BG622" t="s">
        <v>74</v>
      </c>
      <c r="BH622" t="s">
        <v>74</v>
      </c>
      <c r="BI622">
        <v>26</v>
      </c>
      <c r="BJ622" t="s">
        <v>507</v>
      </c>
      <c r="BK622" t="s">
        <v>271</v>
      </c>
      <c r="BL622" t="s">
        <v>508</v>
      </c>
      <c r="BM622" t="s">
        <v>11809</v>
      </c>
      <c r="BN622" t="s">
        <v>74</v>
      </c>
      <c r="BO622" t="s">
        <v>326</v>
      </c>
      <c r="BP622" t="s">
        <v>74</v>
      </c>
      <c r="BQ622" t="s">
        <v>74</v>
      </c>
      <c r="BR622" t="s">
        <v>106</v>
      </c>
      <c r="BS622" t="s">
        <v>11810</v>
      </c>
      <c r="BT622" t="str">
        <f>HYPERLINK("https%3A%2F%2Fwww.webofscience.com%2Fwos%2Fwoscc%2Ffull-record%2FWOS:000602453200001","View Full Record in Web of Science")</f>
        <v>View Full Record in Web of Science</v>
      </c>
    </row>
    <row r="623" spans="1:72" x14ac:dyDescent="0.15">
      <c r="A623" t="s">
        <v>72</v>
      </c>
      <c r="B623" t="s">
        <v>11811</v>
      </c>
      <c r="C623" t="s">
        <v>74</v>
      </c>
      <c r="D623" t="s">
        <v>74</v>
      </c>
      <c r="E623" t="s">
        <v>74</v>
      </c>
      <c r="F623" t="s">
        <v>11812</v>
      </c>
      <c r="G623" t="s">
        <v>74</v>
      </c>
      <c r="H623" t="s">
        <v>74</v>
      </c>
      <c r="I623" t="s">
        <v>11813</v>
      </c>
      <c r="J623" t="s">
        <v>1200</v>
      </c>
      <c r="K623" t="s">
        <v>74</v>
      </c>
      <c r="L623" t="s">
        <v>74</v>
      </c>
      <c r="M623" t="s">
        <v>78</v>
      </c>
      <c r="N623" t="s">
        <v>79</v>
      </c>
      <c r="O623" t="s">
        <v>74</v>
      </c>
      <c r="P623" t="s">
        <v>74</v>
      </c>
      <c r="Q623" t="s">
        <v>74</v>
      </c>
      <c r="R623" t="s">
        <v>74</v>
      </c>
      <c r="S623" t="s">
        <v>74</v>
      </c>
      <c r="T623" t="s">
        <v>11814</v>
      </c>
      <c r="U623" t="s">
        <v>11815</v>
      </c>
      <c r="V623" t="s">
        <v>11816</v>
      </c>
      <c r="W623" t="s">
        <v>11817</v>
      </c>
      <c r="X623" t="s">
        <v>11818</v>
      </c>
      <c r="Y623" t="s">
        <v>11819</v>
      </c>
      <c r="Z623" t="s">
        <v>11820</v>
      </c>
      <c r="AA623" t="s">
        <v>11821</v>
      </c>
      <c r="AB623" t="s">
        <v>11822</v>
      </c>
      <c r="AC623" t="s">
        <v>11823</v>
      </c>
      <c r="AD623" t="s">
        <v>11824</v>
      </c>
      <c r="AE623" t="s">
        <v>11825</v>
      </c>
      <c r="AF623" t="s">
        <v>74</v>
      </c>
      <c r="AG623">
        <v>56</v>
      </c>
      <c r="AH623">
        <v>1</v>
      </c>
      <c r="AI623">
        <v>2</v>
      </c>
      <c r="AJ623">
        <v>0</v>
      </c>
      <c r="AK623">
        <v>9</v>
      </c>
      <c r="AL623" t="s">
        <v>1210</v>
      </c>
      <c r="AM623" t="s">
        <v>473</v>
      </c>
      <c r="AN623" t="s">
        <v>1211</v>
      </c>
      <c r="AO623" t="s">
        <v>1212</v>
      </c>
      <c r="AP623" t="s">
        <v>1213</v>
      </c>
      <c r="AQ623" t="s">
        <v>74</v>
      </c>
      <c r="AR623" t="s">
        <v>1214</v>
      </c>
      <c r="AS623" t="s">
        <v>1215</v>
      </c>
      <c r="AT623" t="s">
        <v>11672</v>
      </c>
      <c r="AU623">
        <v>2020</v>
      </c>
      <c r="AV623">
        <v>56</v>
      </c>
      <c r="AW623" t="s">
        <v>74</v>
      </c>
      <c r="AX623" t="s">
        <v>74</v>
      </c>
      <c r="AY623" t="s">
        <v>74</v>
      </c>
      <c r="AZ623" t="s">
        <v>74</v>
      </c>
      <c r="BA623" t="s">
        <v>74</v>
      </c>
      <c r="BB623" t="s">
        <v>74</v>
      </c>
      <c r="BC623" t="s">
        <v>74</v>
      </c>
      <c r="BD623" t="s">
        <v>11826</v>
      </c>
      <c r="BE623" t="s">
        <v>11827</v>
      </c>
      <c r="BF623" t="str">
        <f>HYPERLINK("http://dx.doi.org/10.1017/S0032247420000364","http://dx.doi.org/10.1017/S0032247420000364")</f>
        <v>http://dx.doi.org/10.1017/S0032247420000364</v>
      </c>
      <c r="BG623" t="s">
        <v>74</v>
      </c>
      <c r="BH623" t="s">
        <v>74</v>
      </c>
      <c r="BI623">
        <v>10</v>
      </c>
      <c r="BJ623" t="s">
        <v>1218</v>
      </c>
      <c r="BK623" t="s">
        <v>103</v>
      </c>
      <c r="BL623" t="s">
        <v>104</v>
      </c>
      <c r="BM623" t="s">
        <v>11828</v>
      </c>
      <c r="BN623" t="s">
        <v>74</v>
      </c>
      <c r="BO623" t="s">
        <v>74</v>
      </c>
      <c r="BP623" t="s">
        <v>74</v>
      </c>
      <c r="BQ623" t="s">
        <v>74</v>
      </c>
      <c r="BR623" t="s">
        <v>106</v>
      </c>
      <c r="BS623" t="s">
        <v>11829</v>
      </c>
      <c r="BT623" t="str">
        <f>HYPERLINK("https%3A%2F%2Fwww.webofscience.com%2Fwos%2Fwoscc%2Ffull-record%2FWOS:000601225700001","View Full Record in Web of Science")</f>
        <v>View Full Record in Web of Science</v>
      </c>
    </row>
    <row r="624" spans="1:72" x14ac:dyDescent="0.15">
      <c r="A624" t="s">
        <v>72</v>
      </c>
      <c r="B624" t="s">
        <v>11830</v>
      </c>
      <c r="C624" t="s">
        <v>74</v>
      </c>
      <c r="D624" t="s">
        <v>74</v>
      </c>
      <c r="E624" t="s">
        <v>74</v>
      </c>
      <c r="F624" t="s">
        <v>11831</v>
      </c>
      <c r="G624" t="s">
        <v>74</v>
      </c>
      <c r="H624" t="s">
        <v>74</v>
      </c>
      <c r="I624" t="s">
        <v>11832</v>
      </c>
      <c r="J624" t="s">
        <v>11833</v>
      </c>
      <c r="K624" t="s">
        <v>74</v>
      </c>
      <c r="L624" t="s">
        <v>74</v>
      </c>
      <c r="M624" t="s">
        <v>78</v>
      </c>
      <c r="N624" t="s">
        <v>79</v>
      </c>
      <c r="O624" t="s">
        <v>74</v>
      </c>
      <c r="P624" t="s">
        <v>74</v>
      </c>
      <c r="Q624" t="s">
        <v>74</v>
      </c>
      <c r="R624" t="s">
        <v>74</v>
      </c>
      <c r="S624" t="s">
        <v>74</v>
      </c>
      <c r="T624" t="s">
        <v>11834</v>
      </c>
      <c r="U624" t="s">
        <v>11835</v>
      </c>
      <c r="V624" t="s">
        <v>11836</v>
      </c>
      <c r="W624" t="s">
        <v>11837</v>
      </c>
      <c r="X624" t="s">
        <v>11838</v>
      </c>
      <c r="Y624" t="s">
        <v>11839</v>
      </c>
      <c r="Z624" t="s">
        <v>11840</v>
      </c>
      <c r="AA624" t="s">
        <v>11841</v>
      </c>
      <c r="AB624" t="s">
        <v>11842</v>
      </c>
      <c r="AC624" t="s">
        <v>11843</v>
      </c>
      <c r="AD624" t="s">
        <v>11843</v>
      </c>
      <c r="AE624" t="s">
        <v>11844</v>
      </c>
      <c r="AF624" t="s">
        <v>74</v>
      </c>
      <c r="AG624">
        <v>27</v>
      </c>
      <c r="AH624">
        <v>6</v>
      </c>
      <c r="AI624">
        <v>8</v>
      </c>
      <c r="AJ624">
        <v>1</v>
      </c>
      <c r="AK624">
        <v>12</v>
      </c>
      <c r="AL624" t="s">
        <v>11744</v>
      </c>
      <c r="AM624" t="s">
        <v>236</v>
      </c>
      <c r="AN624" t="s">
        <v>11745</v>
      </c>
      <c r="AO624" t="s">
        <v>11845</v>
      </c>
      <c r="AP624" t="s">
        <v>11846</v>
      </c>
      <c r="AQ624" t="s">
        <v>74</v>
      </c>
      <c r="AR624" t="s">
        <v>11847</v>
      </c>
      <c r="AS624" t="s">
        <v>11848</v>
      </c>
      <c r="AT624" t="s">
        <v>11672</v>
      </c>
      <c r="AU624">
        <v>2020</v>
      </c>
      <c r="AV624">
        <v>16</v>
      </c>
      <c r="AW624">
        <v>12</v>
      </c>
      <c r="AX624" t="s">
        <v>74</v>
      </c>
      <c r="AY624" t="s">
        <v>74</v>
      </c>
      <c r="AZ624" t="s">
        <v>74</v>
      </c>
      <c r="BA624" t="s">
        <v>74</v>
      </c>
      <c r="BB624" t="s">
        <v>74</v>
      </c>
      <c r="BC624" t="s">
        <v>74</v>
      </c>
      <c r="BD624">
        <v>20200645</v>
      </c>
      <c r="BE624" t="s">
        <v>11849</v>
      </c>
      <c r="BF624" t="str">
        <f>HYPERLINK("http://dx.doi.org/10.1098/rsbl.2020.0645","http://dx.doi.org/10.1098/rsbl.2020.0645")</f>
        <v>http://dx.doi.org/10.1098/rsbl.2020.0645</v>
      </c>
      <c r="BG624" t="s">
        <v>74</v>
      </c>
      <c r="BH624" t="s">
        <v>74</v>
      </c>
      <c r="BI624">
        <v>6</v>
      </c>
      <c r="BJ624" t="s">
        <v>11751</v>
      </c>
      <c r="BK624" t="s">
        <v>103</v>
      </c>
      <c r="BL624" t="s">
        <v>11752</v>
      </c>
      <c r="BM624" t="s">
        <v>11850</v>
      </c>
      <c r="BN624">
        <v>33321063</v>
      </c>
      <c r="BO624" t="s">
        <v>759</v>
      </c>
      <c r="BP624" t="s">
        <v>74</v>
      </c>
      <c r="BQ624" t="s">
        <v>74</v>
      </c>
      <c r="BR624" t="s">
        <v>106</v>
      </c>
      <c r="BS624" t="s">
        <v>11851</v>
      </c>
      <c r="BT624" t="str">
        <f>HYPERLINK("https%3A%2F%2Fwww.webofscience.com%2Fwos%2Fwoscc%2Ffull-record%2FWOS:000600349500001","View Full Record in Web of Science")</f>
        <v>View Full Record in Web of Science</v>
      </c>
    </row>
    <row r="625" spans="1:72" x14ac:dyDescent="0.15">
      <c r="A625" t="s">
        <v>72</v>
      </c>
      <c r="B625" t="s">
        <v>11852</v>
      </c>
      <c r="C625" t="s">
        <v>74</v>
      </c>
      <c r="D625" t="s">
        <v>74</v>
      </c>
      <c r="E625" t="s">
        <v>74</v>
      </c>
      <c r="F625" t="s">
        <v>11853</v>
      </c>
      <c r="G625" t="s">
        <v>74</v>
      </c>
      <c r="H625" t="s">
        <v>74</v>
      </c>
      <c r="I625" t="s">
        <v>11854</v>
      </c>
      <c r="J625" t="s">
        <v>1556</v>
      </c>
      <c r="K625" t="s">
        <v>74</v>
      </c>
      <c r="L625" t="s">
        <v>74</v>
      </c>
      <c r="M625" t="s">
        <v>78</v>
      </c>
      <c r="N625" t="s">
        <v>79</v>
      </c>
      <c r="O625" t="s">
        <v>74</v>
      </c>
      <c r="P625" t="s">
        <v>74</v>
      </c>
      <c r="Q625" t="s">
        <v>74</v>
      </c>
      <c r="R625" t="s">
        <v>74</v>
      </c>
      <c r="S625" t="s">
        <v>74</v>
      </c>
      <c r="T625" t="s">
        <v>74</v>
      </c>
      <c r="U625" t="s">
        <v>11855</v>
      </c>
      <c r="V625" t="s">
        <v>11856</v>
      </c>
      <c r="W625" t="s">
        <v>11857</v>
      </c>
      <c r="X625" t="s">
        <v>11858</v>
      </c>
      <c r="Y625" t="s">
        <v>11859</v>
      </c>
      <c r="Z625" t="s">
        <v>11860</v>
      </c>
      <c r="AA625" t="s">
        <v>11861</v>
      </c>
      <c r="AB625" t="s">
        <v>11862</v>
      </c>
      <c r="AC625" t="s">
        <v>11863</v>
      </c>
      <c r="AD625" t="s">
        <v>11863</v>
      </c>
      <c r="AE625" t="s">
        <v>11864</v>
      </c>
      <c r="AF625" t="s">
        <v>74</v>
      </c>
      <c r="AG625">
        <v>112</v>
      </c>
      <c r="AH625">
        <v>7</v>
      </c>
      <c r="AI625">
        <v>7</v>
      </c>
      <c r="AJ625">
        <v>4</v>
      </c>
      <c r="AK625">
        <v>14</v>
      </c>
      <c r="AL625" t="s">
        <v>123</v>
      </c>
      <c r="AM625" t="s">
        <v>124</v>
      </c>
      <c r="AN625" t="s">
        <v>125</v>
      </c>
      <c r="AO625" t="s">
        <v>1565</v>
      </c>
      <c r="AP625" t="s">
        <v>1566</v>
      </c>
      <c r="AQ625" t="s">
        <v>74</v>
      </c>
      <c r="AR625" t="s">
        <v>1567</v>
      </c>
      <c r="AS625" t="s">
        <v>1568</v>
      </c>
      <c r="AT625" t="s">
        <v>11672</v>
      </c>
      <c r="AU625">
        <v>2020</v>
      </c>
      <c r="AV625">
        <v>16</v>
      </c>
      <c r="AW625">
        <v>6</v>
      </c>
      <c r="AX625" t="s">
        <v>74</v>
      </c>
      <c r="AY625" t="s">
        <v>74</v>
      </c>
      <c r="AZ625" t="s">
        <v>74</v>
      </c>
      <c r="BA625" t="s">
        <v>74</v>
      </c>
      <c r="BB625">
        <v>2547</v>
      </c>
      <c r="BC625">
        <v>2571</v>
      </c>
      <c r="BD625" t="s">
        <v>74</v>
      </c>
      <c r="BE625" t="s">
        <v>11865</v>
      </c>
      <c r="BF625" t="str">
        <f>HYPERLINK("http://dx.doi.org/10.5194/cp-16-2547-2020","http://dx.doi.org/10.5194/cp-16-2547-2020")</f>
        <v>http://dx.doi.org/10.5194/cp-16-2547-2020</v>
      </c>
      <c r="BG625" t="s">
        <v>74</v>
      </c>
      <c r="BH625" t="s">
        <v>74</v>
      </c>
      <c r="BI625">
        <v>25</v>
      </c>
      <c r="BJ625" t="s">
        <v>1570</v>
      </c>
      <c r="BK625" t="s">
        <v>103</v>
      </c>
      <c r="BL625" t="s">
        <v>1571</v>
      </c>
      <c r="BM625" t="s">
        <v>11674</v>
      </c>
      <c r="BN625" t="s">
        <v>74</v>
      </c>
      <c r="BO625" t="s">
        <v>11866</v>
      </c>
      <c r="BP625" t="s">
        <v>74</v>
      </c>
      <c r="BQ625" t="s">
        <v>74</v>
      </c>
      <c r="BR625" t="s">
        <v>106</v>
      </c>
      <c r="BS625" t="s">
        <v>11867</v>
      </c>
      <c r="BT625" t="str">
        <f>HYPERLINK("https%3A%2F%2Fwww.webofscience.com%2Fwos%2Fwoscc%2Ffull-record%2FWOS:000603351300003","View Full Record in Web of Science")</f>
        <v>View Full Record in Web of Science</v>
      </c>
    </row>
    <row r="626" spans="1:72" x14ac:dyDescent="0.15">
      <c r="A626" t="s">
        <v>72</v>
      </c>
      <c r="B626" t="s">
        <v>11868</v>
      </c>
      <c r="C626" t="s">
        <v>74</v>
      </c>
      <c r="D626" t="s">
        <v>74</v>
      </c>
      <c r="E626" t="s">
        <v>74</v>
      </c>
      <c r="F626" t="s">
        <v>11869</v>
      </c>
      <c r="G626" t="s">
        <v>74</v>
      </c>
      <c r="H626" t="s">
        <v>74</v>
      </c>
      <c r="I626" t="s">
        <v>11870</v>
      </c>
      <c r="J626" t="s">
        <v>3405</v>
      </c>
      <c r="K626" t="s">
        <v>74</v>
      </c>
      <c r="L626" t="s">
        <v>74</v>
      </c>
      <c r="M626" t="s">
        <v>78</v>
      </c>
      <c r="N626" t="s">
        <v>79</v>
      </c>
      <c r="O626" t="s">
        <v>74</v>
      </c>
      <c r="P626" t="s">
        <v>74</v>
      </c>
      <c r="Q626" t="s">
        <v>74</v>
      </c>
      <c r="R626" t="s">
        <v>74</v>
      </c>
      <c r="S626" t="s">
        <v>74</v>
      </c>
      <c r="T626" t="s">
        <v>74</v>
      </c>
      <c r="U626" t="s">
        <v>11871</v>
      </c>
      <c r="V626" t="s">
        <v>11872</v>
      </c>
      <c r="W626" t="s">
        <v>11873</v>
      </c>
      <c r="X626" t="s">
        <v>11874</v>
      </c>
      <c r="Y626" t="s">
        <v>11875</v>
      </c>
      <c r="Z626" t="s">
        <v>11876</v>
      </c>
      <c r="AA626" t="s">
        <v>74</v>
      </c>
      <c r="AB626" t="s">
        <v>74</v>
      </c>
      <c r="AC626" t="s">
        <v>11877</v>
      </c>
      <c r="AD626" t="s">
        <v>11878</v>
      </c>
      <c r="AE626" t="s">
        <v>11879</v>
      </c>
      <c r="AF626" t="s">
        <v>74</v>
      </c>
      <c r="AG626">
        <v>49</v>
      </c>
      <c r="AH626">
        <v>3</v>
      </c>
      <c r="AI626">
        <v>3</v>
      </c>
      <c r="AJ626">
        <v>0</v>
      </c>
      <c r="AK626">
        <v>3</v>
      </c>
      <c r="AL626" t="s">
        <v>123</v>
      </c>
      <c r="AM626" t="s">
        <v>124</v>
      </c>
      <c r="AN626" t="s">
        <v>125</v>
      </c>
      <c r="AO626" t="s">
        <v>3417</v>
      </c>
      <c r="AP626" t="s">
        <v>3418</v>
      </c>
      <c r="AQ626" t="s">
        <v>74</v>
      </c>
      <c r="AR626" t="s">
        <v>3419</v>
      </c>
      <c r="AS626" t="s">
        <v>3420</v>
      </c>
      <c r="AT626" t="s">
        <v>11880</v>
      </c>
      <c r="AU626">
        <v>2020</v>
      </c>
      <c r="AV626">
        <v>13</v>
      </c>
      <c r="AW626">
        <v>12</v>
      </c>
      <c r="AX626" t="s">
        <v>74</v>
      </c>
      <c r="AY626" t="s">
        <v>74</v>
      </c>
      <c r="AZ626" t="s">
        <v>74</v>
      </c>
      <c r="BA626" t="s">
        <v>74</v>
      </c>
      <c r="BB626">
        <v>6481</v>
      </c>
      <c r="BC626">
        <v>6500</v>
      </c>
      <c r="BD626" t="s">
        <v>74</v>
      </c>
      <c r="BE626" t="s">
        <v>11881</v>
      </c>
      <c r="BF626" t="str">
        <f>HYPERLINK("http://dx.doi.org/10.5194/gmd-13-6481-2020","http://dx.doi.org/10.5194/gmd-13-6481-2020")</f>
        <v>http://dx.doi.org/10.5194/gmd-13-6481-2020</v>
      </c>
      <c r="BG626" t="s">
        <v>74</v>
      </c>
      <c r="BH626" t="s">
        <v>74</v>
      </c>
      <c r="BI626">
        <v>20</v>
      </c>
      <c r="BJ626" t="s">
        <v>401</v>
      </c>
      <c r="BK626" t="s">
        <v>103</v>
      </c>
      <c r="BL626" t="s">
        <v>402</v>
      </c>
      <c r="BM626" t="s">
        <v>11882</v>
      </c>
      <c r="BN626" t="s">
        <v>74</v>
      </c>
      <c r="BO626" t="s">
        <v>917</v>
      </c>
      <c r="BP626" t="s">
        <v>74</v>
      </c>
      <c r="BQ626" t="s">
        <v>74</v>
      </c>
      <c r="BR626" t="s">
        <v>106</v>
      </c>
      <c r="BS626" t="s">
        <v>11883</v>
      </c>
      <c r="BT626" t="str">
        <f>HYPERLINK("https%3A%2F%2Fwww.webofscience.com%2Fwos%2Fwoscc%2Ffull-record%2FWOS:000602764800002","View Full Record in Web of Science")</f>
        <v>View Full Record in Web of Science</v>
      </c>
    </row>
    <row r="627" spans="1:72" x14ac:dyDescent="0.15">
      <c r="A627" t="s">
        <v>72</v>
      </c>
      <c r="B627" t="s">
        <v>11884</v>
      </c>
      <c r="C627" t="s">
        <v>74</v>
      </c>
      <c r="D627" t="s">
        <v>74</v>
      </c>
      <c r="E627" t="s">
        <v>74</v>
      </c>
      <c r="F627" t="s">
        <v>11885</v>
      </c>
      <c r="G627" t="s">
        <v>74</v>
      </c>
      <c r="H627" t="s">
        <v>74</v>
      </c>
      <c r="I627" t="s">
        <v>11886</v>
      </c>
      <c r="J627" t="s">
        <v>3602</v>
      </c>
      <c r="K627" t="s">
        <v>74</v>
      </c>
      <c r="L627" t="s">
        <v>74</v>
      </c>
      <c r="M627" t="s">
        <v>78</v>
      </c>
      <c r="N627" t="s">
        <v>79</v>
      </c>
      <c r="O627" t="s">
        <v>74</v>
      </c>
      <c r="P627" t="s">
        <v>74</v>
      </c>
      <c r="Q627" t="s">
        <v>74</v>
      </c>
      <c r="R627" t="s">
        <v>74</v>
      </c>
      <c r="S627" t="s">
        <v>74</v>
      </c>
      <c r="T627" t="s">
        <v>74</v>
      </c>
      <c r="U627" t="s">
        <v>11887</v>
      </c>
      <c r="V627" t="s">
        <v>11888</v>
      </c>
      <c r="W627" t="s">
        <v>11889</v>
      </c>
      <c r="X627" t="s">
        <v>11890</v>
      </c>
      <c r="Y627" t="s">
        <v>11891</v>
      </c>
      <c r="Z627" t="s">
        <v>11892</v>
      </c>
      <c r="AA627" t="s">
        <v>11893</v>
      </c>
      <c r="AB627" t="s">
        <v>11894</v>
      </c>
      <c r="AC627" t="s">
        <v>11895</v>
      </c>
      <c r="AD627" t="s">
        <v>11895</v>
      </c>
      <c r="AE627" t="s">
        <v>11896</v>
      </c>
      <c r="AF627" t="s">
        <v>74</v>
      </c>
      <c r="AG627">
        <v>34</v>
      </c>
      <c r="AH627">
        <v>0</v>
      </c>
      <c r="AI627">
        <v>0</v>
      </c>
      <c r="AJ627">
        <v>0</v>
      </c>
      <c r="AK627">
        <v>4</v>
      </c>
      <c r="AL627" t="s">
        <v>123</v>
      </c>
      <c r="AM627" t="s">
        <v>124</v>
      </c>
      <c r="AN627" t="s">
        <v>125</v>
      </c>
      <c r="AO627" t="s">
        <v>3614</v>
      </c>
      <c r="AP627" t="s">
        <v>3615</v>
      </c>
      <c r="AQ627" t="s">
        <v>74</v>
      </c>
      <c r="AR627" t="s">
        <v>3616</v>
      </c>
      <c r="AS627" t="s">
        <v>3617</v>
      </c>
      <c r="AT627" t="s">
        <v>11880</v>
      </c>
      <c r="AU627">
        <v>2020</v>
      </c>
      <c r="AV627">
        <v>13</v>
      </c>
      <c r="AW627">
        <v>12</v>
      </c>
      <c r="AX627" t="s">
        <v>74</v>
      </c>
      <c r="AY627" t="s">
        <v>74</v>
      </c>
      <c r="AZ627" t="s">
        <v>74</v>
      </c>
      <c r="BA627" t="s">
        <v>74</v>
      </c>
      <c r="BB627">
        <v>7047</v>
      </c>
      <c r="BC627">
        <v>7057</v>
      </c>
      <c r="BD627" t="s">
        <v>74</v>
      </c>
      <c r="BE627" t="s">
        <v>11897</v>
      </c>
      <c r="BF627" t="str">
        <f>HYPERLINK("http://dx.doi.org/10.5194/amt-13-7047-2020","http://dx.doi.org/10.5194/amt-13-7047-2020")</f>
        <v>http://dx.doi.org/10.5194/amt-13-7047-2020</v>
      </c>
      <c r="BG627" t="s">
        <v>74</v>
      </c>
      <c r="BH627" t="s">
        <v>74</v>
      </c>
      <c r="BI627">
        <v>11</v>
      </c>
      <c r="BJ627" t="s">
        <v>687</v>
      </c>
      <c r="BK627" t="s">
        <v>103</v>
      </c>
      <c r="BL627" t="s">
        <v>687</v>
      </c>
      <c r="BM627" t="s">
        <v>11898</v>
      </c>
      <c r="BN627" t="s">
        <v>74</v>
      </c>
      <c r="BO627" t="s">
        <v>159</v>
      </c>
      <c r="BP627" t="s">
        <v>74</v>
      </c>
      <c r="BQ627" t="s">
        <v>74</v>
      </c>
      <c r="BR627" t="s">
        <v>106</v>
      </c>
      <c r="BS627" t="s">
        <v>11899</v>
      </c>
      <c r="BT627" t="str">
        <f>HYPERLINK("https%3A%2F%2Fwww.webofscience.com%2Fwos%2Fwoscc%2Ffull-record%2FWOS:000602559600001","View Full Record in Web of Science")</f>
        <v>View Full Record in Web of Science</v>
      </c>
    </row>
    <row r="628" spans="1:72" x14ac:dyDescent="0.15">
      <c r="A628" t="s">
        <v>72</v>
      </c>
      <c r="B628" t="s">
        <v>11900</v>
      </c>
      <c r="C628" t="s">
        <v>74</v>
      </c>
      <c r="D628" t="s">
        <v>74</v>
      </c>
      <c r="E628" t="s">
        <v>74</v>
      </c>
      <c r="F628" t="s">
        <v>11901</v>
      </c>
      <c r="G628" t="s">
        <v>74</v>
      </c>
      <c r="H628" t="s">
        <v>74</v>
      </c>
      <c r="I628" t="s">
        <v>11902</v>
      </c>
      <c r="J628" t="s">
        <v>11903</v>
      </c>
      <c r="K628" t="s">
        <v>74</v>
      </c>
      <c r="L628" t="s">
        <v>74</v>
      </c>
      <c r="M628" t="s">
        <v>78</v>
      </c>
      <c r="N628" t="s">
        <v>79</v>
      </c>
      <c r="O628" t="s">
        <v>74</v>
      </c>
      <c r="P628" t="s">
        <v>74</v>
      </c>
      <c r="Q628" t="s">
        <v>74</v>
      </c>
      <c r="R628" t="s">
        <v>74</v>
      </c>
      <c r="S628" t="s">
        <v>74</v>
      </c>
      <c r="T628" t="s">
        <v>11904</v>
      </c>
      <c r="U628" t="s">
        <v>11905</v>
      </c>
      <c r="V628" t="s">
        <v>11906</v>
      </c>
      <c r="W628" t="s">
        <v>11907</v>
      </c>
      <c r="X628" t="s">
        <v>11908</v>
      </c>
      <c r="Y628" t="s">
        <v>11909</v>
      </c>
      <c r="Z628" t="s">
        <v>11910</v>
      </c>
      <c r="AA628" t="s">
        <v>11911</v>
      </c>
      <c r="AB628" t="s">
        <v>11912</v>
      </c>
      <c r="AC628" t="s">
        <v>11913</v>
      </c>
      <c r="AD628" t="s">
        <v>11914</v>
      </c>
      <c r="AE628" t="s">
        <v>11915</v>
      </c>
      <c r="AF628" t="s">
        <v>74</v>
      </c>
      <c r="AG628">
        <v>263</v>
      </c>
      <c r="AH628">
        <v>51</v>
      </c>
      <c r="AI628">
        <v>53</v>
      </c>
      <c r="AJ628">
        <v>9</v>
      </c>
      <c r="AK628">
        <v>42</v>
      </c>
      <c r="AL628" t="s">
        <v>552</v>
      </c>
      <c r="AM628" t="s">
        <v>553</v>
      </c>
      <c r="AN628" t="s">
        <v>554</v>
      </c>
      <c r="AO628" t="s">
        <v>11916</v>
      </c>
      <c r="AP628" t="s">
        <v>11917</v>
      </c>
      <c r="AQ628" t="s">
        <v>74</v>
      </c>
      <c r="AR628" t="s">
        <v>11918</v>
      </c>
      <c r="AS628" t="s">
        <v>11919</v>
      </c>
      <c r="AT628" t="s">
        <v>707</v>
      </c>
      <c r="AU628">
        <v>2021</v>
      </c>
      <c r="AV628">
        <v>96</v>
      </c>
      <c r="AW628">
        <v>3</v>
      </c>
      <c r="AX628" t="s">
        <v>74</v>
      </c>
      <c r="AY628" t="s">
        <v>74</v>
      </c>
      <c r="AZ628" t="s">
        <v>74</v>
      </c>
      <c r="BA628" t="s">
        <v>74</v>
      </c>
      <c r="BB628">
        <v>798</v>
      </c>
      <c r="BC628">
        <v>821</v>
      </c>
      <c r="BD628" t="s">
        <v>74</v>
      </c>
      <c r="BE628" t="s">
        <v>11920</v>
      </c>
      <c r="BF628" t="str">
        <f>HYPERLINK("http://dx.doi.org/10.1111/brv.12679","http://dx.doi.org/10.1111/brv.12679")</f>
        <v>http://dx.doi.org/10.1111/brv.12679</v>
      </c>
      <c r="BG628" t="s">
        <v>74</v>
      </c>
      <c r="BH628" t="s">
        <v>11309</v>
      </c>
      <c r="BI628">
        <v>24</v>
      </c>
      <c r="BJ628" t="s">
        <v>6351</v>
      </c>
      <c r="BK628" t="s">
        <v>103</v>
      </c>
      <c r="BL628" t="s">
        <v>6352</v>
      </c>
      <c r="BM628" t="s">
        <v>11921</v>
      </c>
      <c r="BN628">
        <v>33354897</v>
      </c>
      <c r="BO628" t="s">
        <v>11922</v>
      </c>
      <c r="BP628" t="s">
        <v>74</v>
      </c>
      <c r="BQ628" t="s">
        <v>74</v>
      </c>
      <c r="BR628" t="s">
        <v>106</v>
      </c>
      <c r="BS628" t="s">
        <v>11923</v>
      </c>
      <c r="BT628" t="str">
        <f>HYPERLINK("https%3A%2F%2Fwww.webofscience.com%2Fwos%2Fwoscc%2Ffull-record%2FWOS:000600889900001","View Full Record in Web of Science")</f>
        <v>View Full Record in Web of Science</v>
      </c>
    </row>
    <row r="629" spans="1:72" x14ac:dyDescent="0.15">
      <c r="A629" t="s">
        <v>72</v>
      </c>
      <c r="B629" t="s">
        <v>11924</v>
      </c>
      <c r="C629" t="s">
        <v>74</v>
      </c>
      <c r="D629" t="s">
        <v>74</v>
      </c>
      <c r="E629" t="s">
        <v>74</v>
      </c>
      <c r="F629" t="s">
        <v>11925</v>
      </c>
      <c r="G629" t="s">
        <v>74</v>
      </c>
      <c r="H629" t="s">
        <v>74</v>
      </c>
      <c r="I629" t="s">
        <v>11926</v>
      </c>
      <c r="J629" t="s">
        <v>11927</v>
      </c>
      <c r="K629" t="s">
        <v>74</v>
      </c>
      <c r="L629" t="s">
        <v>74</v>
      </c>
      <c r="M629" t="s">
        <v>78</v>
      </c>
      <c r="N629" t="s">
        <v>141</v>
      </c>
      <c r="O629" t="s">
        <v>74</v>
      </c>
      <c r="P629" t="s">
        <v>74</v>
      </c>
      <c r="Q629" t="s">
        <v>74</v>
      </c>
      <c r="R629" t="s">
        <v>74</v>
      </c>
      <c r="S629" t="s">
        <v>74</v>
      </c>
      <c r="T629" t="s">
        <v>11928</v>
      </c>
      <c r="U629" t="s">
        <v>11929</v>
      </c>
      <c r="V629" t="s">
        <v>11930</v>
      </c>
      <c r="W629" t="s">
        <v>11931</v>
      </c>
      <c r="X629" t="s">
        <v>11932</v>
      </c>
      <c r="Y629" t="s">
        <v>11933</v>
      </c>
      <c r="Z629" t="s">
        <v>11934</v>
      </c>
      <c r="AA629" t="s">
        <v>11935</v>
      </c>
      <c r="AB629" t="s">
        <v>11936</v>
      </c>
      <c r="AC629" t="s">
        <v>11937</v>
      </c>
      <c r="AD629" t="s">
        <v>11938</v>
      </c>
      <c r="AE629" t="s">
        <v>11939</v>
      </c>
      <c r="AF629" t="s">
        <v>74</v>
      </c>
      <c r="AG629">
        <v>74</v>
      </c>
      <c r="AH629">
        <v>65</v>
      </c>
      <c r="AI629">
        <v>67</v>
      </c>
      <c r="AJ629">
        <v>3</v>
      </c>
      <c r="AK629">
        <v>74</v>
      </c>
      <c r="AL629" t="s">
        <v>11744</v>
      </c>
      <c r="AM629" t="s">
        <v>236</v>
      </c>
      <c r="AN629" t="s">
        <v>11745</v>
      </c>
      <c r="AO629" t="s">
        <v>11940</v>
      </c>
      <c r="AP629" t="s">
        <v>11941</v>
      </c>
      <c r="AQ629" t="s">
        <v>74</v>
      </c>
      <c r="AR629" t="s">
        <v>11942</v>
      </c>
      <c r="AS629" t="s">
        <v>11943</v>
      </c>
      <c r="AT629" t="s">
        <v>11944</v>
      </c>
      <c r="AU629">
        <v>2020</v>
      </c>
      <c r="AV629">
        <v>375</v>
      </c>
      <c r="AW629">
        <v>1814</v>
      </c>
      <c r="AX629" t="s">
        <v>74</v>
      </c>
      <c r="AY629" t="s">
        <v>74</v>
      </c>
      <c r="AZ629" t="s">
        <v>74</v>
      </c>
      <c r="BA629" t="s">
        <v>74</v>
      </c>
      <c r="BB629" t="s">
        <v>74</v>
      </c>
      <c r="BC629" t="s">
        <v>74</v>
      </c>
      <c r="BD629">
        <v>20190461</v>
      </c>
      <c r="BE629" t="s">
        <v>11945</v>
      </c>
      <c r="BF629" t="str">
        <f>HYPERLINK("http://dx.doi.org/10.1098/rstb.2019.0461","http://dx.doi.org/10.1098/rstb.2019.0461")</f>
        <v>http://dx.doi.org/10.1098/rstb.2019.0461</v>
      </c>
      <c r="BG629" t="s">
        <v>74</v>
      </c>
      <c r="BH629" t="s">
        <v>74</v>
      </c>
      <c r="BI629">
        <v>13</v>
      </c>
      <c r="BJ629" t="s">
        <v>6351</v>
      </c>
      <c r="BK629" t="s">
        <v>271</v>
      </c>
      <c r="BL629" t="s">
        <v>6352</v>
      </c>
      <c r="BM629" t="s">
        <v>11946</v>
      </c>
      <c r="BN629">
        <v>33131446</v>
      </c>
      <c r="BO629" t="s">
        <v>759</v>
      </c>
      <c r="BP629" t="s">
        <v>74</v>
      </c>
      <c r="BQ629" t="s">
        <v>74</v>
      </c>
      <c r="BR629" t="s">
        <v>106</v>
      </c>
      <c r="BS629" t="s">
        <v>11947</v>
      </c>
      <c r="BT629" t="str">
        <f>HYPERLINK("https%3A%2F%2Fwww.webofscience.com%2Fwos%2Fwoscc%2Ffull-record%2FWOS:000589653800017","View Full Record in Web of Science")</f>
        <v>View Full Record in Web of Science</v>
      </c>
    </row>
    <row r="630" spans="1:72" x14ac:dyDescent="0.15">
      <c r="A630" t="s">
        <v>72</v>
      </c>
      <c r="B630" t="s">
        <v>11948</v>
      </c>
      <c r="C630" t="s">
        <v>74</v>
      </c>
      <c r="D630" t="s">
        <v>74</v>
      </c>
      <c r="E630" t="s">
        <v>74</v>
      </c>
      <c r="F630" t="s">
        <v>11949</v>
      </c>
      <c r="G630" t="s">
        <v>74</v>
      </c>
      <c r="H630" t="s">
        <v>74</v>
      </c>
      <c r="I630" t="s">
        <v>11950</v>
      </c>
      <c r="J630" t="s">
        <v>3342</v>
      </c>
      <c r="K630" t="s">
        <v>74</v>
      </c>
      <c r="L630" t="s">
        <v>74</v>
      </c>
      <c r="M630" t="s">
        <v>78</v>
      </c>
      <c r="N630" t="s">
        <v>79</v>
      </c>
      <c r="O630" t="s">
        <v>74</v>
      </c>
      <c r="P630" t="s">
        <v>74</v>
      </c>
      <c r="Q630" t="s">
        <v>74</v>
      </c>
      <c r="R630" t="s">
        <v>74</v>
      </c>
      <c r="S630" t="s">
        <v>74</v>
      </c>
      <c r="T630" t="s">
        <v>11951</v>
      </c>
      <c r="U630" t="s">
        <v>11952</v>
      </c>
      <c r="V630" t="s">
        <v>11953</v>
      </c>
      <c r="W630" t="s">
        <v>11954</v>
      </c>
      <c r="X630" t="s">
        <v>11955</v>
      </c>
      <c r="Y630" t="s">
        <v>11956</v>
      </c>
      <c r="Z630" t="s">
        <v>11957</v>
      </c>
      <c r="AA630" t="s">
        <v>11958</v>
      </c>
      <c r="AB630" t="s">
        <v>11959</v>
      </c>
      <c r="AC630" t="s">
        <v>11960</v>
      </c>
      <c r="AD630" t="s">
        <v>11961</v>
      </c>
      <c r="AE630" t="s">
        <v>11962</v>
      </c>
      <c r="AF630" t="s">
        <v>74</v>
      </c>
      <c r="AG630">
        <v>33</v>
      </c>
      <c r="AH630">
        <v>0</v>
      </c>
      <c r="AI630">
        <v>0</v>
      </c>
      <c r="AJ630">
        <v>0</v>
      </c>
      <c r="AK630">
        <v>8</v>
      </c>
      <c r="AL630" t="s">
        <v>3355</v>
      </c>
      <c r="AM630" t="s">
        <v>3356</v>
      </c>
      <c r="AN630" t="s">
        <v>11651</v>
      </c>
      <c r="AO630" t="s">
        <v>3358</v>
      </c>
      <c r="AP630" t="s">
        <v>3359</v>
      </c>
      <c r="AQ630" t="s">
        <v>74</v>
      </c>
      <c r="AR630" t="s">
        <v>3342</v>
      </c>
      <c r="AS630" t="s">
        <v>3360</v>
      </c>
      <c r="AT630" t="s">
        <v>11944</v>
      </c>
      <c r="AU630">
        <v>2020</v>
      </c>
      <c r="AV630">
        <v>4896</v>
      </c>
      <c r="AW630">
        <v>2</v>
      </c>
      <c r="AX630" t="s">
        <v>74</v>
      </c>
      <c r="AY630" t="s">
        <v>74</v>
      </c>
      <c r="AZ630" t="s">
        <v>74</v>
      </c>
      <c r="BA630" t="s">
        <v>74</v>
      </c>
      <c r="BB630">
        <v>180</v>
      </c>
      <c r="BC630">
        <v>200</v>
      </c>
      <c r="BD630" t="s">
        <v>74</v>
      </c>
      <c r="BE630" t="s">
        <v>11963</v>
      </c>
      <c r="BF630" t="str">
        <f>HYPERLINK("http://dx.doi.org/10.11646/zootaxa.4896.2.2","http://dx.doi.org/10.11646/zootaxa.4896.2.2")</f>
        <v>http://dx.doi.org/10.11646/zootaxa.4896.2.2</v>
      </c>
      <c r="BG630" t="s">
        <v>74</v>
      </c>
      <c r="BH630" t="s">
        <v>74</v>
      </c>
      <c r="BI630">
        <v>21</v>
      </c>
      <c r="BJ630" t="s">
        <v>1028</v>
      </c>
      <c r="BK630" t="s">
        <v>103</v>
      </c>
      <c r="BL630" t="s">
        <v>1028</v>
      </c>
      <c r="BM630" t="s">
        <v>11964</v>
      </c>
      <c r="BN630">
        <v>33756862</v>
      </c>
      <c r="BO630" t="s">
        <v>74</v>
      </c>
      <c r="BP630" t="s">
        <v>74</v>
      </c>
      <c r="BQ630" t="s">
        <v>74</v>
      </c>
      <c r="BR630" t="s">
        <v>106</v>
      </c>
      <c r="BS630" t="s">
        <v>11965</v>
      </c>
      <c r="BT630" t="str">
        <f>HYPERLINK("https%3A%2F%2Fwww.webofscience.com%2Fwos%2Fwoscc%2Ffull-record%2FWOS:000603490000002","View Full Record in Web of Science")</f>
        <v>View Full Record in Web of Science</v>
      </c>
    </row>
    <row r="631" spans="1:72" x14ac:dyDescent="0.15">
      <c r="A631" t="s">
        <v>72</v>
      </c>
      <c r="B631" t="s">
        <v>11966</v>
      </c>
      <c r="C631" t="s">
        <v>74</v>
      </c>
      <c r="D631" t="s">
        <v>74</v>
      </c>
      <c r="E631" t="s">
        <v>74</v>
      </c>
      <c r="F631" t="s">
        <v>11967</v>
      </c>
      <c r="G631" t="s">
        <v>74</v>
      </c>
      <c r="H631" t="s">
        <v>74</v>
      </c>
      <c r="I631" t="s">
        <v>11968</v>
      </c>
      <c r="J631" t="s">
        <v>3602</v>
      </c>
      <c r="K631" t="s">
        <v>74</v>
      </c>
      <c r="L631" t="s">
        <v>74</v>
      </c>
      <c r="M631" t="s">
        <v>78</v>
      </c>
      <c r="N631" t="s">
        <v>79</v>
      </c>
      <c r="O631" t="s">
        <v>74</v>
      </c>
      <c r="P631" t="s">
        <v>74</v>
      </c>
      <c r="Q631" t="s">
        <v>74</v>
      </c>
      <c r="R631" t="s">
        <v>74</v>
      </c>
      <c r="S631" t="s">
        <v>74</v>
      </c>
      <c r="T631" t="s">
        <v>74</v>
      </c>
      <c r="U631" t="s">
        <v>11969</v>
      </c>
      <c r="V631" t="s">
        <v>11970</v>
      </c>
      <c r="W631" t="s">
        <v>11971</v>
      </c>
      <c r="X631" t="s">
        <v>11972</v>
      </c>
      <c r="Y631" t="s">
        <v>11973</v>
      </c>
      <c r="Z631" t="s">
        <v>11974</v>
      </c>
      <c r="AA631" t="s">
        <v>11975</v>
      </c>
      <c r="AB631" t="s">
        <v>11976</v>
      </c>
      <c r="AC631" t="s">
        <v>11977</v>
      </c>
      <c r="AD631" t="s">
        <v>11978</v>
      </c>
      <c r="AE631" t="s">
        <v>11979</v>
      </c>
      <c r="AF631" t="s">
        <v>74</v>
      </c>
      <c r="AG631">
        <v>89</v>
      </c>
      <c r="AH631">
        <v>12</v>
      </c>
      <c r="AI631">
        <v>12</v>
      </c>
      <c r="AJ631">
        <v>0</v>
      </c>
      <c r="AK631">
        <v>7</v>
      </c>
      <c r="AL631" t="s">
        <v>123</v>
      </c>
      <c r="AM631" t="s">
        <v>124</v>
      </c>
      <c r="AN631" t="s">
        <v>125</v>
      </c>
      <c r="AO631" t="s">
        <v>3614</v>
      </c>
      <c r="AP631" t="s">
        <v>3615</v>
      </c>
      <c r="AQ631" t="s">
        <v>74</v>
      </c>
      <c r="AR631" t="s">
        <v>3616</v>
      </c>
      <c r="AS631" t="s">
        <v>3617</v>
      </c>
      <c r="AT631" t="s">
        <v>11944</v>
      </c>
      <c r="AU631">
        <v>2020</v>
      </c>
      <c r="AV631">
        <v>13</v>
      </c>
      <c r="AW631">
        <v>12</v>
      </c>
      <c r="AX631" t="s">
        <v>74</v>
      </c>
      <c r="AY631" t="s">
        <v>74</v>
      </c>
      <c r="AZ631" t="s">
        <v>74</v>
      </c>
      <c r="BA631" t="s">
        <v>74</v>
      </c>
      <c r="BB631">
        <v>6999</v>
      </c>
      <c r="BC631">
        <v>7024</v>
      </c>
      <c r="BD631" t="s">
        <v>74</v>
      </c>
      <c r="BE631" t="s">
        <v>11980</v>
      </c>
      <c r="BF631" t="str">
        <f>HYPERLINK("http://dx.doi.org/10.5194/amt-13-6999-2020","http://dx.doi.org/10.5194/amt-13-6999-2020")</f>
        <v>http://dx.doi.org/10.5194/amt-13-6999-2020</v>
      </c>
      <c r="BG631" t="s">
        <v>74</v>
      </c>
      <c r="BH631" t="s">
        <v>74</v>
      </c>
      <c r="BI631">
        <v>26</v>
      </c>
      <c r="BJ631" t="s">
        <v>687</v>
      </c>
      <c r="BK631" t="s">
        <v>103</v>
      </c>
      <c r="BL631" t="s">
        <v>687</v>
      </c>
      <c r="BM631" t="s">
        <v>11981</v>
      </c>
      <c r="BN631" t="s">
        <v>74</v>
      </c>
      <c r="BO631" t="s">
        <v>958</v>
      </c>
      <c r="BP631" t="s">
        <v>74</v>
      </c>
      <c r="BQ631" t="s">
        <v>74</v>
      </c>
      <c r="BR631" t="s">
        <v>106</v>
      </c>
      <c r="BS631" t="s">
        <v>11982</v>
      </c>
      <c r="BT631" t="str">
        <f>HYPERLINK("https%3A%2F%2Fwww.webofscience.com%2Fwos%2Fwoscc%2Ffull-record%2FWOS:000602537700004","View Full Record in Web of Science")</f>
        <v>View Full Record in Web of Science</v>
      </c>
    </row>
    <row r="632" spans="1:72" x14ac:dyDescent="0.15">
      <c r="A632" t="s">
        <v>72</v>
      </c>
      <c r="B632" t="s">
        <v>11983</v>
      </c>
      <c r="C632" t="s">
        <v>74</v>
      </c>
      <c r="D632" t="s">
        <v>74</v>
      </c>
      <c r="E632" t="s">
        <v>74</v>
      </c>
      <c r="F632" t="s">
        <v>11984</v>
      </c>
      <c r="G632" t="s">
        <v>74</v>
      </c>
      <c r="H632" t="s">
        <v>74</v>
      </c>
      <c r="I632" t="s">
        <v>11985</v>
      </c>
      <c r="J632" t="s">
        <v>1556</v>
      </c>
      <c r="K632" t="s">
        <v>74</v>
      </c>
      <c r="L632" t="s">
        <v>74</v>
      </c>
      <c r="M632" t="s">
        <v>78</v>
      </c>
      <c r="N632" t="s">
        <v>79</v>
      </c>
      <c r="O632" t="s">
        <v>74</v>
      </c>
      <c r="P632" t="s">
        <v>74</v>
      </c>
      <c r="Q632" t="s">
        <v>74</v>
      </c>
      <c r="R632" t="s">
        <v>74</v>
      </c>
      <c r="S632" t="s">
        <v>74</v>
      </c>
      <c r="T632" t="s">
        <v>74</v>
      </c>
      <c r="U632" t="s">
        <v>11986</v>
      </c>
      <c r="V632" t="s">
        <v>11987</v>
      </c>
      <c r="W632" t="s">
        <v>11988</v>
      </c>
      <c r="X632" t="s">
        <v>11989</v>
      </c>
      <c r="Y632" t="s">
        <v>11990</v>
      </c>
      <c r="Z632" t="s">
        <v>11991</v>
      </c>
      <c r="AA632" t="s">
        <v>11992</v>
      </c>
      <c r="AB632" t="s">
        <v>11993</v>
      </c>
      <c r="AC632" t="s">
        <v>11994</v>
      </c>
      <c r="AD632" t="s">
        <v>11995</v>
      </c>
      <c r="AE632" t="s">
        <v>11996</v>
      </c>
      <c r="AF632" t="s">
        <v>74</v>
      </c>
      <c r="AG632">
        <v>79</v>
      </c>
      <c r="AH632">
        <v>0</v>
      </c>
      <c r="AI632">
        <v>0</v>
      </c>
      <c r="AJ632">
        <v>0</v>
      </c>
      <c r="AK632">
        <v>5</v>
      </c>
      <c r="AL632" t="s">
        <v>123</v>
      </c>
      <c r="AM632" t="s">
        <v>124</v>
      </c>
      <c r="AN632" t="s">
        <v>125</v>
      </c>
      <c r="AO632" t="s">
        <v>1565</v>
      </c>
      <c r="AP632" t="s">
        <v>1566</v>
      </c>
      <c r="AQ632" t="s">
        <v>74</v>
      </c>
      <c r="AR632" t="s">
        <v>1567</v>
      </c>
      <c r="AS632" t="s">
        <v>1568</v>
      </c>
      <c r="AT632" t="s">
        <v>11944</v>
      </c>
      <c r="AU632">
        <v>2020</v>
      </c>
      <c r="AV632">
        <v>16</v>
      </c>
      <c r="AW632">
        <v>6</v>
      </c>
      <c r="AX632" t="s">
        <v>74</v>
      </c>
      <c r="AY632" t="s">
        <v>74</v>
      </c>
      <c r="AZ632" t="s">
        <v>74</v>
      </c>
      <c r="BA632" t="s">
        <v>74</v>
      </c>
      <c r="BB632">
        <v>2485</v>
      </c>
      <c r="BC632">
        <v>2508</v>
      </c>
      <c r="BD632" t="s">
        <v>74</v>
      </c>
      <c r="BE632" t="s">
        <v>11997</v>
      </c>
      <c r="BF632" t="str">
        <f>HYPERLINK("http://dx.doi.org/10.5194/cp-16-2485-2020","http://dx.doi.org/10.5194/cp-16-2485-2020")</f>
        <v>http://dx.doi.org/10.5194/cp-16-2485-2020</v>
      </c>
      <c r="BG632" t="s">
        <v>74</v>
      </c>
      <c r="BH632" t="s">
        <v>74</v>
      </c>
      <c r="BI632">
        <v>24</v>
      </c>
      <c r="BJ632" t="s">
        <v>1570</v>
      </c>
      <c r="BK632" t="s">
        <v>103</v>
      </c>
      <c r="BL632" t="s">
        <v>1571</v>
      </c>
      <c r="BM632" t="s">
        <v>11998</v>
      </c>
      <c r="BN632" t="s">
        <v>74</v>
      </c>
      <c r="BO632" t="s">
        <v>3137</v>
      </c>
      <c r="BP632" t="s">
        <v>74</v>
      </c>
      <c r="BQ632" t="s">
        <v>74</v>
      </c>
      <c r="BR632" t="s">
        <v>106</v>
      </c>
      <c r="BS632" t="s">
        <v>11999</v>
      </c>
      <c r="BT632" t="str">
        <f>HYPERLINK("https%3A%2F%2Fwww.webofscience.com%2Fwos%2Fwoscc%2Ffull-record%2FWOS:000602538300001","View Full Record in Web of Science")</f>
        <v>View Full Record in Web of Science</v>
      </c>
    </row>
    <row r="633" spans="1:72" x14ac:dyDescent="0.15">
      <c r="A633" t="s">
        <v>72</v>
      </c>
      <c r="B633" t="s">
        <v>12000</v>
      </c>
      <c r="C633" t="s">
        <v>74</v>
      </c>
      <c r="D633" t="s">
        <v>74</v>
      </c>
      <c r="E633" t="s">
        <v>74</v>
      </c>
      <c r="F633" t="s">
        <v>12001</v>
      </c>
      <c r="G633" t="s">
        <v>74</v>
      </c>
      <c r="H633" t="s">
        <v>74</v>
      </c>
      <c r="I633" t="s">
        <v>12002</v>
      </c>
      <c r="J633" t="s">
        <v>12003</v>
      </c>
      <c r="K633" t="s">
        <v>74</v>
      </c>
      <c r="L633" t="s">
        <v>74</v>
      </c>
      <c r="M633" t="s">
        <v>78</v>
      </c>
      <c r="N633" t="s">
        <v>79</v>
      </c>
      <c r="O633" t="s">
        <v>74</v>
      </c>
      <c r="P633" t="s">
        <v>74</v>
      </c>
      <c r="Q633" t="s">
        <v>74</v>
      </c>
      <c r="R633" t="s">
        <v>74</v>
      </c>
      <c r="S633" t="s">
        <v>74</v>
      </c>
      <c r="T633" t="s">
        <v>12004</v>
      </c>
      <c r="U633" t="s">
        <v>12005</v>
      </c>
      <c r="V633" t="s">
        <v>12006</v>
      </c>
      <c r="W633" t="s">
        <v>12007</v>
      </c>
      <c r="X633" t="s">
        <v>12008</v>
      </c>
      <c r="Y633" t="s">
        <v>12009</v>
      </c>
      <c r="Z633" t="s">
        <v>12010</v>
      </c>
      <c r="AA633" t="s">
        <v>12011</v>
      </c>
      <c r="AB633" t="s">
        <v>12012</v>
      </c>
      <c r="AC633" t="s">
        <v>74</v>
      </c>
      <c r="AD633" t="s">
        <v>74</v>
      </c>
      <c r="AE633" t="s">
        <v>74</v>
      </c>
      <c r="AF633" t="s">
        <v>74</v>
      </c>
      <c r="AG633">
        <v>44</v>
      </c>
      <c r="AH633">
        <v>5</v>
      </c>
      <c r="AI633">
        <v>8</v>
      </c>
      <c r="AJ633">
        <v>7</v>
      </c>
      <c r="AK633">
        <v>36</v>
      </c>
      <c r="AL633" t="s">
        <v>552</v>
      </c>
      <c r="AM633" t="s">
        <v>553</v>
      </c>
      <c r="AN633" t="s">
        <v>554</v>
      </c>
      <c r="AO633" t="s">
        <v>12013</v>
      </c>
      <c r="AP633" t="s">
        <v>74</v>
      </c>
      <c r="AQ633" t="s">
        <v>74</v>
      </c>
      <c r="AR633" t="s">
        <v>12014</v>
      </c>
      <c r="AS633" t="s">
        <v>12015</v>
      </c>
      <c r="AT633" t="s">
        <v>12016</v>
      </c>
      <c r="AU633">
        <v>2021</v>
      </c>
      <c r="AV633">
        <v>14</v>
      </c>
      <c r="AW633">
        <v>3</v>
      </c>
      <c r="AX633" t="s">
        <v>74</v>
      </c>
      <c r="AY633" t="s">
        <v>74</v>
      </c>
      <c r="AZ633" t="s">
        <v>74</v>
      </c>
      <c r="BA633" t="s">
        <v>74</v>
      </c>
      <c r="BB633" t="s">
        <v>74</v>
      </c>
      <c r="BC633" t="s">
        <v>74</v>
      </c>
      <c r="BD633" t="s">
        <v>12017</v>
      </c>
      <c r="BE633" t="s">
        <v>12018</v>
      </c>
      <c r="BF633" t="str">
        <f>HYPERLINK("http://dx.doi.org/10.1111/conl.12785","http://dx.doi.org/10.1111/conl.12785")</f>
        <v>http://dx.doi.org/10.1111/conl.12785</v>
      </c>
      <c r="BG633" t="s">
        <v>74</v>
      </c>
      <c r="BH633" t="s">
        <v>11309</v>
      </c>
      <c r="BI633">
        <v>12</v>
      </c>
      <c r="BJ633" t="s">
        <v>5211</v>
      </c>
      <c r="BK633" t="s">
        <v>103</v>
      </c>
      <c r="BL633" t="s">
        <v>5212</v>
      </c>
      <c r="BM633" t="s">
        <v>12019</v>
      </c>
      <c r="BN633" t="s">
        <v>74</v>
      </c>
      <c r="BO633" t="s">
        <v>246</v>
      </c>
      <c r="BP633" t="s">
        <v>74</v>
      </c>
      <c r="BQ633" t="s">
        <v>74</v>
      </c>
      <c r="BR633" t="s">
        <v>106</v>
      </c>
      <c r="BS633" t="s">
        <v>12020</v>
      </c>
      <c r="BT633" t="str">
        <f>HYPERLINK("https%3A%2F%2Fwww.webofscience.com%2Fwos%2Fwoscc%2Ffull-record%2FWOS:000600522700001","View Full Record in Web of Science")</f>
        <v>View Full Record in Web of Science</v>
      </c>
    </row>
    <row r="634" spans="1:72" x14ac:dyDescent="0.15">
      <c r="A634" t="s">
        <v>72</v>
      </c>
      <c r="B634" t="s">
        <v>12021</v>
      </c>
      <c r="C634" t="s">
        <v>74</v>
      </c>
      <c r="D634" t="s">
        <v>74</v>
      </c>
      <c r="E634" t="s">
        <v>74</v>
      </c>
      <c r="F634" t="s">
        <v>12022</v>
      </c>
      <c r="G634" t="s">
        <v>74</v>
      </c>
      <c r="H634" t="s">
        <v>74</v>
      </c>
      <c r="I634" t="s">
        <v>12023</v>
      </c>
      <c r="J634" t="s">
        <v>111</v>
      </c>
      <c r="K634" t="s">
        <v>74</v>
      </c>
      <c r="L634" t="s">
        <v>74</v>
      </c>
      <c r="M634" t="s">
        <v>78</v>
      </c>
      <c r="N634" t="s">
        <v>79</v>
      </c>
      <c r="O634" t="s">
        <v>74</v>
      </c>
      <c r="P634" t="s">
        <v>74</v>
      </c>
      <c r="Q634" t="s">
        <v>74</v>
      </c>
      <c r="R634" t="s">
        <v>74</v>
      </c>
      <c r="S634" t="s">
        <v>74</v>
      </c>
      <c r="T634" t="s">
        <v>74</v>
      </c>
      <c r="U634" t="s">
        <v>12024</v>
      </c>
      <c r="V634" t="s">
        <v>12025</v>
      </c>
      <c r="W634" t="s">
        <v>12026</v>
      </c>
      <c r="X634" t="s">
        <v>12027</v>
      </c>
      <c r="Y634" t="s">
        <v>12028</v>
      </c>
      <c r="Z634" t="s">
        <v>12029</v>
      </c>
      <c r="AA634" t="s">
        <v>12030</v>
      </c>
      <c r="AB634" t="s">
        <v>12031</v>
      </c>
      <c r="AC634" t="s">
        <v>12032</v>
      </c>
      <c r="AD634" t="s">
        <v>12033</v>
      </c>
      <c r="AE634" t="s">
        <v>12034</v>
      </c>
      <c r="AF634" t="s">
        <v>74</v>
      </c>
      <c r="AG634">
        <v>142</v>
      </c>
      <c r="AH634">
        <v>13</v>
      </c>
      <c r="AI634">
        <v>14</v>
      </c>
      <c r="AJ634">
        <v>2</v>
      </c>
      <c r="AK634">
        <v>22</v>
      </c>
      <c r="AL634" t="s">
        <v>123</v>
      </c>
      <c r="AM634" t="s">
        <v>124</v>
      </c>
      <c r="AN634" t="s">
        <v>125</v>
      </c>
      <c r="AO634" t="s">
        <v>126</v>
      </c>
      <c r="AP634" t="s">
        <v>127</v>
      </c>
      <c r="AQ634" t="s">
        <v>74</v>
      </c>
      <c r="AR634" t="s">
        <v>128</v>
      </c>
      <c r="AS634" t="s">
        <v>129</v>
      </c>
      <c r="AT634" t="s">
        <v>11944</v>
      </c>
      <c r="AU634">
        <v>2020</v>
      </c>
      <c r="AV634">
        <v>20</v>
      </c>
      <c r="AW634">
        <v>24</v>
      </c>
      <c r="AX634" t="s">
        <v>74</v>
      </c>
      <c r="AY634" t="s">
        <v>74</v>
      </c>
      <c r="AZ634" t="s">
        <v>74</v>
      </c>
      <c r="BA634" t="s">
        <v>74</v>
      </c>
      <c r="BB634">
        <v>15937</v>
      </c>
      <c r="BC634">
        <v>15967</v>
      </c>
      <c r="BD634" t="s">
        <v>74</v>
      </c>
      <c r="BE634" t="s">
        <v>12035</v>
      </c>
      <c r="BF634" t="str">
        <f>HYPERLINK("http://dx.doi.org/10.5194/acp-20-15937-2020","http://dx.doi.org/10.5194/acp-20-15937-2020")</f>
        <v>http://dx.doi.org/10.5194/acp-20-15937-2020</v>
      </c>
      <c r="BG634" t="s">
        <v>74</v>
      </c>
      <c r="BH634" t="s">
        <v>74</v>
      </c>
      <c r="BI634">
        <v>31</v>
      </c>
      <c r="BJ634" t="s">
        <v>132</v>
      </c>
      <c r="BK634" t="s">
        <v>103</v>
      </c>
      <c r="BL634" t="s">
        <v>133</v>
      </c>
      <c r="BM634" t="s">
        <v>12036</v>
      </c>
      <c r="BN634" t="s">
        <v>74</v>
      </c>
      <c r="BO634" t="s">
        <v>2597</v>
      </c>
      <c r="BP634" t="s">
        <v>74</v>
      </c>
      <c r="BQ634" t="s">
        <v>74</v>
      </c>
      <c r="BR634" t="s">
        <v>106</v>
      </c>
      <c r="BS634" t="s">
        <v>12037</v>
      </c>
      <c r="BT634" t="str">
        <f>HYPERLINK("https%3A%2F%2Fwww.webofscience.com%2Fwos%2Fwoscc%2Ffull-record%2FWOS:000602506700004","View Full Record in Web of Science")</f>
        <v>View Full Record in Web of Science</v>
      </c>
    </row>
    <row r="635" spans="1:72" x14ac:dyDescent="0.15">
      <c r="A635" t="s">
        <v>72</v>
      </c>
      <c r="B635" t="s">
        <v>12038</v>
      </c>
      <c r="C635" t="s">
        <v>74</v>
      </c>
      <c r="D635" t="s">
        <v>74</v>
      </c>
      <c r="E635" t="s">
        <v>74</v>
      </c>
      <c r="F635" t="s">
        <v>12039</v>
      </c>
      <c r="G635" t="s">
        <v>74</v>
      </c>
      <c r="H635" t="s">
        <v>74</v>
      </c>
      <c r="I635" t="s">
        <v>12040</v>
      </c>
      <c r="J635" t="s">
        <v>715</v>
      </c>
      <c r="K635" t="s">
        <v>74</v>
      </c>
      <c r="L635" t="s">
        <v>74</v>
      </c>
      <c r="M635" t="s">
        <v>78</v>
      </c>
      <c r="N635" t="s">
        <v>79</v>
      </c>
      <c r="O635" t="s">
        <v>74</v>
      </c>
      <c r="P635" t="s">
        <v>74</v>
      </c>
      <c r="Q635" t="s">
        <v>74</v>
      </c>
      <c r="R635" t="s">
        <v>74</v>
      </c>
      <c r="S635" t="s">
        <v>74</v>
      </c>
      <c r="T635" t="s">
        <v>12041</v>
      </c>
      <c r="U635" t="s">
        <v>12042</v>
      </c>
      <c r="V635" t="s">
        <v>12043</v>
      </c>
      <c r="W635" t="s">
        <v>12044</v>
      </c>
      <c r="X635" t="s">
        <v>12045</v>
      </c>
      <c r="Y635" t="s">
        <v>12046</v>
      </c>
      <c r="Z635" t="s">
        <v>12047</v>
      </c>
      <c r="AA635" t="s">
        <v>74</v>
      </c>
      <c r="AB635" t="s">
        <v>74</v>
      </c>
      <c r="AC635" t="s">
        <v>12048</v>
      </c>
      <c r="AD635" t="s">
        <v>12049</v>
      </c>
      <c r="AE635" t="s">
        <v>12050</v>
      </c>
      <c r="AF635" t="s">
        <v>74</v>
      </c>
      <c r="AG635">
        <v>81</v>
      </c>
      <c r="AH635">
        <v>0</v>
      </c>
      <c r="AI635">
        <v>1</v>
      </c>
      <c r="AJ635">
        <v>0</v>
      </c>
      <c r="AK635">
        <v>20</v>
      </c>
      <c r="AL635" t="s">
        <v>92</v>
      </c>
      <c r="AM635" t="s">
        <v>93</v>
      </c>
      <c r="AN635" t="s">
        <v>94</v>
      </c>
      <c r="AO635" t="s">
        <v>728</v>
      </c>
      <c r="AP635" t="s">
        <v>729</v>
      </c>
      <c r="AQ635" t="s">
        <v>74</v>
      </c>
      <c r="AR635" t="s">
        <v>730</v>
      </c>
      <c r="AS635" t="s">
        <v>731</v>
      </c>
      <c r="AT635" t="s">
        <v>12051</v>
      </c>
      <c r="AU635">
        <v>2020</v>
      </c>
      <c r="AV635">
        <v>227</v>
      </c>
      <c r="AW635" t="s">
        <v>74</v>
      </c>
      <c r="AX635" t="s">
        <v>74</v>
      </c>
      <c r="AY635" t="s">
        <v>74</v>
      </c>
      <c r="AZ635" t="s">
        <v>74</v>
      </c>
      <c r="BA635" t="s">
        <v>74</v>
      </c>
      <c r="BB635" t="s">
        <v>74</v>
      </c>
      <c r="BC635" t="s">
        <v>74</v>
      </c>
      <c r="BD635">
        <v>103879</v>
      </c>
      <c r="BE635" t="s">
        <v>12052</v>
      </c>
      <c r="BF635" t="str">
        <f>HYPERLINK("http://dx.doi.org/10.1016/j.marchem.2020.103879","http://dx.doi.org/10.1016/j.marchem.2020.103879")</f>
        <v>http://dx.doi.org/10.1016/j.marchem.2020.103879</v>
      </c>
      <c r="BG635" t="s">
        <v>74</v>
      </c>
      <c r="BH635" t="s">
        <v>74</v>
      </c>
      <c r="BI635">
        <v>10</v>
      </c>
      <c r="BJ635" t="s">
        <v>733</v>
      </c>
      <c r="BK635" t="s">
        <v>103</v>
      </c>
      <c r="BL635" t="s">
        <v>734</v>
      </c>
      <c r="BM635" t="s">
        <v>12053</v>
      </c>
      <c r="BN635" t="s">
        <v>74</v>
      </c>
      <c r="BO635" t="s">
        <v>74</v>
      </c>
      <c r="BP635" t="s">
        <v>74</v>
      </c>
      <c r="BQ635" t="s">
        <v>74</v>
      </c>
      <c r="BR635" t="s">
        <v>106</v>
      </c>
      <c r="BS635" t="s">
        <v>12054</v>
      </c>
      <c r="BT635" t="str">
        <f>HYPERLINK("https%3A%2F%2Fwww.webofscience.com%2Fwos%2Fwoscc%2Ffull-record%2FWOS:000591772300002","View Full Record in Web of Science")</f>
        <v>View Full Record in Web of Science</v>
      </c>
    </row>
    <row r="636" spans="1:72" x14ac:dyDescent="0.15">
      <c r="A636" t="s">
        <v>72</v>
      </c>
      <c r="B636" t="s">
        <v>12055</v>
      </c>
      <c r="C636" t="s">
        <v>74</v>
      </c>
      <c r="D636" t="s">
        <v>74</v>
      </c>
      <c r="E636" t="s">
        <v>74</v>
      </c>
      <c r="F636" t="s">
        <v>12056</v>
      </c>
      <c r="G636" t="s">
        <v>74</v>
      </c>
      <c r="H636" t="s">
        <v>74</v>
      </c>
      <c r="I636" t="s">
        <v>12057</v>
      </c>
      <c r="J636" t="s">
        <v>1446</v>
      </c>
      <c r="K636" t="s">
        <v>74</v>
      </c>
      <c r="L636" t="s">
        <v>74</v>
      </c>
      <c r="M636" t="s">
        <v>78</v>
      </c>
      <c r="N636" t="s">
        <v>79</v>
      </c>
      <c r="O636" t="s">
        <v>74</v>
      </c>
      <c r="P636" t="s">
        <v>74</v>
      </c>
      <c r="Q636" t="s">
        <v>74</v>
      </c>
      <c r="R636" t="s">
        <v>74</v>
      </c>
      <c r="S636" t="s">
        <v>74</v>
      </c>
      <c r="T636" t="s">
        <v>12058</v>
      </c>
      <c r="U636" t="s">
        <v>12059</v>
      </c>
      <c r="V636" t="s">
        <v>12060</v>
      </c>
      <c r="W636" t="s">
        <v>12061</v>
      </c>
      <c r="X636" t="s">
        <v>12062</v>
      </c>
      <c r="Y636" t="s">
        <v>12063</v>
      </c>
      <c r="Z636" t="s">
        <v>12064</v>
      </c>
      <c r="AA636" t="s">
        <v>12065</v>
      </c>
      <c r="AB636" t="s">
        <v>12066</v>
      </c>
      <c r="AC636" t="s">
        <v>12067</v>
      </c>
      <c r="AD636" t="s">
        <v>12068</v>
      </c>
      <c r="AE636" t="s">
        <v>12069</v>
      </c>
      <c r="AF636" t="s">
        <v>74</v>
      </c>
      <c r="AG636">
        <v>66</v>
      </c>
      <c r="AH636">
        <v>15</v>
      </c>
      <c r="AI636">
        <v>15</v>
      </c>
      <c r="AJ636">
        <v>5</v>
      </c>
      <c r="AK636">
        <v>78</v>
      </c>
      <c r="AL636" t="s">
        <v>552</v>
      </c>
      <c r="AM636" t="s">
        <v>553</v>
      </c>
      <c r="AN636" t="s">
        <v>554</v>
      </c>
      <c r="AO636" t="s">
        <v>1459</v>
      </c>
      <c r="AP636" t="s">
        <v>1460</v>
      </c>
      <c r="AQ636" t="s">
        <v>74</v>
      </c>
      <c r="AR636" t="s">
        <v>1461</v>
      </c>
      <c r="AS636" t="s">
        <v>1462</v>
      </c>
      <c r="AT636" t="s">
        <v>347</v>
      </c>
      <c r="AU636">
        <v>2021</v>
      </c>
      <c r="AV636">
        <v>27</v>
      </c>
      <c r="AW636">
        <v>6</v>
      </c>
      <c r="AX636" t="s">
        <v>74</v>
      </c>
      <c r="AY636" t="s">
        <v>74</v>
      </c>
      <c r="AZ636" t="s">
        <v>74</v>
      </c>
      <c r="BA636" t="s">
        <v>74</v>
      </c>
      <c r="BB636">
        <v>1214</v>
      </c>
      <c r="BC636">
        <v>1225</v>
      </c>
      <c r="BD636" t="s">
        <v>74</v>
      </c>
      <c r="BE636" t="s">
        <v>12070</v>
      </c>
      <c r="BF636" t="str">
        <f>HYPERLINK("http://dx.doi.org/10.1111/gcb.15472","http://dx.doi.org/10.1111/gcb.15472")</f>
        <v>http://dx.doi.org/10.1111/gcb.15472</v>
      </c>
      <c r="BG636" t="s">
        <v>74</v>
      </c>
      <c r="BH636" t="s">
        <v>11309</v>
      </c>
      <c r="BI636">
        <v>12</v>
      </c>
      <c r="BJ636" t="s">
        <v>1272</v>
      </c>
      <c r="BK636" t="s">
        <v>103</v>
      </c>
      <c r="BL636" t="s">
        <v>1053</v>
      </c>
      <c r="BM636" t="s">
        <v>3597</v>
      </c>
      <c r="BN636">
        <v>33340216</v>
      </c>
      <c r="BO636" t="s">
        <v>1195</v>
      </c>
      <c r="BP636" t="s">
        <v>74</v>
      </c>
      <c r="BQ636" t="s">
        <v>74</v>
      </c>
      <c r="BR636" t="s">
        <v>106</v>
      </c>
      <c r="BS636" t="s">
        <v>12071</v>
      </c>
      <c r="BT636" t="str">
        <f>HYPERLINK("https%3A%2F%2Fwww.webofscience.com%2Fwos%2Fwoscc%2Ffull-record%2FWOS:000600006500001","View Full Record in Web of Science")</f>
        <v>View Full Record in Web of Science</v>
      </c>
    </row>
    <row r="637" spans="1:72" x14ac:dyDescent="0.15">
      <c r="A637" t="s">
        <v>72</v>
      </c>
      <c r="B637" t="s">
        <v>12072</v>
      </c>
      <c r="C637" t="s">
        <v>74</v>
      </c>
      <c r="D637" t="s">
        <v>74</v>
      </c>
      <c r="E637" t="s">
        <v>74</v>
      </c>
      <c r="F637" t="s">
        <v>12073</v>
      </c>
      <c r="G637" t="s">
        <v>74</v>
      </c>
      <c r="H637" t="s">
        <v>74</v>
      </c>
      <c r="I637" t="s">
        <v>12074</v>
      </c>
      <c r="J637" t="s">
        <v>12075</v>
      </c>
      <c r="K637" t="s">
        <v>74</v>
      </c>
      <c r="L637" t="s">
        <v>74</v>
      </c>
      <c r="M637" t="s">
        <v>78</v>
      </c>
      <c r="N637" t="s">
        <v>79</v>
      </c>
      <c r="O637" t="s">
        <v>74</v>
      </c>
      <c r="P637" t="s">
        <v>74</v>
      </c>
      <c r="Q637" t="s">
        <v>74</v>
      </c>
      <c r="R637" t="s">
        <v>74</v>
      </c>
      <c r="S637" t="s">
        <v>74</v>
      </c>
      <c r="T637" t="s">
        <v>12076</v>
      </c>
      <c r="U637" t="s">
        <v>12077</v>
      </c>
      <c r="V637" t="s">
        <v>12078</v>
      </c>
      <c r="W637" t="s">
        <v>12079</v>
      </c>
      <c r="X637" t="s">
        <v>12080</v>
      </c>
      <c r="Y637" t="s">
        <v>12081</v>
      </c>
      <c r="Z637" t="s">
        <v>12082</v>
      </c>
      <c r="AA637" t="s">
        <v>74</v>
      </c>
      <c r="AB637" t="s">
        <v>74</v>
      </c>
      <c r="AC637" t="s">
        <v>12083</v>
      </c>
      <c r="AD637" t="s">
        <v>12084</v>
      </c>
      <c r="AE637" t="s">
        <v>12085</v>
      </c>
      <c r="AF637" t="s">
        <v>74</v>
      </c>
      <c r="AG637">
        <v>21</v>
      </c>
      <c r="AH637">
        <v>10</v>
      </c>
      <c r="AI637">
        <v>10</v>
      </c>
      <c r="AJ637">
        <v>0</v>
      </c>
      <c r="AK637">
        <v>0</v>
      </c>
      <c r="AL637" t="s">
        <v>552</v>
      </c>
      <c r="AM637" t="s">
        <v>553</v>
      </c>
      <c r="AN637" t="s">
        <v>554</v>
      </c>
      <c r="AO637" t="s">
        <v>12086</v>
      </c>
      <c r="AP637" t="s">
        <v>12087</v>
      </c>
      <c r="AQ637" t="s">
        <v>74</v>
      </c>
      <c r="AR637" t="s">
        <v>12088</v>
      </c>
      <c r="AS637" t="s">
        <v>12089</v>
      </c>
      <c r="AT637" t="s">
        <v>347</v>
      </c>
      <c r="AU637">
        <v>2023</v>
      </c>
      <c r="AV637">
        <v>189</v>
      </c>
      <c r="AW637">
        <v>1</v>
      </c>
      <c r="AX637" t="s">
        <v>74</v>
      </c>
      <c r="AY637" t="s">
        <v>74</v>
      </c>
      <c r="AZ637" t="s">
        <v>74</v>
      </c>
      <c r="BA637" t="s">
        <v>74</v>
      </c>
      <c r="BB637">
        <v>18</v>
      </c>
      <c r="BC637">
        <v>24</v>
      </c>
      <c r="BD637" t="s">
        <v>74</v>
      </c>
      <c r="BE637" t="s">
        <v>12090</v>
      </c>
      <c r="BF637" t="str">
        <f>HYPERLINK("http://dx.doi.org/10.1111/geoj.12367","http://dx.doi.org/10.1111/geoj.12367")</f>
        <v>http://dx.doi.org/10.1111/geoj.12367</v>
      </c>
      <c r="BG637" t="s">
        <v>74</v>
      </c>
      <c r="BH637" t="s">
        <v>11309</v>
      </c>
      <c r="BI637">
        <v>7</v>
      </c>
      <c r="BJ637" t="s">
        <v>12091</v>
      </c>
      <c r="BK637" t="s">
        <v>2733</v>
      </c>
      <c r="BL637" t="s">
        <v>12091</v>
      </c>
      <c r="BM637" t="s">
        <v>12092</v>
      </c>
      <c r="BN637">
        <v>37035012</v>
      </c>
      <c r="BO637" t="s">
        <v>1319</v>
      </c>
      <c r="BP637" t="s">
        <v>74</v>
      </c>
      <c r="BQ637" t="s">
        <v>74</v>
      </c>
      <c r="BR637" t="s">
        <v>106</v>
      </c>
      <c r="BS637" t="s">
        <v>12093</v>
      </c>
      <c r="BT637" t="str">
        <f>HYPERLINK("https%3A%2F%2Fwww.webofscience.com%2Fwos%2Fwoscc%2Ffull-record%2FWOS:000600026800001","View Full Record in Web of Science")</f>
        <v>View Full Record in Web of Science</v>
      </c>
    </row>
    <row r="638" spans="1:72" x14ac:dyDescent="0.15">
      <c r="A638" t="s">
        <v>72</v>
      </c>
      <c r="B638" t="s">
        <v>12094</v>
      </c>
      <c r="C638" t="s">
        <v>74</v>
      </c>
      <c r="D638" t="s">
        <v>74</v>
      </c>
      <c r="E638" t="s">
        <v>74</v>
      </c>
      <c r="F638" t="s">
        <v>12095</v>
      </c>
      <c r="G638" t="s">
        <v>74</v>
      </c>
      <c r="H638" t="s">
        <v>74</v>
      </c>
      <c r="I638" t="s">
        <v>12096</v>
      </c>
      <c r="J638" t="s">
        <v>251</v>
      </c>
      <c r="K638" t="s">
        <v>74</v>
      </c>
      <c r="L638" t="s">
        <v>74</v>
      </c>
      <c r="M638" t="s">
        <v>78</v>
      </c>
      <c r="N638" t="s">
        <v>79</v>
      </c>
      <c r="O638" t="s">
        <v>74</v>
      </c>
      <c r="P638" t="s">
        <v>74</v>
      </c>
      <c r="Q638" t="s">
        <v>74</v>
      </c>
      <c r="R638" t="s">
        <v>74</v>
      </c>
      <c r="S638" t="s">
        <v>74</v>
      </c>
      <c r="T638" t="s">
        <v>74</v>
      </c>
      <c r="U638" t="s">
        <v>12097</v>
      </c>
      <c r="V638" t="s">
        <v>12098</v>
      </c>
      <c r="W638" t="s">
        <v>12099</v>
      </c>
      <c r="X638" t="s">
        <v>12100</v>
      </c>
      <c r="Y638" t="s">
        <v>12101</v>
      </c>
      <c r="Z638" t="s">
        <v>12102</v>
      </c>
      <c r="AA638" t="s">
        <v>12103</v>
      </c>
      <c r="AB638" t="s">
        <v>12104</v>
      </c>
      <c r="AC638" t="s">
        <v>12105</v>
      </c>
      <c r="AD638" t="s">
        <v>12106</v>
      </c>
      <c r="AE638" t="s">
        <v>12107</v>
      </c>
      <c r="AF638" t="s">
        <v>74</v>
      </c>
      <c r="AG638">
        <v>159</v>
      </c>
      <c r="AH638">
        <v>43</v>
      </c>
      <c r="AI638">
        <v>51</v>
      </c>
      <c r="AJ638">
        <v>7</v>
      </c>
      <c r="AK638">
        <v>39</v>
      </c>
      <c r="AL638" t="s">
        <v>263</v>
      </c>
      <c r="AM638" t="s">
        <v>264</v>
      </c>
      <c r="AN638" t="s">
        <v>265</v>
      </c>
      <c r="AO638" t="s">
        <v>266</v>
      </c>
      <c r="AP638" t="s">
        <v>267</v>
      </c>
      <c r="AQ638" t="s">
        <v>74</v>
      </c>
      <c r="AR638" t="s">
        <v>251</v>
      </c>
      <c r="AS638" t="s">
        <v>268</v>
      </c>
      <c r="AT638" t="s">
        <v>12108</v>
      </c>
      <c r="AU638">
        <v>2020</v>
      </c>
      <c r="AV638">
        <v>3</v>
      </c>
      <c r="AW638">
        <v>6</v>
      </c>
      <c r="AX638" t="s">
        <v>74</v>
      </c>
      <c r="AY638" t="s">
        <v>74</v>
      </c>
      <c r="AZ638" t="s">
        <v>74</v>
      </c>
      <c r="BA638" t="s">
        <v>74</v>
      </c>
      <c r="BB638">
        <v>691</v>
      </c>
      <c r="BC638">
        <v>703</v>
      </c>
      <c r="BD638" t="s">
        <v>74</v>
      </c>
      <c r="BE638" t="s">
        <v>12109</v>
      </c>
      <c r="BF638" t="str">
        <f>HYPERLINK("http://dx.doi.org/10.1016/j.oneear.2020.11.002","http://dx.doi.org/10.1016/j.oneear.2020.11.002")</f>
        <v>http://dx.doi.org/10.1016/j.oneear.2020.11.002</v>
      </c>
      <c r="BG638" t="s">
        <v>74</v>
      </c>
      <c r="BH638" t="s">
        <v>74</v>
      </c>
      <c r="BI638">
        <v>13</v>
      </c>
      <c r="BJ638" t="s">
        <v>270</v>
      </c>
      <c r="BK638" t="s">
        <v>271</v>
      </c>
      <c r="BL638" t="s">
        <v>272</v>
      </c>
      <c r="BM638" t="s">
        <v>12110</v>
      </c>
      <c r="BN638" t="s">
        <v>74</v>
      </c>
      <c r="BO638" t="s">
        <v>1708</v>
      </c>
      <c r="BP638" t="s">
        <v>74</v>
      </c>
      <c r="BQ638" t="s">
        <v>74</v>
      </c>
      <c r="BR638" t="s">
        <v>106</v>
      </c>
      <c r="BS638" t="s">
        <v>12111</v>
      </c>
      <c r="BT638" t="str">
        <f>HYPERLINK("https%3A%2F%2Fwww.webofscience.com%2Fwos%2Fwoscc%2Ffull-record%2FWOS:000646441500010","View Full Record in Web of Science")</f>
        <v>View Full Record in Web of Science</v>
      </c>
    </row>
    <row r="639" spans="1:72" x14ac:dyDescent="0.15">
      <c r="A639" t="s">
        <v>72</v>
      </c>
      <c r="B639" t="s">
        <v>12112</v>
      </c>
      <c r="C639" t="s">
        <v>74</v>
      </c>
      <c r="D639" t="s">
        <v>74</v>
      </c>
      <c r="E639" t="s">
        <v>74</v>
      </c>
      <c r="F639" t="s">
        <v>12113</v>
      </c>
      <c r="G639" t="s">
        <v>74</v>
      </c>
      <c r="H639" t="s">
        <v>74</v>
      </c>
      <c r="I639" t="s">
        <v>12114</v>
      </c>
      <c r="J639" t="s">
        <v>12115</v>
      </c>
      <c r="K639" t="s">
        <v>74</v>
      </c>
      <c r="L639" t="s">
        <v>74</v>
      </c>
      <c r="M639" t="s">
        <v>78</v>
      </c>
      <c r="N639" t="s">
        <v>141</v>
      </c>
      <c r="O639" t="s">
        <v>74</v>
      </c>
      <c r="P639" t="s">
        <v>74</v>
      </c>
      <c r="Q639" t="s">
        <v>74</v>
      </c>
      <c r="R639" t="s">
        <v>74</v>
      </c>
      <c r="S639" t="s">
        <v>74</v>
      </c>
      <c r="T639" t="s">
        <v>12116</v>
      </c>
      <c r="U639" t="s">
        <v>74</v>
      </c>
      <c r="V639" t="s">
        <v>12117</v>
      </c>
      <c r="W639" t="s">
        <v>12118</v>
      </c>
      <c r="X639" t="s">
        <v>12119</v>
      </c>
      <c r="Y639" t="s">
        <v>12120</v>
      </c>
      <c r="Z639" t="s">
        <v>12121</v>
      </c>
      <c r="AA639" t="s">
        <v>12122</v>
      </c>
      <c r="AB639" t="s">
        <v>12123</v>
      </c>
      <c r="AC639" t="s">
        <v>12124</v>
      </c>
      <c r="AD639" t="s">
        <v>12125</v>
      </c>
      <c r="AE639" t="s">
        <v>12126</v>
      </c>
      <c r="AF639" t="s">
        <v>74</v>
      </c>
      <c r="AG639">
        <v>150</v>
      </c>
      <c r="AH639">
        <v>22</v>
      </c>
      <c r="AI639">
        <v>22</v>
      </c>
      <c r="AJ639">
        <v>4</v>
      </c>
      <c r="AK639">
        <v>48</v>
      </c>
      <c r="AL639" t="s">
        <v>1183</v>
      </c>
      <c r="AM639" t="s">
        <v>1184</v>
      </c>
      <c r="AN639" t="s">
        <v>1185</v>
      </c>
      <c r="AO639" t="s">
        <v>12127</v>
      </c>
      <c r="AP639" t="s">
        <v>12128</v>
      </c>
      <c r="AQ639" t="s">
        <v>74</v>
      </c>
      <c r="AR639" t="s">
        <v>12129</v>
      </c>
      <c r="AS639" t="s">
        <v>12130</v>
      </c>
      <c r="AT639" t="s">
        <v>12131</v>
      </c>
      <c r="AU639">
        <v>2021</v>
      </c>
      <c r="AV639">
        <v>29</v>
      </c>
      <c r="AW639">
        <v>4</v>
      </c>
      <c r="AX639" t="s">
        <v>74</v>
      </c>
      <c r="AY639" t="s">
        <v>74</v>
      </c>
      <c r="AZ639" t="s">
        <v>74</v>
      </c>
      <c r="BA639" t="s">
        <v>74</v>
      </c>
      <c r="BB639">
        <v>682</v>
      </c>
      <c r="BC639">
        <v>705</v>
      </c>
      <c r="BD639" t="s">
        <v>74</v>
      </c>
      <c r="BE639" t="s">
        <v>12132</v>
      </c>
      <c r="BF639" t="str">
        <f>HYPERLINK("http://dx.doi.org/10.1080/23308249.2020.1864720","http://dx.doi.org/10.1080/23308249.2020.1864720")</f>
        <v>http://dx.doi.org/10.1080/23308249.2020.1864720</v>
      </c>
      <c r="BG639" t="s">
        <v>74</v>
      </c>
      <c r="BH639" t="s">
        <v>11309</v>
      </c>
      <c r="BI639">
        <v>24</v>
      </c>
      <c r="BJ639" t="s">
        <v>11264</v>
      </c>
      <c r="BK639" t="s">
        <v>103</v>
      </c>
      <c r="BL639" t="s">
        <v>11264</v>
      </c>
      <c r="BM639" t="s">
        <v>12133</v>
      </c>
      <c r="BN639" t="s">
        <v>74</v>
      </c>
      <c r="BO639" t="s">
        <v>1220</v>
      </c>
      <c r="BP639" t="s">
        <v>74</v>
      </c>
      <c r="BQ639" t="s">
        <v>74</v>
      </c>
      <c r="BR639" t="s">
        <v>106</v>
      </c>
      <c r="BS639" t="s">
        <v>12134</v>
      </c>
      <c r="BT639" t="str">
        <f>HYPERLINK("https%3A%2F%2Fwww.webofscience.com%2Fwos%2Fwoscc%2Ffull-record%2FWOS:000608338600001","View Full Record in Web of Science")</f>
        <v>View Full Record in Web of Science</v>
      </c>
    </row>
    <row r="640" spans="1:72" x14ac:dyDescent="0.15">
      <c r="A640" t="s">
        <v>72</v>
      </c>
      <c r="B640" t="s">
        <v>12135</v>
      </c>
      <c r="C640" t="s">
        <v>74</v>
      </c>
      <c r="D640" t="s">
        <v>74</v>
      </c>
      <c r="E640" t="s">
        <v>74</v>
      </c>
      <c r="F640" t="s">
        <v>12136</v>
      </c>
      <c r="G640" t="s">
        <v>74</v>
      </c>
      <c r="H640" t="s">
        <v>74</v>
      </c>
      <c r="I640" t="s">
        <v>12137</v>
      </c>
      <c r="J640" t="s">
        <v>12138</v>
      </c>
      <c r="K640" t="s">
        <v>74</v>
      </c>
      <c r="L640" t="s">
        <v>74</v>
      </c>
      <c r="M640" t="s">
        <v>78</v>
      </c>
      <c r="N640" t="s">
        <v>79</v>
      </c>
      <c r="O640" t="s">
        <v>74</v>
      </c>
      <c r="P640" t="s">
        <v>74</v>
      </c>
      <c r="Q640" t="s">
        <v>74</v>
      </c>
      <c r="R640" t="s">
        <v>74</v>
      </c>
      <c r="S640" t="s">
        <v>74</v>
      </c>
      <c r="T640" t="s">
        <v>12139</v>
      </c>
      <c r="U640" t="s">
        <v>12140</v>
      </c>
      <c r="V640" t="s">
        <v>12141</v>
      </c>
      <c r="W640" t="s">
        <v>12142</v>
      </c>
      <c r="X640" t="s">
        <v>12143</v>
      </c>
      <c r="Y640" t="s">
        <v>12144</v>
      </c>
      <c r="Z640" t="s">
        <v>12145</v>
      </c>
      <c r="AA640" t="s">
        <v>12146</v>
      </c>
      <c r="AB640" t="s">
        <v>12147</v>
      </c>
      <c r="AC640" t="s">
        <v>12148</v>
      </c>
      <c r="AD640" t="s">
        <v>12149</v>
      </c>
      <c r="AE640" t="s">
        <v>12150</v>
      </c>
      <c r="AF640" t="s">
        <v>74</v>
      </c>
      <c r="AG640">
        <v>66</v>
      </c>
      <c r="AH640">
        <v>3</v>
      </c>
      <c r="AI640">
        <v>3</v>
      </c>
      <c r="AJ640">
        <v>3</v>
      </c>
      <c r="AK640">
        <v>11</v>
      </c>
      <c r="AL640" t="s">
        <v>500</v>
      </c>
      <c r="AM640" t="s">
        <v>501</v>
      </c>
      <c r="AN640" t="s">
        <v>502</v>
      </c>
      <c r="AO640" t="s">
        <v>74</v>
      </c>
      <c r="AP640" t="s">
        <v>12151</v>
      </c>
      <c r="AQ640" t="s">
        <v>74</v>
      </c>
      <c r="AR640" t="s">
        <v>12152</v>
      </c>
      <c r="AS640" t="s">
        <v>12153</v>
      </c>
      <c r="AT640" t="s">
        <v>12108</v>
      </c>
      <c r="AU640">
        <v>2020</v>
      </c>
      <c r="AV640">
        <v>11</v>
      </c>
      <c r="AW640" t="s">
        <v>74</v>
      </c>
      <c r="AX640" t="s">
        <v>74</v>
      </c>
      <c r="AY640" t="s">
        <v>74</v>
      </c>
      <c r="AZ640" t="s">
        <v>74</v>
      </c>
      <c r="BA640" t="s">
        <v>74</v>
      </c>
      <c r="BB640" t="s">
        <v>74</v>
      </c>
      <c r="BC640" t="s">
        <v>74</v>
      </c>
      <c r="BD640">
        <v>615608</v>
      </c>
      <c r="BE640" t="s">
        <v>12154</v>
      </c>
      <c r="BF640" t="str">
        <f>HYPERLINK("http://dx.doi.org/10.3389/fmicb.2020.615608","http://dx.doi.org/10.3389/fmicb.2020.615608")</f>
        <v>http://dx.doi.org/10.3389/fmicb.2020.615608</v>
      </c>
      <c r="BG640" t="s">
        <v>74</v>
      </c>
      <c r="BH640" t="s">
        <v>74</v>
      </c>
      <c r="BI640">
        <v>13</v>
      </c>
      <c r="BJ640" t="s">
        <v>3581</v>
      </c>
      <c r="BK640" t="s">
        <v>103</v>
      </c>
      <c r="BL640" t="s">
        <v>3581</v>
      </c>
      <c r="BM640" t="s">
        <v>12155</v>
      </c>
      <c r="BN640">
        <v>33391247</v>
      </c>
      <c r="BO640" t="s">
        <v>660</v>
      </c>
      <c r="BP640" t="s">
        <v>74</v>
      </c>
      <c r="BQ640" t="s">
        <v>74</v>
      </c>
      <c r="BR640" t="s">
        <v>106</v>
      </c>
      <c r="BS640" t="s">
        <v>12156</v>
      </c>
      <c r="BT640" t="str">
        <f>HYPERLINK("https%3A%2F%2Fwww.webofscience.com%2Fwos%2Fwoscc%2Ffull-record%2FWOS:000603984900001","View Full Record in Web of Science")</f>
        <v>View Full Record in Web of Science</v>
      </c>
    </row>
    <row r="641" spans="1:72" x14ac:dyDescent="0.15">
      <c r="A641" t="s">
        <v>72</v>
      </c>
      <c r="B641" t="s">
        <v>12157</v>
      </c>
      <c r="C641" t="s">
        <v>74</v>
      </c>
      <c r="D641" t="s">
        <v>74</v>
      </c>
      <c r="E641" t="s">
        <v>74</v>
      </c>
      <c r="F641" t="s">
        <v>12158</v>
      </c>
      <c r="G641" t="s">
        <v>74</v>
      </c>
      <c r="H641" t="s">
        <v>74</v>
      </c>
      <c r="I641" t="s">
        <v>12159</v>
      </c>
      <c r="J641" t="s">
        <v>487</v>
      </c>
      <c r="K641" t="s">
        <v>74</v>
      </c>
      <c r="L641" t="s">
        <v>74</v>
      </c>
      <c r="M641" t="s">
        <v>78</v>
      </c>
      <c r="N641" t="s">
        <v>79</v>
      </c>
      <c r="O641" t="s">
        <v>74</v>
      </c>
      <c r="P641" t="s">
        <v>74</v>
      </c>
      <c r="Q641" t="s">
        <v>74</v>
      </c>
      <c r="R641" t="s">
        <v>74</v>
      </c>
      <c r="S641" t="s">
        <v>74</v>
      </c>
      <c r="T641" t="s">
        <v>12160</v>
      </c>
      <c r="U641" t="s">
        <v>12161</v>
      </c>
      <c r="V641" t="s">
        <v>12162</v>
      </c>
      <c r="W641" t="s">
        <v>12163</v>
      </c>
      <c r="X641" t="s">
        <v>12164</v>
      </c>
      <c r="Y641" t="s">
        <v>12165</v>
      </c>
      <c r="Z641" t="s">
        <v>12166</v>
      </c>
      <c r="AA641" t="s">
        <v>12167</v>
      </c>
      <c r="AB641" t="s">
        <v>12168</v>
      </c>
      <c r="AC641" t="s">
        <v>12169</v>
      </c>
      <c r="AD641" t="s">
        <v>12170</v>
      </c>
      <c r="AE641" t="s">
        <v>12171</v>
      </c>
      <c r="AF641" t="s">
        <v>74</v>
      </c>
      <c r="AG641">
        <v>112</v>
      </c>
      <c r="AH641">
        <v>21</v>
      </c>
      <c r="AI641">
        <v>21</v>
      </c>
      <c r="AJ641">
        <v>2</v>
      </c>
      <c r="AK641">
        <v>11</v>
      </c>
      <c r="AL641" t="s">
        <v>500</v>
      </c>
      <c r="AM641" t="s">
        <v>501</v>
      </c>
      <c r="AN641" t="s">
        <v>502</v>
      </c>
      <c r="AO641" t="s">
        <v>74</v>
      </c>
      <c r="AP641" t="s">
        <v>503</v>
      </c>
      <c r="AQ641" t="s">
        <v>74</v>
      </c>
      <c r="AR641" t="s">
        <v>504</v>
      </c>
      <c r="AS641" t="s">
        <v>505</v>
      </c>
      <c r="AT641" t="s">
        <v>12108</v>
      </c>
      <c r="AU641">
        <v>2020</v>
      </c>
      <c r="AV641">
        <v>7</v>
      </c>
      <c r="AW641" t="s">
        <v>74</v>
      </c>
      <c r="AX641" t="s">
        <v>74</v>
      </c>
      <c r="AY641" t="s">
        <v>74</v>
      </c>
      <c r="AZ641" t="s">
        <v>74</v>
      </c>
      <c r="BA641" t="s">
        <v>74</v>
      </c>
      <c r="BB641" t="s">
        <v>74</v>
      </c>
      <c r="BC641" t="s">
        <v>74</v>
      </c>
      <c r="BD641">
        <v>574963</v>
      </c>
      <c r="BE641" t="s">
        <v>12172</v>
      </c>
      <c r="BF641" t="str">
        <f>HYPERLINK("http://dx.doi.org/10.3389/fmars.2020.574963","http://dx.doi.org/10.3389/fmars.2020.574963")</f>
        <v>http://dx.doi.org/10.3389/fmars.2020.574963</v>
      </c>
      <c r="BG641" t="s">
        <v>74</v>
      </c>
      <c r="BH641" t="s">
        <v>74</v>
      </c>
      <c r="BI641">
        <v>20</v>
      </c>
      <c r="BJ641" t="s">
        <v>507</v>
      </c>
      <c r="BK641" t="s">
        <v>103</v>
      </c>
      <c r="BL641" t="s">
        <v>508</v>
      </c>
      <c r="BM641" t="s">
        <v>12173</v>
      </c>
      <c r="BN641" t="s">
        <v>74</v>
      </c>
      <c r="BO641" t="s">
        <v>326</v>
      </c>
      <c r="BP641" t="s">
        <v>74</v>
      </c>
      <c r="BQ641" t="s">
        <v>74</v>
      </c>
      <c r="BR641" t="s">
        <v>106</v>
      </c>
      <c r="BS641" t="s">
        <v>12174</v>
      </c>
      <c r="BT641" t="str">
        <f>HYPERLINK("https%3A%2F%2Fwww.webofscience.com%2Fwos%2Fwoscc%2Ffull-record%2FWOS:000600715000001","View Full Record in Web of Science")</f>
        <v>View Full Record in Web of Science</v>
      </c>
    </row>
    <row r="642" spans="1:72" x14ac:dyDescent="0.15">
      <c r="A642" t="s">
        <v>72</v>
      </c>
      <c r="B642" t="s">
        <v>12175</v>
      </c>
      <c r="C642" t="s">
        <v>74</v>
      </c>
      <c r="D642" t="s">
        <v>74</v>
      </c>
      <c r="E642" t="s">
        <v>74</v>
      </c>
      <c r="F642" t="s">
        <v>12176</v>
      </c>
      <c r="G642" t="s">
        <v>74</v>
      </c>
      <c r="H642" t="s">
        <v>74</v>
      </c>
      <c r="I642" t="s">
        <v>12177</v>
      </c>
      <c r="J642" t="s">
        <v>2272</v>
      </c>
      <c r="K642" t="s">
        <v>74</v>
      </c>
      <c r="L642" t="s">
        <v>74</v>
      </c>
      <c r="M642" t="s">
        <v>78</v>
      </c>
      <c r="N642" t="s">
        <v>1145</v>
      </c>
      <c r="O642" t="s">
        <v>74</v>
      </c>
      <c r="P642" t="s">
        <v>74</v>
      </c>
      <c r="Q642" t="s">
        <v>74</v>
      </c>
      <c r="R642" t="s">
        <v>74</v>
      </c>
      <c r="S642" t="s">
        <v>74</v>
      </c>
      <c r="T642" t="s">
        <v>74</v>
      </c>
      <c r="U642" t="s">
        <v>12178</v>
      </c>
      <c r="V642" t="s">
        <v>12179</v>
      </c>
      <c r="W642" t="s">
        <v>12180</v>
      </c>
      <c r="X642" t="s">
        <v>12181</v>
      </c>
      <c r="Y642" t="s">
        <v>12182</v>
      </c>
      <c r="Z642" t="s">
        <v>12183</v>
      </c>
      <c r="AA642" t="s">
        <v>12184</v>
      </c>
      <c r="AB642" t="s">
        <v>12185</v>
      </c>
      <c r="AC642" t="s">
        <v>12186</v>
      </c>
      <c r="AD642" t="s">
        <v>12187</v>
      </c>
      <c r="AE642" t="s">
        <v>12188</v>
      </c>
      <c r="AF642" t="s">
        <v>74</v>
      </c>
      <c r="AG642">
        <v>69</v>
      </c>
      <c r="AH642">
        <v>6</v>
      </c>
      <c r="AI642">
        <v>6</v>
      </c>
      <c r="AJ642">
        <v>1</v>
      </c>
      <c r="AK642">
        <v>8</v>
      </c>
      <c r="AL642" t="s">
        <v>123</v>
      </c>
      <c r="AM642" t="s">
        <v>124</v>
      </c>
      <c r="AN642" t="s">
        <v>125</v>
      </c>
      <c r="AO642" t="s">
        <v>2282</v>
      </c>
      <c r="AP642" t="s">
        <v>2283</v>
      </c>
      <c r="AQ642" t="s">
        <v>74</v>
      </c>
      <c r="AR642" t="s">
        <v>2284</v>
      </c>
      <c r="AS642" t="s">
        <v>2285</v>
      </c>
      <c r="AT642" t="s">
        <v>12108</v>
      </c>
      <c r="AU642">
        <v>2020</v>
      </c>
      <c r="AV642">
        <v>12</v>
      </c>
      <c r="AW642">
        <v>4</v>
      </c>
      <c r="AX642" t="s">
        <v>74</v>
      </c>
      <c r="AY642" t="s">
        <v>74</v>
      </c>
      <c r="AZ642" t="s">
        <v>74</v>
      </c>
      <c r="BA642" t="s">
        <v>74</v>
      </c>
      <c r="BB642">
        <v>3529</v>
      </c>
      <c r="BC642">
        <v>3544</v>
      </c>
      <c r="BD642" t="s">
        <v>74</v>
      </c>
      <c r="BE642" t="s">
        <v>12189</v>
      </c>
      <c r="BF642" t="str">
        <f>HYPERLINK("http://dx.doi.org/10.5194/essd-12-3529-2020","http://dx.doi.org/10.5194/essd-12-3529-2020")</f>
        <v>http://dx.doi.org/10.5194/essd-12-3529-2020</v>
      </c>
      <c r="BG642" t="s">
        <v>74</v>
      </c>
      <c r="BH642" t="s">
        <v>74</v>
      </c>
      <c r="BI642">
        <v>16</v>
      </c>
      <c r="BJ642" t="s">
        <v>1570</v>
      </c>
      <c r="BK642" t="s">
        <v>103</v>
      </c>
      <c r="BL642" t="s">
        <v>1571</v>
      </c>
      <c r="BM642" t="s">
        <v>12190</v>
      </c>
      <c r="BN642" t="s">
        <v>74</v>
      </c>
      <c r="BO642" t="s">
        <v>159</v>
      </c>
      <c r="BP642" t="s">
        <v>74</v>
      </c>
      <c r="BQ642" t="s">
        <v>74</v>
      </c>
      <c r="BR642" t="s">
        <v>106</v>
      </c>
      <c r="BS642" t="s">
        <v>12191</v>
      </c>
      <c r="BT642" t="str">
        <f>HYPERLINK("https%3A%2F%2Fwww.webofscience.com%2Fwos%2Fwoscc%2Ffull-record%2FWOS:000600426700002","View Full Record in Web of Science")</f>
        <v>View Full Record in Web of Science</v>
      </c>
    </row>
    <row r="643" spans="1:72" x14ac:dyDescent="0.15">
      <c r="A643" t="s">
        <v>72</v>
      </c>
      <c r="B643" t="s">
        <v>12192</v>
      </c>
      <c r="C643" t="s">
        <v>74</v>
      </c>
      <c r="D643" t="s">
        <v>74</v>
      </c>
      <c r="E643" t="s">
        <v>74</v>
      </c>
      <c r="F643" t="s">
        <v>12193</v>
      </c>
      <c r="G643" t="s">
        <v>74</v>
      </c>
      <c r="H643" t="s">
        <v>74</v>
      </c>
      <c r="I643" t="s">
        <v>12194</v>
      </c>
      <c r="J643" t="s">
        <v>922</v>
      </c>
      <c r="K643" t="s">
        <v>74</v>
      </c>
      <c r="L643" t="s">
        <v>74</v>
      </c>
      <c r="M643" t="s">
        <v>78</v>
      </c>
      <c r="N643" t="s">
        <v>79</v>
      </c>
      <c r="O643" t="s">
        <v>74</v>
      </c>
      <c r="P643" t="s">
        <v>74</v>
      </c>
      <c r="Q643" t="s">
        <v>74</v>
      </c>
      <c r="R643" t="s">
        <v>74</v>
      </c>
      <c r="S643" t="s">
        <v>74</v>
      </c>
      <c r="T643" t="s">
        <v>74</v>
      </c>
      <c r="U643" t="s">
        <v>12195</v>
      </c>
      <c r="V643" t="s">
        <v>12196</v>
      </c>
      <c r="W643" t="s">
        <v>12197</v>
      </c>
      <c r="X643" t="s">
        <v>12198</v>
      </c>
      <c r="Y643" t="s">
        <v>12199</v>
      </c>
      <c r="Z643" t="s">
        <v>12200</v>
      </c>
      <c r="AA643" t="s">
        <v>74</v>
      </c>
      <c r="AB643" t="s">
        <v>12201</v>
      </c>
      <c r="AC643" t="s">
        <v>12202</v>
      </c>
      <c r="AD643" t="s">
        <v>12203</v>
      </c>
      <c r="AE643" t="s">
        <v>12204</v>
      </c>
      <c r="AF643" t="s">
        <v>74</v>
      </c>
      <c r="AG643">
        <v>126</v>
      </c>
      <c r="AH643">
        <v>13</v>
      </c>
      <c r="AI643">
        <v>13</v>
      </c>
      <c r="AJ643">
        <v>0</v>
      </c>
      <c r="AK643">
        <v>8</v>
      </c>
      <c r="AL643" t="s">
        <v>123</v>
      </c>
      <c r="AM643" t="s">
        <v>124</v>
      </c>
      <c r="AN643" t="s">
        <v>125</v>
      </c>
      <c r="AO643" t="s">
        <v>934</v>
      </c>
      <c r="AP643" t="s">
        <v>74</v>
      </c>
      <c r="AQ643" t="s">
        <v>74</v>
      </c>
      <c r="AR643" t="s">
        <v>935</v>
      </c>
      <c r="AS643" t="s">
        <v>936</v>
      </c>
      <c r="AT643" t="s">
        <v>12108</v>
      </c>
      <c r="AU643">
        <v>2020</v>
      </c>
      <c r="AV643">
        <v>16</v>
      </c>
      <c r="AW643">
        <v>6</v>
      </c>
      <c r="AX643" t="s">
        <v>74</v>
      </c>
      <c r="AY643" t="s">
        <v>74</v>
      </c>
      <c r="AZ643" t="s">
        <v>74</v>
      </c>
      <c r="BA643" t="s">
        <v>74</v>
      </c>
      <c r="BB643">
        <v>1559</v>
      </c>
      <c r="BC643">
        <v>1576</v>
      </c>
      <c r="BD643" t="s">
        <v>74</v>
      </c>
      <c r="BE643" t="s">
        <v>12205</v>
      </c>
      <c r="BF643" t="str">
        <f>HYPERLINK("http://dx.doi.org/10.5194/os-16-1559-2020","http://dx.doi.org/10.5194/os-16-1559-2020")</f>
        <v>http://dx.doi.org/10.5194/os-16-1559-2020</v>
      </c>
      <c r="BG643" t="s">
        <v>74</v>
      </c>
      <c r="BH643" t="s">
        <v>74</v>
      </c>
      <c r="BI643">
        <v>18</v>
      </c>
      <c r="BJ643" t="s">
        <v>938</v>
      </c>
      <c r="BK643" t="s">
        <v>103</v>
      </c>
      <c r="BL643" t="s">
        <v>938</v>
      </c>
      <c r="BM643" t="s">
        <v>12206</v>
      </c>
      <c r="BN643" t="s">
        <v>74</v>
      </c>
      <c r="BO643" t="s">
        <v>246</v>
      </c>
      <c r="BP643" t="s">
        <v>74</v>
      </c>
      <c r="BQ643" t="s">
        <v>74</v>
      </c>
      <c r="BR643" t="s">
        <v>106</v>
      </c>
      <c r="BS643" t="s">
        <v>12207</v>
      </c>
      <c r="BT643" t="str">
        <f>HYPERLINK("https%3A%2F%2Fwww.webofscience.com%2Fwos%2Fwoscc%2Ffull-record%2FWOS:000600429500002","View Full Record in Web of Science")</f>
        <v>View Full Record in Web of Science</v>
      </c>
    </row>
    <row r="644" spans="1:72" x14ac:dyDescent="0.15">
      <c r="A644" t="s">
        <v>72</v>
      </c>
      <c r="B644" t="s">
        <v>12208</v>
      </c>
      <c r="C644" t="s">
        <v>74</v>
      </c>
      <c r="D644" t="s">
        <v>74</v>
      </c>
      <c r="E644" t="s">
        <v>74</v>
      </c>
      <c r="F644" t="s">
        <v>12209</v>
      </c>
      <c r="G644" t="s">
        <v>74</v>
      </c>
      <c r="H644" t="s">
        <v>74</v>
      </c>
      <c r="I644" t="s">
        <v>12210</v>
      </c>
      <c r="J644" t="s">
        <v>1446</v>
      </c>
      <c r="K644" t="s">
        <v>74</v>
      </c>
      <c r="L644" t="s">
        <v>74</v>
      </c>
      <c r="M644" t="s">
        <v>78</v>
      </c>
      <c r="N644" t="s">
        <v>79</v>
      </c>
      <c r="O644" t="s">
        <v>74</v>
      </c>
      <c r="P644" t="s">
        <v>74</v>
      </c>
      <c r="Q644" t="s">
        <v>74</v>
      </c>
      <c r="R644" t="s">
        <v>74</v>
      </c>
      <c r="S644" t="s">
        <v>74</v>
      </c>
      <c r="T644" t="s">
        <v>12211</v>
      </c>
      <c r="U644" t="s">
        <v>12212</v>
      </c>
      <c r="V644" t="s">
        <v>12213</v>
      </c>
      <c r="W644" t="s">
        <v>12214</v>
      </c>
      <c r="X644" t="s">
        <v>12215</v>
      </c>
      <c r="Y644" t="s">
        <v>12216</v>
      </c>
      <c r="Z644" t="s">
        <v>12145</v>
      </c>
      <c r="AA644" t="s">
        <v>12217</v>
      </c>
      <c r="AB644" t="s">
        <v>12218</v>
      </c>
      <c r="AC644" t="s">
        <v>12219</v>
      </c>
      <c r="AD644" t="s">
        <v>12220</v>
      </c>
      <c r="AE644" t="s">
        <v>12221</v>
      </c>
      <c r="AF644" t="s">
        <v>74</v>
      </c>
      <c r="AG644">
        <v>80</v>
      </c>
      <c r="AH644">
        <v>17</v>
      </c>
      <c r="AI644">
        <v>18</v>
      </c>
      <c r="AJ644">
        <v>5</v>
      </c>
      <c r="AK644">
        <v>54</v>
      </c>
      <c r="AL644" t="s">
        <v>552</v>
      </c>
      <c r="AM644" t="s">
        <v>553</v>
      </c>
      <c r="AN644" t="s">
        <v>554</v>
      </c>
      <c r="AO644" t="s">
        <v>1459</v>
      </c>
      <c r="AP644" t="s">
        <v>1460</v>
      </c>
      <c r="AQ644" t="s">
        <v>74</v>
      </c>
      <c r="AR644" t="s">
        <v>1461</v>
      </c>
      <c r="AS644" t="s">
        <v>1462</v>
      </c>
      <c r="AT644" t="s">
        <v>347</v>
      </c>
      <c r="AU644">
        <v>2021</v>
      </c>
      <c r="AV644">
        <v>27</v>
      </c>
      <c r="AW644">
        <v>5</v>
      </c>
      <c r="AX644" t="s">
        <v>74</v>
      </c>
      <c r="AY644" t="s">
        <v>74</v>
      </c>
      <c r="AZ644" t="s">
        <v>74</v>
      </c>
      <c r="BA644" t="s">
        <v>74</v>
      </c>
      <c r="BB644">
        <v>1111</v>
      </c>
      <c r="BC644">
        <v>1125</v>
      </c>
      <c r="BD644" t="s">
        <v>74</v>
      </c>
      <c r="BE644" t="s">
        <v>12222</v>
      </c>
      <c r="BF644" t="str">
        <f>HYPERLINK("http://dx.doi.org/10.1111/gcb.15456","http://dx.doi.org/10.1111/gcb.15456")</f>
        <v>http://dx.doi.org/10.1111/gcb.15456</v>
      </c>
      <c r="BG644" t="s">
        <v>74</v>
      </c>
      <c r="BH644" t="s">
        <v>11309</v>
      </c>
      <c r="BI644">
        <v>15</v>
      </c>
      <c r="BJ644" t="s">
        <v>1272</v>
      </c>
      <c r="BK644" t="s">
        <v>103</v>
      </c>
      <c r="BL644" t="s">
        <v>1053</v>
      </c>
      <c r="BM644" t="s">
        <v>12223</v>
      </c>
      <c r="BN644">
        <v>33230837</v>
      </c>
      <c r="BO644" t="s">
        <v>2804</v>
      </c>
      <c r="BP644" t="s">
        <v>74</v>
      </c>
      <c r="BQ644" t="s">
        <v>74</v>
      </c>
      <c r="BR644" t="s">
        <v>106</v>
      </c>
      <c r="BS644" t="s">
        <v>12224</v>
      </c>
      <c r="BT644" t="str">
        <f>HYPERLINK("https%3A%2F%2Fwww.webofscience.com%2Fwos%2Fwoscc%2Ffull-record%2FWOS:000599740900001","View Full Record in Web of Science")</f>
        <v>View Full Record in Web of Science</v>
      </c>
    </row>
    <row r="645" spans="1:72" x14ac:dyDescent="0.15">
      <c r="A645" t="s">
        <v>72</v>
      </c>
      <c r="B645" t="s">
        <v>12225</v>
      </c>
      <c r="C645" t="s">
        <v>74</v>
      </c>
      <c r="D645" t="s">
        <v>74</v>
      </c>
      <c r="E645" t="s">
        <v>74</v>
      </c>
      <c r="F645" t="s">
        <v>12226</v>
      </c>
      <c r="G645" t="s">
        <v>74</v>
      </c>
      <c r="H645" t="s">
        <v>74</v>
      </c>
      <c r="I645" t="s">
        <v>12227</v>
      </c>
      <c r="J645" t="s">
        <v>12228</v>
      </c>
      <c r="K645" t="s">
        <v>74</v>
      </c>
      <c r="L645" t="s">
        <v>74</v>
      </c>
      <c r="M645" t="s">
        <v>78</v>
      </c>
      <c r="N645" t="s">
        <v>79</v>
      </c>
      <c r="O645" t="s">
        <v>74</v>
      </c>
      <c r="P645" t="s">
        <v>74</v>
      </c>
      <c r="Q645" t="s">
        <v>74</v>
      </c>
      <c r="R645" t="s">
        <v>74</v>
      </c>
      <c r="S645" t="s">
        <v>74</v>
      </c>
      <c r="T645" t="s">
        <v>12229</v>
      </c>
      <c r="U645" t="s">
        <v>12230</v>
      </c>
      <c r="V645" t="s">
        <v>12231</v>
      </c>
      <c r="W645" t="s">
        <v>12232</v>
      </c>
      <c r="X645" t="s">
        <v>12233</v>
      </c>
      <c r="Y645" t="s">
        <v>12234</v>
      </c>
      <c r="Z645" t="s">
        <v>12235</v>
      </c>
      <c r="AA645" t="s">
        <v>12236</v>
      </c>
      <c r="AB645" t="s">
        <v>12237</v>
      </c>
      <c r="AC645" t="s">
        <v>12238</v>
      </c>
      <c r="AD645" t="s">
        <v>12239</v>
      </c>
      <c r="AE645" t="s">
        <v>12240</v>
      </c>
      <c r="AF645" t="s">
        <v>74</v>
      </c>
      <c r="AG645">
        <v>50</v>
      </c>
      <c r="AH645">
        <v>3</v>
      </c>
      <c r="AI645">
        <v>3</v>
      </c>
      <c r="AJ645">
        <v>0</v>
      </c>
      <c r="AK645">
        <v>2</v>
      </c>
      <c r="AL645" t="s">
        <v>12241</v>
      </c>
      <c r="AM645" t="s">
        <v>12242</v>
      </c>
      <c r="AN645" t="s">
        <v>12243</v>
      </c>
      <c r="AO645" t="s">
        <v>12244</v>
      </c>
      <c r="AP645" t="s">
        <v>74</v>
      </c>
      <c r="AQ645" t="s">
        <v>74</v>
      </c>
      <c r="AR645" t="s">
        <v>12245</v>
      </c>
      <c r="AS645" t="s">
        <v>12246</v>
      </c>
      <c r="AT645" t="s">
        <v>12108</v>
      </c>
      <c r="AU645">
        <v>2020</v>
      </c>
      <c r="AV645">
        <v>10</v>
      </c>
      <c r="AW645" t="s">
        <v>74</v>
      </c>
      <c r="AX645" t="s">
        <v>74</v>
      </c>
      <c r="AY645" t="s">
        <v>74</v>
      </c>
      <c r="AZ645" t="s">
        <v>74</v>
      </c>
      <c r="BA645" t="s">
        <v>74</v>
      </c>
      <c r="BB645" t="s">
        <v>74</v>
      </c>
      <c r="BC645" t="s">
        <v>74</v>
      </c>
      <c r="BD645">
        <v>63</v>
      </c>
      <c r="BE645" t="s">
        <v>12247</v>
      </c>
      <c r="BF645" t="str">
        <f>HYPERLINK("http://dx.doi.org/10.1051/swsc/2020065","http://dx.doi.org/10.1051/swsc/2020065")</f>
        <v>http://dx.doi.org/10.1051/swsc/2020065</v>
      </c>
      <c r="BG645" t="s">
        <v>74</v>
      </c>
      <c r="BH645" t="s">
        <v>74</v>
      </c>
      <c r="BI645">
        <v>14</v>
      </c>
      <c r="BJ645" t="s">
        <v>12248</v>
      </c>
      <c r="BK645" t="s">
        <v>103</v>
      </c>
      <c r="BL645" t="s">
        <v>12248</v>
      </c>
      <c r="BM645" t="s">
        <v>12249</v>
      </c>
      <c r="BN645" t="s">
        <v>74</v>
      </c>
      <c r="BO645" t="s">
        <v>246</v>
      </c>
      <c r="BP645" t="s">
        <v>74</v>
      </c>
      <c r="BQ645" t="s">
        <v>74</v>
      </c>
      <c r="BR645" t="s">
        <v>106</v>
      </c>
      <c r="BS645" t="s">
        <v>12250</v>
      </c>
      <c r="BT645" t="str">
        <f>HYPERLINK("https%3A%2F%2Fwww.webofscience.com%2Fwos%2Fwoscc%2Ffull-record%2FWOS:000603209300002","View Full Record in Web of Science")</f>
        <v>View Full Record in Web of Science</v>
      </c>
    </row>
    <row r="646" spans="1:72" x14ac:dyDescent="0.15">
      <c r="A646" t="s">
        <v>72</v>
      </c>
      <c r="B646" t="s">
        <v>12251</v>
      </c>
      <c r="C646" t="s">
        <v>74</v>
      </c>
      <c r="D646" t="s">
        <v>74</v>
      </c>
      <c r="E646" t="s">
        <v>74</v>
      </c>
      <c r="F646" t="s">
        <v>12252</v>
      </c>
      <c r="G646" t="s">
        <v>74</v>
      </c>
      <c r="H646" t="s">
        <v>74</v>
      </c>
      <c r="I646" t="s">
        <v>12253</v>
      </c>
      <c r="J646" t="s">
        <v>303</v>
      </c>
      <c r="K646" t="s">
        <v>74</v>
      </c>
      <c r="L646" t="s">
        <v>74</v>
      </c>
      <c r="M646" t="s">
        <v>78</v>
      </c>
      <c r="N646" t="s">
        <v>79</v>
      </c>
      <c r="O646" t="s">
        <v>74</v>
      </c>
      <c r="P646" t="s">
        <v>74</v>
      </c>
      <c r="Q646" t="s">
        <v>74</v>
      </c>
      <c r="R646" t="s">
        <v>74</v>
      </c>
      <c r="S646" t="s">
        <v>74</v>
      </c>
      <c r="T646" t="s">
        <v>12254</v>
      </c>
      <c r="U646" t="s">
        <v>12255</v>
      </c>
      <c r="V646" t="s">
        <v>12256</v>
      </c>
      <c r="W646" t="s">
        <v>12257</v>
      </c>
      <c r="X646" t="s">
        <v>12258</v>
      </c>
      <c r="Y646" t="s">
        <v>12259</v>
      </c>
      <c r="Z646" t="s">
        <v>12260</v>
      </c>
      <c r="AA646" t="s">
        <v>74</v>
      </c>
      <c r="AB646" t="s">
        <v>12261</v>
      </c>
      <c r="AC646" t="s">
        <v>12262</v>
      </c>
      <c r="AD646" t="s">
        <v>12262</v>
      </c>
      <c r="AE646" t="s">
        <v>12263</v>
      </c>
      <c r="AF646" t="s">
        <v>74</v>
      </c>
      <c r="AG646">
        <v>71</v>
      </c>
      <c r="AH646">
        <v>3</v>
      </c>
      <c r="AI646">
        <v>3</v>
      </c>
      <c r="AJ646">
        <v>2</v>
      </c>
      <c r="AK646">
        <v>7</v>
      </c>
      <c r="AL646" t="s">
        <v>12264</v>
      </c>
      <c r="AM646" t="s">
        <v>12265</v>
      </c>
      <c r="AN646" t="s">
        <v>12266</v>
      </c>
      <c r="AO646" t="s">
        <v>318</v>
      </c>
      <c r="AP646" t="s">
        <v>319</v>
      </c>
      <c r="AQ646" t="s">
        <v>74</v>
      </c>
      <c r="AR646" t="s">
        <v>12267</v>
      </c>
      <c r="AS646" t="s">
        <v>321</v>
      </c>
      <c r="AT646" t="s">
        <v>12268</v>
      </c>
      <c r="AU646">
        <v>2020</v>
      </c>
      <c r="AV646">
        <v>39</v>
      </c>
      <c r="AW646" t="s">
        <v>74</v>
      </c>
      <c r="AX646" t="s">
        <v>74</v>
      </c>
      <c r="AY646" t="s">
        <v>74</v>
      </c>
      <c r="AZ646" t="s">
        <v>74</v>
      </c>
      <c r="BA646" t="s">
        <v>74</v>
      </c>
      <c r="BB646" t="s">
        <v>74</v>
      </c>
      <c r="BC646" t="s">
        <v>74</v>
      </c>
      <c r="BD646">
        <v>3841</v>
      </c>
      <c r="BE646" t="s">
        <v>12269</v>
      </c>
      <c r="BF646" t="str">
        <f>HYPERLINK("http://dx.doi.org/10.33265/polar.v39.3841","http://dx.doi.org/10.33265/polar.v39.3841")</f>
        <v>http://dx.doi.org/10.33265/polar.v39.3841</v>
      </c>
      <c r="BG646" t="s">
        <v>74</v>
      </c>
      <c r="BH646" t="s">
        <v>74</v>
      </c>
      <c r="BI646">
        <v>11</v>
      </c>
      <c r="BJ646" t="s">
        <v>323</v>
      </c>
      <c r="BK646" t="s">
        <v>103</v>
      </c>
      <c r="BL646" t="s">
        <v>324</v>
      </c>
      <c r="BM646" t="s">
        <v>12270</v>
      </c>
      <c r="BN646" t="s">
        <v>74</v>
      </c>
      <c r="BO646" t="s">
        <v>246</v>
      </c>
      <c r="BP646" t="s">
        <v>74</v>
      </c>
      <c r="BQ646" t="s">
        <v>74</v>
      </c>
      <c r="BR646" t="s">
        <v>106</v>
      </c>
      <c r="BS646" t="s">
        <v>12271</v>
      </c>
      <c r="BT646" t="str">
        <f>HYPERLINK("https%3A%2F%2Fwww.webofscience.com%2Fwos%2Fwoscc%2Ffull-record%2FWOS:000601201100001","View Full Record in Web of Science")</f>
        <v>View Full Record in Web of Science</v>
      </c>
    </row>
    <row r="647" spans="1:72" x14ac:dyDescent="0.15">
      <c r="A647" t="s">
        <v>72</v>
      </c>
      <c r="B647" t="s">
        <v>12272</v>
      </c>
      <c r="C647" t="s">
        <v>74</v>
      </c>
      <c r="D647" t="s">
        <v>74</v>
      </c>
      <c r="E647" t="s">
        <v>74</v>
      </c>
      <c r="F647" t="s">
        <v>12273</v>
      </c>
      <c r="G647" t="s">
        <v>74</v>
      </c>
      <c r="H647" t="s">
        <v>74</v>
      </c>
      <c r="I647" t="s">
        <v>12274</v>
      </c>
      <c r="J647" t="s">
        <v>12275</v>
      </c>
      <c r="K647" t="s">
        <v>74</v>
      </c>
      <c r="L647" t="s">
        <v>74</v>
      </c>
      <c r="M647" t="s">
        <v>78</v>
      </c>
      <c r="N647" t="s">
        <v>79</v>
      </c>
      <c r="O647" t="s">
        <v>74</v>
      </c>
      <c r="P647" t="s">
        <v>74</v>
      </c>
      <c r="Q647" t="s">
        <v>74</v>
      </c>
      <c r="R647" t="s">
        <v>74</v>
      </c>
      <c r="S647" t="s">
        <v>74</v>
      </c>
      <c r="T647" t="s">
        <v>12276</v>
      </c>
      <c r="U647" t="s">
        <v>12277</v>
      </c>
      <c r="V647" t="s">
        <v>12278</v>
      </c>
      <c r="W647" t="s">
        <v>12279</v>
      </c>
      <c r="X647" t="s">
        <v>12280</v>
      </c>
      <c r="Y647" t="s">
        <v>12281</v>
      </c>
      <c r="Z647" t="s">
        <v>12282</v>
      </c>
      <c r="AA647" t="s">
        <v>12283</v>
      </c>
      <c r="AB647" t="s">
        <v>12284</v>
      </c>
      <c r="AC647" t="s">
        <v>12285</v>
      </c>
      <c r="AD647" t="s">
        <v>12286</v>
      </c>
      <c r="AE647" t="s">
        <v>12287</v>
      </c>
      <c r="AF647" t="s">
        <v>74</v>
      </c>
      <c r="AG647">
        <v>71</v>
      </c>
      <c r="AH647">
        <v>13</v>
      </c>
      <c r="AI647">
        <v>14</v>
      </c>
      <c r="AJ647">
        <v>1</v>
      </c>
      <c r="AK647">
        <v>26</v>
      </c>
      <c r="AL647" t="s">
        <v>552</v>
      </c>
      <c r="AM647" t="s">
        <v>553</v>
      </c>
      <c r="AN647" t="s">
        <v>554</v>
      </c>
      <c r="AO647" t="s">
        <v>12288</v>
      </c>
      <c r="AP647" t="s">
        <v>12289</v>
      </c>
      <c r="AQ647" t="s">
        <v>74</v>
      </c>
      <c r="AR647" t="s">
        <v>12290</v>
      </c>
      <c r="AS647" t="s">
        <v>12291</v>
      </c>
      <c r="AT647" t="s">
        <v>347</v>
      </c>
      <c r="AU647">
        <v>2021</v>
      </c>
      <c r="AV647">
        <v>24</v>
      </c>
      <c r="AW647">
        <v>3</v>
      </c>
      <c r="AX647" t="s">
        <v>74</v>
      </c>
      <c r="AY647" t="s">
        <v>74</v>
      </c>
      <c r="AZ647" t="s">
        <v>74</v>
      </c>
      <c r="BA647" t="s">
        <v>74</v>
      </c>
      <c r="BB647">
        <v>572</v>
      </c>
      <c r="BC647">
        <v>579</v>
      </c>
      <c r="BD647" t="s">
        <v>74</v>
      </c>
      <c r="BE647" t="s">
        <v>12292</v>
      </c>
      <c r="BF647" t="str">
        <f>HYPERLINK("http://dx.doi.org/10.1111/ele.13661","http://dx.doi.org/10.1111/ele.13661")</f>
        <v>http://dx.doi.org/10.1111/ele.13661</v>
      </c>
      <c r="BG647" t="s">
        <v>74</v>
      </c>
      <c r="BH647" t="s">
        <v>11309</v>
      </c>
      <c r="BI647">
        <v>8</v>
      </c>
      <c r="BJ647" t="s">
        <v>1509</v>
      </c>
      <c r="BK647" t="s">
        <v>103</v>
      </c>
      <c r="BL647" t="s">
        <v>104</v>
      </c>
      <c r="BM647" t="s">
        <v>12293</v>
      </c>
      <c r="BN647">
        <v>33331673</v>
      </c>
      <c r="BO647" t="s">
        <v>1220</v>
      </c>
      <c r="BP647" t="s">
        <v>74</v>
      </c>
      <c r="BQ647" t="s">
        <v>74</v>
      </c>
      <c r="BR647" t="s">
        <v>106</v>
      </c>
      <c r="BS647" t="s">
        <v>12294</v>
      </c>
      <c r="BT647" t="str">
        <f>HYPERLINK("https%3A%2F%2Fwww.webofscience.com%2Fwos%2Fwoscc%2Ffull-record%2FWOS:000599316700001","View Full Record in Web of Science")</f>
        <v>View Full Record in Web of Science</v>
      </c>
    </row>
    <row r="648" spans="1:72" x14ac:dyDescent="0.15">
      <c r="A648" t="s">
        <v>72</v>
      </c>
      <c r="B648" t="s">
        <v>12295</v>
      </c>
      <c r="C648" t="s">
        <v>74</v>
      </c>
      <c r="D648" t="s">
        <v>74</v>
      </c>
      <c r="E648" t="s">
        <v>74</v>
      </c>
      <c r="F648" t="s">
        <v>12296</v>
      </c>
      <c r="G648" t="s">
        <v>74</v>
      </c>
      <c r="H648" t="s">
        <v>74</v>
      </c>
      <c r="I648" t="s">
        <v>12297</v>
      </c>
      <c r="J648" t="s">
        <v>2272</v>
      </c>
      <c r="K648" t="s">
        <v>74</v>
      </c>
      <c r="L648" t="s">
        <v>74</v>
      </c>
      <c r="M648" t="s">
        <v>78</v>
      </c>
      <c r="N648" t="s">
        <v>79</v>
      </c>
      <c r="O648" t="s">
        <v>74</v>
      </c>
      <c r="P648" t="s">
        <v>74</v>
      </c>
      <c r="Q648" t="s">
        <v>74</v>
      </c>
      <c r="R648" t="s">
        <v>74</v>
      </c>
      <c r="S648" t="s">
        <v>74</v>
      </c>
      <c r="T648" t="s">
        <v>74</v>
      </c>
      <c r="U648" t="s">
        <v>12298</v>
      </c>
      <c r="V648" t="s">
        <v>12299</v>
      </c>
      <c r="W648" t="s">
        <v>12300</v>
      </c>
      <c r="X648" t="s">
        <v>12301</v>
      </c>
      <c r="Y648" t="s">
        <v>12302</v>
      </c>
      <c r="Z648" t="s">
        <v>12303</v>
      </c>
      <c r="AA648" t="s">
        <v>12304</v>
      </c>
      <c r="AB648" t="s">
        <v>12305</v>
      </c>
      <c r="AC648" t="s">
        <v>74</v>
      </c>
      <c r="AD648" t="s">
        <v>74</v>
      </c>
      <c r="AE648" t="s">
        <v>74</v>
      </c>
      <c r="AF648" t="s">
        <v>74</v>
      </c>
      <c r="AG648">
        <v>39</v>
      </c>
      <c r="AH648">
        <v>1</v>
      </c>
      <c r="AI648">
        <v>1</v>
      </c>
      <c r="AJ648">
        <v>0</v>
      </c>
      <c r="AK648">
        <v>7</v>
      </c>
      <c r="AL648" t="s">
        <v>123</v>
      </c>
      <c r="AM648" t="s">
        <v>124</v>
      </c>
      <c r="AN648" t="s">
        <v>125</v>
      </c>
      <c r="AO648" t="s">
        <v>2282</v>
      </c>
      <c r="AP648" t="s">
        <v>2283</v>
      </c>
      <c r="AQ648" t="s">
        <v>74</v>
      </c>
      <c r="AR648" t="s">
        <v>2284</v>
      </c>
      <c r="AS648" t="s">
        <v>2285</v>
      </c>
      <c r="AT648" t="s">
        <v>12268</v>
      </c>
      <c r="AU648">
        <v>2020</v>
      </c>
      <c r="AV648">
        <v>12</v>
      </c>
      <c r="AW648">
        <v>4</v>
      </c>
      <c r="AX648" t="s">
        <v>74</v>
      </c>
      <c r="AY648" t="s">
        <v>74</v>
      </c>
      <c r="AZ648" t="s">
        <v>74</v>
      </c>
      <c r="BA648" t="s">
        <v>74</v>
      </c>
      <c r="BB648">
        <v>3453</v>
      </c>
      <c r="BC648">
        <v>3467</v>
      </c>
      <c r="BD648" t="s">
        <v>74</v>
      </c>
      <c r="BE648" t="s">
        <v>12306</v>
      </c>
      <c r="BF648" t="str">
        <f>HYPERLINK("http://dx.doi.org/10.5194/essd-12-3453-2020","http://dx.doi.org/10.5194/essd-12-3453-2020")</f>
        <v>http://dx.doi.org/10.5194/essd-12-3453-2020</v>
      </c>
      <c r="BG648" t="s">
        <v>74</v>
      </c>
      <c r="BH648" t="s">
        <v>74</v>
      </c>
      <c r="BI648">
        <v>15</v>
      </c>
      <c r="BJ648" t="s">
        <v>1570</v>
      </c>
      <c r="BK648" t="s">
        <v>103</v>
      </c>
      <c r="BL648" t="s">
        <v>1571</v>
      </c>
      <c r="BM648" t="s">
        <v>12307</v>
      </c>
      <c r="BN648" t="s">
        <v>74</v>
      </c>
      <c r="BO648" t="s">
        <v>2511</v>
      </c>
      <c r="BP648" t="s">
        <v>74</v>
      </c>
      <c r="BQ648" t="s">
        <v>74</v>
      </c>
      <c r="BR648" t="s">
        <v>106</v>
      </c>
      <c r="BS648" t="s">
        <v>12308</v>
      </c>
      <c r="BT648" t="str">
        <f>HYPERLINK("https%3A%2F%2Fwww.webofscience.com%2Fwos%2Fwoscc%2Ffull-record%2FWOS:000600197700001","View Full Record in Web of Science")</f>
        <v>View Full Record in Web of Science</v>
      </c>
    </row>
    <row r="649" spans="1:72" x14ac:dyDescent="0.15">
      <c r="A649" t="s">
        <v>72</v>
      </c>
      <c r="B649" t="s">
        <v>12309</v>
      </c>
      <c r="C649" t="s">
        <v>74</v>
      </c>
      <c r="D649" t="s">
        <v>74</v>
      </c>
      <c r="E649" t="s">
        <v>74</v>
      </c>
      <c r="F649" t="s">
        <v>12310</v>
      </c>
      <c r="G649" t="s">
        <v>74</v>
      </c>
      <c r="H649" t="s">
        <v>74</v>
      </c>
      <c r="I649" t="s">
        <v>12311</v>
      </c>
      <c r="J649" t="s">
        <v>12138</v>
      </c>
      <c r="K649" t="s">
        <v>74</v>
      </c>
      <c r="L649" t="s">
        <v>74</v>
      </c>
      <c r="M649" t="s">
        <v>78</v>
      </c>
      <c r="N649" t="s">
        <v>79</v>
      </c>
      <c r="O649" t="s">
        <v>74</v>
      </c>
      <c r="P649" t="s">
        <v>74</v>
      </c>
      <c r="Q649" t="s">
        <v>74</v>
      </c>
      <c r="R649" t="s">
        <v>74</v>
      </c>
      <c r="S649" t="s">
        <v>74</v>
      </c>
      <c r="T649" t="s">
        <v>12312</v>
      </c>
      <c r="U649" t="s">
        <v>12313</v>
      </c>
      <c r="V649" t="s">
        <v>12314</v>
      </c>
      <c r="W649" t="s">
        <v>12315</v>
      </c>
      <c r="X649" t="s">
        <v>12316</v>
      </c>
      <c r="Y649" t="s">
        <v>12317</v>
      </c>
      <c r="Z649" t="s">
        <v>12318</v>
      </c>
      <c r="AA649" t="s">
        <v>12319</v>
      </c>
      <c r="AB649" t="s">
        <v>12320</v>
      </c>
      <c r="AC649" t="s">
        <v>12321</v>
      </c>
      <c r="AD649" t="s">
        <v>12322</v>
      </c>
      <c r="AE649" t="s">
        <v>12323</v>
      </c>
      <c r="AF649" t="s">
        <v>74</v>
      </c>
      <c r="AG649">
        <v>71</v>
      </c>
      <c r="AH649">
        <v>1</v>
      </c>
      <c r="AI649">
        <v>1</v>
      </c>
      <c r="AJ649">
        <v>2</v>
      </c>
      <c r="AK649">
        <v>10</v>
      </c>
      <c r="AL649" t="s">
        <v>500</v>
      </c>
      <c r="AM649" t="s">
        <v>501</v>
      </c>
      <c r="AN649" t="s">
        <v>502</v>
      </c>
      <c r="AO649" t="s">
        <v>12151</v>
      </c>
      <c r="AP649" t="s">
        <v>74</v>
      </c>
      <c r="AQ649" t="s">
        <v>74</v>
      </c>
      <c r="AR649" t="s">
        <v>12152</v>
      </c>
      <c r="AS649" t="s">
        <v>12153</v>
      </c>
      <c r="AT649" t="s">
        <v>12324</v>
      </c>
      <c r="AU649">
        <v>2020</v>
      </c>
      <c r="AV649">
        <v>11</v>
      </c>
      <c r="AW649" t="s">
        <v>74</v>
      </c>
      <c r="AX649" t="s">
        <v>74</v>
      </c>
      <c r="AY649" t="s">
        <v>74</v>
      </c>
      <c r="AZ649" t="s">
        <v>74</v>
      </c>
      <c r="BA649" t="s">
        <v>74</v>
      </c>
      <c r="BB649" t="s">
        <v>74</v>
      </c>
      <c r="BC649" t="s">
        <v>74</v>
      </c>
      <c r="BD649">
        <v>590736</v>
      </c>
      <c r="BE649" t="s">
        <v>12325</v>
      </c>
      <c r="BF649" t="str">
        <f>HYPERLINK("http://dx.doi.org/10.3389/fmicb.2020.590736","http://dx.doi.org/10.3389/fmicb.2020.590736")</f>
        <v>http://dx.doi.org/10.3389/fmicb.2020.590736</v>
      </c>
      <c r="BG649" t="s">
        <v>74</v>
      </c>
      <c r="BH649" t="s">
        <v>74</v>
      </c>
      <c r="BI649">
        <v>17</v>
      </c>
      <c r="BJ649" t="s">
        <v>3581</v>
      </c>
      <c r="BK649" t="s">
        <v>103</v>
      </c>
      <c r="BL649" t="s">
        <v>3581</v>
      </c>
      <c r="BM649" t="s">
        <v>12326</v>
      </c>
      <c r="BN649">
        <v>33391207</v>
      </c>
      <c r="BO649" t="s">
        <v>246</v>
      </c>
      <c r="BP649" t="s">
        <v>74</v>
      </c>
      <c r="BQ649" t="s">
        <v>74</v>
      </c>
      <c r="BR649" t="s">
        <v>106</v>
      </c>
      <c r="BS649" t="s">
        <v>12327</v>
      </c>
      <c r="BT649" t="str">
        <f>HYPERLINK("https%3A%2F%2Fwww.webofscience.com%2Fwos%2Fwoscc%2Ffull-record%2FWOS:000603461400001","View Full Record in Web of Science")</f>
        <v>View Full Record in Web of Science</v>
      </c>
    </row>
    <row r="650" spans="1:72" x14ac:dyDescent="0.15">
      <c r="A650" t="s">
        <v>72</v>
      </c>
      <c r="B650" t="s">
        <v>12328</v>
      </c>
      <c r="C650" t="s">
        <v>74</v>
      </c>
      <c r="D650" t="s">
        <v>74</v>
      </c>
      <c r="E650" t="s">
        <v>74</v>
      </c>
      <c r="F650" t="s">
        <v>12329</v>
      </c>
      <c r="G650" t="s">
        <v>74</v>
      </c>
      <c r="H650" t="s">
        <v>74</v>
      </c>
      <c r="I650" t="s">
        <v>12330</v>
      </c>
      <c r="J650" t="s">
        <v>487</v>
      </c>
      <c r="K650" t="s">
        <v>74</v>
      </c>
      <c r="L650" t="s">
        <v>74</v>
      </c>
      <c r="M650" t="s">
        <v>78</v>
      </c>
      <c r="N650" t="s">
        <v>79</v>
      </c>
      <c r="O650" t="s">
        <v>74</v>
      </c>
      <c r="P650" t="s">
        <v>74</v>
      </c>
      <c r="Q650" t="s">
        <v>74</v>
      </c>
      <c r="R650" t="s">
        <v>74</v>
      </c>
      <c r="S650" t="s">
        <v>74</v>
      </c>
      <c r="T650" t="s">
        <v>12331</v>
      </c>
      <c r="U650" t="s">
        <v>12332</v>
      </c>
      <c r="V650" t="s">
        <v>12333</v>
      </c>
      <c r="W650" t="s">
        <v>12334</v>
      </c>
      <c r="X650" t="s">
        <v>12335</v>
      </c>
      <c r="Y650" t="s">
        <v>12336</v>
      </c>
      <c r="Z650" t="s">
        <v>12337</v>
      </c>
      <c r="AA650" t="s">
        <v>12338</v>
      </c>
      <c r="AB650" t="s">
        <v>12339</v>
      </c>
      <c r="AC650" t="s">
        <v>12340</v>
      </c>
      <c r="AD650" t="s">
        <v>12341</v>
      </c>
      <c r="AE650" t="s">
        <v>12342</v>
      </c>
      <c r="AF650" t="s">
        <v>74</v>
      </c>
      <c r="AG650">
        <v>84</v>
      </c>
      <c r="AH650">
        <v>28</v>
      </c>
      <c r="AI650">
        <v>28</v>
      </c>
      <c r="AJ650">
        <v>7</v>
      </c>
      <c r="AK650">
        <v>49</v>
      </c>
      <c r="AL650" t="s">
        <v>500</v>
      </c>
      <c r="AM650" t="s">
        <v>501</v>
      </c>
      <c r="AN650" t="s">
        <v>502</v>
      </c>
      <c r="AO650" t="s">
        <v>74</v>
      </c>
      <c r="AP650" t="s">
        <v>503</v>
      </c>
      <c r="AQ650" t="s">
        <v>74</v>
      </c>
      <c r="AR650" t="s">
        <v>504</v>
      </c>
      <c r="AS650" t="s">
        <v>505</v>
      </c>
      <c r="AT650" t="s">
        <v>12324</v>
      </c>
      <c r="AU650">
        <v>2020</v>
      </c>
      <c r="AV650">
        <v>7</v>
      </c>
      <c r="AW650" t="s">
        <v>74</v>
      </c>
      <c r="AX650" t="s">
        <v>74</v>
      </c>
      <c r="AY650" t="s">
        <v>74</v>
      </c>
      <c r="AZ650" t="s">
        <v>74</v>
      </c>
      <c r="BA650" t="s">
        <v>74</v>
      </c>
      <c r="BB650" t="s">
        <v>74</v>
      </c>
      <c r="BC650" t="s">
        <v>74</v>
      </c>
      <c r="BD650">
        <v>575228</v>
      </c>
      <c r="BE650" t="s">
        <v>12343</v>
      </c>
      <c r="BF650" t="str">
        <f>HYPERLINK("http://dx.doi.org/10.3389/fmars.2020.575228","http://dx.doi.org/10.3389/fmars.2020.575228")</f>
        <v>http://dx.doi.org/10.3389/fmars.2020.575228</v>
      </c>
      <c r="BG650" t="s">
        <v>74</v>
      </c>
      <c r="BH650" t="s">
        <v>74</v>
      </c>
      <c r="BI650">
        <v>9</v>
      </c>
      <c r="BJ650" t="s">
        <v>507</v>
      </c>
      <c r="BK650" t="s">
        <v>103</v>
      </c>
      <c r="BL650" t="s">
        <v>508</v>
      </c>
      <c r="BM650" t="s">
        <v>12344</v>
      </c>
      <c r="BN650" t="s">
        <v>74</v>
      </c>
      <c r="BO650" t="s">
        <v>1105</v>
      </c>
      <c r="BP650" t="s">
        <v>74</v>
      </c>
      <c r="BQ650" t="s">
        <v>74</v>
      </c>
      <c r="BR650" t="s">
        <v>106</v>
      </c>
      <c r="BS650" t="s">
        <v>12345</v>
      </c>
      <c r="BT650" t="str">
        <f>HYPERLINK("https%3A%2F%2Fwww.webofscience.com%2Fwos%2Fwoscc%2Ffull-record%2FWOS:000600694500001","View Full Record in Web of Science")</f>
        <v>View Full Record in Web of Science</v>
      </c>
    </row>
    <row r="651" spans="1:72" x14ac:dyDescent="0.15">
      <c r="A651" t="s">
        <v>72</v>
      </c>
      <c r="B651" t="s">
        <v>12346</v>
      </c>
      <c r="C651" t="s">
        <v>74</v>
      </c>
      <c r="D651" t="s">
        <v>74</v>
      </c>
      <c r="E651" t="s">
        <v>74</v>
      </c>
      <c r="F651" t="s">
        <v>12347</v>
      </c>
      <c r="G651" t="s">
        <v>74</v>
      </c>
      <c r="H651" t="s">
        <v>74</v>
      </c>
      <c r="I651" t="s">
        <v>12348</v>
      </c>
      <c r="J651" t="s">
        <v>1379</v>
      </c>
      <c r="K651" t="s">
        <v>74</v>
      </c>
      <c r="L651" t="s">
        <v>74</v>
      </c>
      <c r="M651" t="s">
        <v>78</v>
      </c>
      <c r="N651" t="s">
        <v>79</v>
      </c>
      <c r="O651" t="s">
        <v>74</v>
      </c>
      <c r="P651" t="s">
        <v>74</v>
      </c>
      <c r="Q651" t="s">
        <v>74</v>
      </c>
      <c r="R651" t="s">
        <v>74</v>
      </c>
      <c r="S651" t="s">
        <v>74</v>
      </c>
      <c r="T651" t="s">
        <v>12349</v>
      </c>
      <c r="U651" t="s">
        <v>12350</v>
      </c>
      <c r="V651" t="s">
        <v>12351</v>
      </c>
      <c r="W651" t="s">
        <v>12352</v>
      </c>
      <c r="X651" t="s">
        <v>12353</v>
      </c>
      <c r="Y651" t="s">
        <v>12354</v>
      </c>
      <c r="Z651" t="s">
        <v>12355</v>
      </c>
      <c r="AA651" t="s">
        <v>12356</v>
      </c>
      <c r="AB651" t="s">
        <v>12357</v>
      </c>
      <c r="AC651" t="s">
        <v>12358</v>
      </c>
      <c r="AD651" t="s">
        <v>12359</v>
      </c>
      <c r="AE651" t="s">
        <v>12360</v>
      </c>
      <c r="AF651" t="s">
        <v>74</v>
      </c>
      <c r="AG651">
        <v>81</v>
      </c>
      <c r="AH651">
        <v>10</v>
      </c>
      <c r="AI651">
        <v>10</v>
      </c>
      <c r="AJ651">
        <v>3</v>
      </c>
      <c r="AK651">
        <v>30</v>
      </c>
      <c r="AL651" t="s">
        <v>1291</v>
      </c>
      <c r="AM651" t="s">
        <v>629</v>
      </c>
      <c r="AN651" t="s">
        <v>1292</v>
      </c>
      <c r="AO651" t="s">
        <v>1392</v>
      </c>
      <c r="AP651" t="s">
        <v>1393</v>
      </c>
      <c r="AQ651" t="s">
        <v>74</v>
      </c>
      <c r="AR651" t="s">
        <v>1394</v>
      </c>
      <c r="AS651" t="s">
        <v>1395</v>
      </c>
      <c r="AT651" t="s">
        <v>12324</v>
      </c>
      <c r="AU651">
        <v>2020</v>
      </c>
      <c r="AV651">
        <v>125</v>
      </c>
      <c r="AW651">
        <v>23</v>
      </c>
      <c r="AX651" t="s">
        <v>74</v>
      </c>
      <c r="AY651" t="s">
        <v>74</v>
      </c>
      <c r="AZ651" t="s">
        <v>74</v>
      </c>
      <c r="BA651" t="s">
        <v>74</v>
      </c>
      <c r="BB651" t="s">
        <v>74</v>
      </c>
      <c r="BC651" t="s">
        <v>74</v>
      </c>
      <c r="BD651" t="s">
        <v>12361</v>
      </c>
      <c r="BE651" t="s">
        <v>12362</v>
      </c>
      <c r="BF651" t="str">
        <f>HYPERLINK("http://dx.doi.org/10.1029/2020JD032542","http://dx.doi.org/10.1029/2020JD032542")</f>
        <v>http://dx.doi.org/10.1029/2020JD032542</v>
      </c>
      <c r="BG651" t="s">
        <v>74</v>
      </c>
      <c r="BH651" t="s">
        <v>74</v>
      </c>
      <c r="BI651">
        <v>17</v>
      </c>
      <c r="BJ651" t="s">
        <v>687</v>
      </c>
      <c r="BK651" t="s">
        <v>103</v>
      </c>
      <c r="BL651" t="s">
        <v>687</v>
      </c>
      <c r="BM651" t="s">
        <v>12363</v>
      </c>
      <c r="BN651" t="s">
        <v>74</v>
      </c>
      <c r="BO651" t="s">
        <v>1220</v>
      </c>
      <c r="BP651" t="s">
        <v>74</v>
      </c>
      <c r="BQ651" t="s">
        <v>74</v>
      </c>
      <c r="BR651" t="s">
        <v>106</v>
      </c>
      <c r="BS651" t="s">
        <v>12364</v>
      </c>
      <c r="BT651" t="str">
        <f>HYPERLINK("https%3A%2F%2Fwww.webofscience.com%2Fwos%2Fwoscc%2Ffull-record%2FWOS:000599939900019","View Full Record in Web of Science")</f>
        <v>View Full Record in Web of Science</v>
      </c>
    </row>
    <row r="652" spans="1:72" x14ac:dyDescent="0.15">
      <c r="A652" t="s">
        <v>72</v>
      </c>
      <c r="B652" t="s">
        <v>12365</v>
      </c>
      <c r="C652" t="s">
        <v>74</v>
      </c>
      <c r="D652" t="s">
        <v>74</v>
      </c>
      <c r="E652" t="s">
        <v>74</v>
      </c>
      <c r="F652" t="s">
        <v>12366</v>
      </c>
      <c r="G652" t="s">
        <v>74</v>
      </c>
      <c r="H652" t="s">
        <v>74</v>
      </c>
      <c r="I652" t="s">
        <v>12367</v>
      </c>
      <c r="J652" t="s">
        <v>1379</v>
      </c>
      <c r="K652" t="s">
        <v>74</v>
      </c>
      <c r="L652" t="s">
        <v>74</v>
      </c>
      <c r="M652" t="s">
        <v>78</v>
      </c>
      <c r="N652" t="s">
        <v>79</v>
      </c>
      <c r="O652" t="s">
        <v>74</v>
      </c>
      <c r="P652" t="s">
        <v>74</v>
      </c>
      <c r="Q652" t="s">
        <v>74</v>
      </c>
      <c r="R652" t="s">
        <v>74</v>
      </c>
      <c r="S652" t="s">
        <v>74</v>
      </c>
      <c r="T652" t="s">
        <v>12368</v>
      </c>
      <c r="U652" t="s">
        <v>12369</v>
      </c>
      <c r="V652" t="s">
        <v>12370</v>
      </c>
      <c r="W652" t="s">
        <v>12371</v>
      </c>
      <c r="X652" t="s">
        <v>12372</v>
      </c>
      <c r="Y652" t="s">
        <v>12373</v>
      </c>
      <c r="Z652" t="s">
        <v>12374</v>
      </c>
      <c r="AA652" t="s">
        <v>12375</v>
      </c>
      <c r="AB652" t="s">
        <v>12376</v>
      </c>
      <c r="AC652" t="s">
        <v>12377</v>
      </c>
      <c r="AD652" t="s">
        <v>12378</v>
      </c>
      <c r="AE652" t="s">
        <v>12379</v>
      </c>
      <c r="AF652" t="s">
        <v>74</v>
      </c>
      <c r="AG652">
        <v>88</v>
      </c>
      <c r="AH652">
        <v>8</v>
      </c>
      <c r="AI652">
        <v>8</v>
      </c>
      <c r="AJ652">
        <v>4</v>
      </c>
      <c r="AK652">
        <v>25</v>
      </c>
      <c r="AL652" t="s">
        <v>1291</v>
      </c>
      <c r="AM652" t="s">
        <v>629</v>
      </c>
      <c r="AN652" t="s">
        <v>1292</v>
      </c>
      <c r="AO652" t="s">
        <v>1392</v>
      </c>
      <c r="AP652" t="s">
        <v>1393</v>
      </c>
      <c r="AQ652" t="s">
        <v>74</v>
      </c>
      <c r="AR652" t="s">
        <v>1394</v>
      </c>
      <c r="AS652" t="s">
        <v>1395</v>
      </c>
      <c r="AT652" t="s">
        <v>12324</v>
      </c>
      <c r="AU652">
        <v>2020</v>
      </c>
      <c r="AV652">
        <v>125</v>
      </c>
      <c r="AW652">
        <v>23</v>
      </c>
      <c r="AX652" t="s">
        <v>74</v>
      </c>
      <c r="AY652" t="s">
        <v>74</v>
      </c>
      <c r="AZ652" t="s">
        <v>74</v>
      </c>
      <c r="BA652" t="s">
        <v>74</v>
      </c>
      <c r="BB652" t="s">
        <v>74</v>
      </c>
      <c r="BC652" t="s">
        <v>74</v>
      </c>
      <c r="BD652" t="s">
        <v>12380</v>
      </c>
      <c r="BE652" t="s">
        <v>12381</v>
      </c>
      <c r="BF652" t="str">
        <f>HYPERLINK("http://dx.doi.org/10.1029/2020JD032681","http://dx.doi.org/10.1029/2020JD032681")</f>
        <v>http://dx.doi.org/10.1029/2020JD032681</v>
      </c>
      <c r="BG652" t="s">
        <v>74</v>
      </c>
      <c r="BH652" t="s">
        <v>74</v>
      </c>
      <c r="BI652">
        <v>18</v>
      </c>
      <c r="BJ652" t="s">
        <v>687</v>
      </c>
      <c r="BK652" t="s">
        <v>103</v>
      </c>
      <c r="BL652" t="s">
        <v>687</v>
      </c>
      <c r="BM652" t="s">
        <v>12363</v>
      </c>
      <c r="BN652" t="s">
        <v>74</v>
      </c>
      <c r="BO652" t="s">
        <v>1220</v>
      </c>
      <c r="BP652" t="s">
        <v>74</v>
      </c>
      <c r="BQ652" t="s">
        <v>74</v>
      </c>
      <c r="BR652" t="s">
        <v>106</v>
      </c>
      <c r="BS652" t="s">
        <v>12382</v>
      </c>
      <c r="BT652" t="str">
        <f>HYPERLINK("https%3A%2F%2Fwww.webofscience.com%2Fwos%2Fwoscc%2Ffull-record%2FWOS:000599939900017","View Full Record in Web of Science")</f>
        <v>View Full Record in Web of Science</v>
      </c>
    </row>
    <row r="653" spans="1:72" x14ac:dyDescent="0.15">
      <c r="A653" t="s">
        <v>72</v>
      </c>
      <c r="B653" t="s">
        <v>12383</v>
      </c>
      <c r="C653" t="s">
        <v>74</v>
      </c>
      <c r="D653" t="s">
        <v>74</v>
      </c>
      <c r="E653" t="s">
        <v>74</v>
      </c>
      <c r="F653" t="s">
        <v>12384</v>
      </c>
      <c r="G653" t="s">
        <v>74</v>
      </c>
      <c r="H653" t="s">
        <v>74</v>
      </c>
      <c r="I653" t="s">
        <v>12385</v>
      </c>
      <c r="J653" t="s">
        <v>1379</v>
      </c>
      <c r="K653" t="s">
        <v>74</v>
      </c>
      <c r="L653" t="s">
        <v>74</v>
      </c>
      <c r="M653" t="s">
        <v>78</v>
      </c>
      <c r="N653" t="s">
        <v>79</v>
      </c>
      <c r="O653" t="s">
        <v>74</v>
      </c>
      <c r="P653" t="s">
        <v>74</v>
      </c>
      <c r="Q653" t="s">
        <v>74</v>
      </c>
      <c r="R653" t="s">
        <v>74</v>
      </c>
      <c r="S653" t="s">
        <v>74</v>
      </c>
      <c r="T653" t="s">
        <v>12386</v>
      </c>
      <c r="U653" t="s">
        <v>12387</v>
      </c>
      <c r="V653" t="s">
        <v>12388</v>
      </c>
      <c r="W653" t="s">
        <v>12389</v>
      </c>
      <c r="X653" t="s">
        <v>1113</v>
      </c>
      <c r="Y653" t="s">
        <v>12390</v>
      </c>
      <c r="Z653" t="s">
        <v>12391</v>
      </c>
      <c r="AA653" t="s">
        <v>12392</v>
      </c>
      <c r="AB653" t="s">
        <v>12393</v>
      </c>
      <c r="AC653" t="s">
        <v>12394</v>
      </c>
      <c r="AD653" t="s">
        <v>12394</v>
      </c>
      <c r="AE653" t="s">
        <v>12395</v>
      </c>
      <c r="AF653" t="s">
        <v>74</v>
      </c>
      <c r="AG653">
        <v>46</v>
      </c>
      <c r="AH653">
        <v>19</v>
      </c>
      <c r="AI653">
        <v>21</v>
      </c>
      <c r="AJ653">
        <v>3</v>
      </c>
      <c r="AK653">
        <v>24</v>
      </c>
      <c r="AL653" t="s">
        <v>1291</v>
      </c>
      <c r="AM653" t="s">
        <v>629</v>
      </c>
      <c r="AN653" t="s">
        <v>1292</v>
      </c>
      <c r="AO653" t="s">
        <v>1392</v>
      </c>
      <c r="AP653" t="s">
        <v>1393</v>
      </c>
      <c r="AQ653" t="s">
        <v>74</v>
      </c>
      <c r="AR653" t="s">
        <v>1394</v>
      </c>
      <c r="AS653" t="s">
        <v>1395</v>
      </c>
      <c r="AT653" t="s">
        <v>12324</v>
      </c>
      <c r="AU653">
        <v>2020</v>
      </c>
      <c r="AV653">
        <v>125</v>
      </c>
      <c r="AW653">
        <v>23</v>
      </c>
      <c r="AX653" t="s">
        <v>74</v>
      </c>
      <c r="AY653" t="s">
        <v>74</v>
      </c>
      <c r="AZ653" t="s">
        <v>74</v>
      </c>
      <c r="BA653" t="s">
        <v>74</v>
      </c>
      <c r="BB653" t="s">
        <v>74</v>
      </c>
      <c r="BC653" t="s">
        <v>74</v>
      </c>
      <c r="BD653" t="s">
        <v>12396</v>
      </c>
      <c r="BE653" t="s">
        <v>12397</v>
      </c>
      <c r="BF653" t="str">
        <f>HYPERLINK("http://dx.doi.org/10.1029/2020JD033818","http://dx.doi.org/10.1029/2020JD033818")</f>
        <v>http://dx.doi.org/10.1029/2020JD033818</v>
      </c>
      <c r="BG653" t="s">
        <v>74</v>
      </c>
      <c r="BH653" t="s">
        <v>74</v>
      </c>
      <c r="BI653">
        <v>22</v>
      </c>
      <c r="BJ653" t="s">
        <v>687</v>
      </c>
      <c r="BK653" t="s">
        <v>103</v>
      </c>
      <c r="BL653" t="s">
        <v>687</v>
      </c>
      <c r="BM653" t="s">
        <v>12363</v>
      </c>
      <c r="BN653" t="s">
        <v>74</v>
      </c>
      <c r="BO653" t="s">
        <v>759</v>
      </c>
      <c r="BP653" t="s">
        <v>74</v>
      </c>
      <c r="BQ653" t="s">
        <v>74</v>
      </c>
      <c r="BR653" t="s">
        <v>106</v>
      </c>
      <c r="BS653" t="s">
        <v>12398</v>
      </c>
      <c r="BT653" t="str">
        <f>HYPERLINK("https%3A%2F%2Fwww.webofscience.com%2Fwos%2Fwoscc%2Ffull-record%2FWOS:000599939900007","View Full Record in Web of Science")</f>
        <v>View Full Record in Web of Science</v>
      </c>
    </row>
    <row r="654" spans="1:72" x14ac:dyDescent="0.15">
      <c r="A654" t="s">
        <v>72</v>
      </c>
      <c r="B654" t="s">
        <v>12399</v>
      </c>
      <c r="C654" t="s">
        <v>74</v>
      </c>
      <c r="D654" t="s">
        <v>74</v>
      </c>
      <c r="E654" t="s">
        <v>74</v>
      </c>
      <c r="F654" t="s">
        <v>12400</v>
      </c>
      <c r="G654" t="s">
        <v>74</v>
      </c>
      <c r="H654" t="s">
        <v>74</v>
      </c>
      <c r="I654" t="s">
        <v>12401</v>
      </c>
      <c r="J654" t="s">
        <v>3602</v>
      </c>
      <c r="K654" t="s">
        <v>74</v>
      </c>
      <c r="L654" t="s">
        <v>74</v>
      </c>
      <c r="M654" t="s">
        <v>78</v>
      </c>
      <c r="N654" t="s">
        <v>79</v>
      </c>
      <c r="O654" t="s">
        <v>74</v>
      </c>
      <c r="P654" t="s">
        <v>74</v>
      </c>
      <c r="Q654" t="s">
        <v>74</v>
      </c>
      <c r="R654" t="s">
        <v>74</v>
      </c>
      <c r="S654" t="s">
        <v>74</v>
      </c>
      <c r="T654" t="s">
        <v>74</v>
      </c>
      <c r="U654" t="s">
        <v>12402</v>
      </c>
      <c r="V654" t="s">
        <v>12403</v>
      </c>
      <c r="W654" t="s">
        <v>12404</v>
      </c>
      <c r="X654" t="s">
        <v>12405</v>
      </c>
      <c r="Y654" t="s">
        <v>12406</v>
      </c>
      <c r="Z654" t="s">
        <v>12407</v>
      </c>
      <c r="AA654" t="s">
        <v>74</v>
      </c>
      <c r="AB654" t="s">
        <v>12408</v>
      </c>
      <c r="AC654" t="s">
        <v>74</v>
      </c>
      <c r="AD654" t="s">
        <v>74</v>
      </c>
      <c r="AE654" t="s">
        <v>74</v>
      </c>
      <c r="AF654" t="s">
        <v>74</v>
      </c>
      <c r="AG654">
        <v>48</v>
      </c>
      <c r="AH654">
        <v>4</v>
      </c>
      <c r="AI654">
        <v>4</v>
      </c>
      <c r="AJ654">
        <v>0</v>
      </c>
      <c r="AK654">
        <v>3</v>
      </c>
      <c r="AL654" t="s">
        <v>123</v>
      </c>
      <c r="AM654" t="s">
        <v>124</v>
      </c>
      <c r="AN654" t="s">
        <v>125</v>
      </c>
      <c r="AO654" t="s">
        <v>3614</v>
      </c>
      <c r="AP654" t="s">
        <v>3615</v>
      </c>
      <c r="AQ654" t="s">
        <v>74</v>
      </c>
      <c r="AR654" t="s">
        <v>3616</v>
      </c>
      <c r="AS654" t="s">
        <v>3617</v>
      </c>
      <c r="AT654" t="s">
        <v>12324</v>
      </c>
      <c r="AU654">
        <v>2020</v>
      </c>
      <c r="AV654">
        <v>13</v>
      </c>
      <c r="AW654">
        <v>12</v>
      </c>
      <c r="AX654" t="s">
        <v>74</v>
      </c>
      <c r="AY654" t="s">
        <v>74</v>
      </c>
      <c r="AZ654" t="s">
        <v>74</v>
      </c>
      <c r="BA654" t="s">
        <v>74</v>
      </c>
      <c r="BB654">
        <v>6813</v>
      </c>
      <c r="BC654">
        <v>6835</v>
      </c>
      <c r="BD654" t="s">
        <v>74</v>
      </c>
      <c r="BE654" t="s">
        <v>12409</v>
      </c>
      <c r="BF654" t="str">
        <f>HYPERLINK("http://dx.doi.org/10.5194/amt-13-6813-2020","http://dx.doi.org/10.5194/amt-13-6813-2020")</f>
        <v>http://dx.doi.org/10.5194/amt-13-6813-2020</v>
      </c>
      <c r="BG654" t="s">
        <v>74</v>
      </c>
      <c r="BH654" t="s">
        <v>74</v>
      </c>
      <c r="BI654">
        <v>23</v>
      </c>
      <c r="BJ654" t="s">
        <v>687</v>
      </c>
      <c r="BK654" t="s">
        <v>103</v>
      </c>
      <c r="BL654" t="s">
        <v>687</v>
      </c>
      <c r="BM654" t="s">
        <v>12410</v>
      </c>
      <c r="BN654" t="s">
        <v>74</v>
      </c>
      <c r="BO654" t="s">
        <v>917</v>
      </c>
      <c r="BP654" t="s">
        <v>74</v>
      </c>
      <c r="BQ654" t="s">
        <v>74</v>
      </c>
      <c r="BR654" t="s">
        <v>106</v>
      </c>
      <c r="BS654" t="s">
        <v>12411</v>
      </c>
      <c r="BT654" t="str">
        <f>HYPERLINK("https%3A%2F%2Fwww.webofscience.com%2Fwos%2Fwoscc%2Ffull-record%2FWOS:000600076600002","View Full Record in Web of Science")</f>
        <v>View Full Record in Web of Science</v>
      </c>
    </row>
    <row r="655" spans="1:72" x14ac:dyDescent="0.15">
      <c r="A655" t="s">
        <v>72</v>
      </c>
      <c r="B655" t="s">
        <v>12412</v>
      </c>
      <c r="C655" t="s">
        <v>74</v>
      </c>
      <c r="D655" t="s">
        <v>74</v>
      </c>
      <c r="E655" t="s">
        <v>74</v>
      </c>
      <c r="F655" t="s">
        <v>12413</v>
      </c>
      <c r="G655" t="s">
        <v>74</v>
      </c>
      <c r="H655" t="s">
        <v>74</v>
      </c>
      <c r="I655" t="s">
        <v>12414</v>
      </c>
      <c r="J655" t="s">
        <v>12415</v>
      </c>
      <c r="K655" t="s">
        <v>74</v>
      </c>
      <c r="L655" t="s">
        <v>74</v>
      </c>
      <c r="M655" t="s">
        <v>78</v>
      </c>
      <c r="N655" t="s">
        <v>79</v>
      </c>
      <c r="O655" t="s">
        <v>74</v>
      </c>
      <c r="P655" t="s">
        <v>74</v>
      </c>
      <c r="Q655" t="s">
        <v>74</v>
      </c>
      <c r="R655" t="s">
        <v>74</v>
      </c>
      <c r="S655" t="s">
        <v>74</v>
      </c>
      <c r="T655" t="s">
        <v>74</v>
      </c>
      <c r="U655" t="s">
        <v>12416</v>
      </c>
      <c r="V655" t="s">
        <v>12417</v>
      </c>
      <c r="W655" t="s">
        <v>12418</v>
      </c>
      <c r="X655" t="s">
        <v>12419</v>
      </c>
      <c r="Y655" t="s">
        <v>12420</v>
      </c>
      <c r="Z655" t="s">
        <v>12421</v>
      </c>
      <c r="AA655" t="s">
        <v>12422</v>
      </c>
      <c r="AB655" t="s">
        <v>12423</v>
      </c>
      <c r="AC655" t="s">
        <v>12424</v>
      </c>
      <c r="AD655" t="s">
        <v>12425</v>
      </c>
      <c r="AE655" t="s">
        <v>12426</v>
      </c>
      <c r="AF655" t="s">
        <v>74</v>
      </c>
      <c r="AG655">
        <v>126</v>
      </c>
      <c r="AH655">
        <v>4</v>
      </c>
      <c r="AI655">
        <v>4</v>
      </c>
      <c r="AJ655">
        <v>0</v>
      </c>
      <c r="AK655">
        <v>14</v>
      </c>
      <c r="AL655" t="s">
        <v>123</v>
      </c>
      <c r="AM655" t="s">
        <v>124</v>
      </c>
      <c r="AN655" t="s">
        <v>125</v>
      </c>
      <c r="AO655" t="s">
        <v>12427</v>
      </c>
      <c r="AP655" t="s">
        <v>12428</v>
      </c>
      <c r="AQ655" t="s">
        <v>74</v>
      </c>
      <c r="AR655" t="s">
        <v>12429</v>
      </c>
      <c r="AS655" t="s">
        <v>12430</v>
      </c>
      <c r="AT655" t="s">
        <v>12324</v>
      </c>
      <c r="AU655">
        <v>2020</v>
      </c>
      <c r="AV655">
        <v>11</v>
      </c>
      <c r="AW655">
        <v>4</v>
      </c>
      <c r="AX655" t="s">
        <v>74</v>
      </c>
      <c r="AY655" t="s">
        <v>74</v>
      </c>
      <c r="AZ655" t="s">
        <v>74</v>
      </c>
      <c r="BA655" t="s">
        <v>74</v>
      </c>
      <c r="BB655">
        <v>1153</v>
      </c>
      <c r="BC655">
        <v>1194</v>
      </c>
      <c r="BD655" t="s">
        <v>74</v>
      </c>
      <c r="BE655" t="s">
        <v>12431</v>
      </c>
      <c r="BF655" t="str">
        <f>HYPERLINK("http://dx.doi.org/10.5194/esd-11-1153-2020","http://dx.doi.org/10.5194/esd-11-1153-2020")</f>
        <v>http://dx.doi.org/10.5194/esd-11-1153-2020</v>
      </c>
      <c r="BG655" t="s">
        <v>74</v>
      </c>
      <c r="BH655" t="s">
        <v>74</v>
      </c>
      <c r="BI655">
        <v>42</v>
      </c>
      <c r="BJ655" t="s">
        <v>401</v>
      </c>
      <c r="BK655" t="s">
        <v>103</v>
      </c>
      <c r="BL655" t="s">
        <v>402</v>
      </c>
      <c r="BM655" t="s">
        <v>12432</v>
      </c>
      <c r="BN655" t="s">
        <v>74</v>
      </c>
      <c r="BO655" t="s">
        <v>2511</v>
      </c>
      <c r="BP655" t="s">
        <v>74</v>
      </c>
      <c r="BQ655" t="s">
        <v>74</v>
      </c>
      <c r="BR655" t="s">
        <v>106</v>
      </c>
      <c r="BS655" t="s">
        <v>12433</v>
      </c>
      <c r="BT655" t="str">
        <f>HYPERLINK("https%3A%2F%2Fwww.webofscience.com%2Fwos%2Fwoscc%2Ffull-record%2FWOS:000600076900001","View Full Record in Web of Science")</f>
        <v>View Full Record in Web of Science</v>
      </c>
    </row>
    <row r="656" spans="1:72" x14ac:dyDescent="0.15">
      <c r="A656" t="s">
        <v>72</v>
      </c>
      <c r="B656" t="s">
        <v>12434</v>
      </c>
      <c r="C656" t="s">
        <v>74</v>
      </c>
      <c r="D656" t="s">
        <v>74</v>
      </c>
      <c r="E656" t="s">
        <v>74</v>
      </c>
      <c r="F656" t="s">
        <v>12435</v>
      </c>
      <c r="G656" t="s">
        <v>74</v>
      </c>
      <c r="H656" t="s">
        <v>74</v>
      </c>
      <c r="I656" t="s">
        <v>12436</v>
      </c>
      <c r="J656" t="s">
        <v>11292</v>
      </c>
      <c r="K656" t="s">
        <v>74</v>
      </c>
      <c r="L656" t="s">
        <v>74</v>
      </c>
      <c r="M656" t="s">
        <v>78</v>
      </c>
      <c r="N656" t="s">
        <v>79</v>
      </c>
      <c r="O656" t="s">
        <v>74</v>
      </c>
      <c r="P656" t="s">
        <v>74</v>
      </c>
      <c r="Q656" t="s">
        <v>74</v>
      </c>
      <c r="R656" t="s">
        <v>74</v>
      </c>
      <c r="S656" t="s">
        <v>74</v>
      </c>
      <c r="T656" t="s">
        <v>12437</v>
      </c>
      <c r="U656" t="s">
        <v>12438</v>
      </c>
      <c r="V656" t="s">
        <v>12439</v>
      </c>
      <c r="W656" t="s">
        <v>12440</v>
      </c>
      <c r="X656" t="s">
        <v>12441</v>
      </c>
      <c r="Y656" t="s">
        <v>12442</v>
      </c>
      <c r="Z656" t="s">
        <v>12443</v>
      </c>
      <c r="AA656" t="s">
        <v>12444</v>
      </c>
      <c r="AB656" t="s">
        <v>12445</v>
      </c>
      <c r="AC656" t="s">
        <v>74</v>
      </c>
      <c r="AD656" t="s">
        <v>74</v>
      </c>
      <c r="AE656" t="s">
        <v>74</v>
      </c>
      <c r="AF656" t="s">
        <v>74</v>
      </c>
      <c r="AG656">
        <v>101</v>
      </c>
      <c r="AH656">
        <v>8</v>
      </c>
      <c r="AI656">
        <v>8</v>
      </c>
      <c r="AJ656">
        <v>2</v>
      </c>
      <c r="AK656">
        <v>7</v>
      </c>
      <c r="AL656" t="s">
        <v>552</v>
      </c>
      <c r="AM656" t="s">
        <v>553</v>
      </c>
      <c r="AN656" t="s">
        <v>554</v>
      </c>
      <c r="AO656" t="s">
        <v>11305</v>
      </c>
      <c r="AP656" t="s">
        <v>74</v>
      </c>
      <c r="AQ656" t="s">
        <v>74</v>
      </c>
      <c r="AR656" t="s">
        <v>11306</v>
      </c>
      <c r="AS656" t="s">
        <v>11307</v>
      </c>
      <c r="AT656" t="s">
        <v>374</v>
      </c>
      <c r="AU656">
        <v>2021</v>
      </c>
      <c r="AV656">
        <v>11</v>
      </c>
      <c r="AW656">
        <v>1</v>
      </c>
      <c r="AX656" t="s">
        <v>74</v>
      </c>
      <c r="AY656" t="s">
        <v>74</v>
      </c>
      <c r="AZ656" t="s">
        <v>74</v>
      </c>
      <c r="BA656" t="s">
        <v>74</v>
      </c>
      <c r="BB656">
        <v>648</v>
      </c>
      <c r="BC656">
        <v>663</v>
      </c>
      <c r="BD656" t="s">
        <v>74</v>
      </c>
      <c r="BE656" t="s">
        <v>12446</v>
      </c>
      <c r="BF656" t="str">
        <f>HYPERLINK("http://dx.doi.org/10.1002/ece3.7095","http://dx.doi.org/10.1002/ece3.7095")</f>
        <v>http://dx.doi.org/10.1002/ece3.7095</v>
      </c>
      <c r="BG656" t="s">
        <v>74</v>
      </c>
      <c r="BH656" t="s">
        <v>11309</v>
      </c>
      <c r="BI656">
        <v>16</v>
      </c>
      <c r="BJ656" t="s">
        <v>11310</v>
      </c>
      <c r="BK656" t="s">
        <v>103</v>
      </c>
      <c r="BL656" t="s">
        <v>5971</v>
      </c>
      <c r="BM656" t="s">
        <v>12447</v>
      </c>
      <c r="BN656">
        <v>33437458</v>
      </c>
      <c r="BO656" t="s">
        <v>1105</v>
      </c>
      <c r="BP656" t="s">
        <v>74</v>
      </c>
      <c r="BQ656" t="s">
        <v>74</v>
      </c>
      <c r="BR656" t="s">
        <v>106</v>
      </c>
      <c r="BS656" t="s">
        <v>12448</v>
      </c>
      <c r="BT656" t="str">
        <f>HYPERLINK("https%3A%2F%2Fwww.webofscience.com%2Fwos%2Fwoscc%2Ffull-record%2FWOS:000598913100001","View Full Record in Web of Science")</f>
        <v>View Full Record in Web of Science</v>
      </c>
    </row>
    <row r="657" spans="1:72" x14ac:dyDescent="0.15">
      <c r="A657" t="s">
        <v>72</v>
      </c>
      <c r="B657" t="s">
        <v>12449</v>
      </c>
      <c r="C657" t="s">
        <v>74</v>
      </c>
      <c r="D657" t="s">
        <v>74</v>
      </c>
      <c r="E657" t="s">
        <v>74</v>
      </c>
      <c r="F657" t="s">
        <v>12450</v>
      </c>
      <c r="G657" t="s">
        <v>74</v>
      </c>
      <c r="H657" t="s">
        <v>74</v>
      </c>
      <c r="I657" t="s">
        <v>12451</v>
      </c>
      <c r="J657" t="s">
        <v>12075</v>
      </c>
      <c r="K657" t="s">
        <v>74</v>
      </c>
      <c r="L657" t="s">
        <v>74</v>
      </c>
      <c r="M657" t="s">
        <v>78</v>
      </c>
      <c r="N657" t="s">
        <v>79</v>
      </c>
      <c r="O657" t="s">
        <v>74</v>
      </c>
      <c r="P657" t="s">
        <v>74</v>
      </c>
      <c r="Q657" t="s">
        <v>74</v>
      </c>
      <c r="R657" t="s">
        <v>74</v>
      </c>
      <c r="S657" t="s">
        <v>74</v>
      </c>
      <c r="T657" t="s">
        <v>12452</v>
      </c>
      <c r="U657" t="s">
        <v>74</v>
      </c>
      <c r="V657" t="s">
        <v>12453</v>
      </c>
      <c r="W657" t="s">
        <v>12454</v>
      </c>
      <c r="X657" t="s">
        <v>10816</v>
      </c>
      <c r="Y657" t="s">
        <v>12455</v>
      </c>
      <c r="Z657" t="s">
        <v>12456</v>
      </c>
      <c r="AA657" t="s">
        <v>74</v>
      </c>
      <c r="AB657" t="s">
        <v>74</v>
      </c>
      <c r="AC657" t="s">
        <v>12457</v>
      </c>
      <c r="AD657" t="s">
        <v>12458</v>
      </c>
      <c r="AE657" t="s">
        <v>12459</v>
      </c>
      <c r="AF657" t="s">
        <v>74</v>
      </c>
      <c r="AG657">
        <v>26</v>
      </c>
      <c r="AH657">
        <v>1</v>
      </c>
      <c r="AI657">
        <v>1</v>
      </c>
      <c r="AJ657">
        <v>2</v>
      </c>
      <c r="AK657">
        <v>8</v>
      </c>
      <c r="AL657" t="s">
        <v>552</v>
      </c>
      <c r="AM657" t="s">
        <v>553</v>
      </c>
      <c r="AN657" t="s">
        <v>554</v>
      </c>
      <c r="AO657" t="s">
        <v>12086</v>
      </c>
      <c r="AP657" t="s">
        <v>12087</v>
      </c>
      <c r="AQ657" t="s">
        <v>74</v>
      </c>
      <c r="AR657" t="s">
        <v>12088</v>
      </c>
      <c r="AS657" t="s">
        <v>12089</v>
      </c>
      <c r="AT657" t="s">
        <v>347</v>
      </c>
      <c r="AU657">
        <v>2023</v>
      </c>
      <c r="AV657">
        <v>189</v>
      </c>
      <c r="AW657">
        <v>1</v>
      </c>
      <c r="AX657" t="s">
        <v>74</v>
      </c>
      <c r="AY657" t="s">
        <v>74</v>
      </c>
      <c r="AZ657" t="s">
        <v>74</v>
      </c>
      <c r="BA657" t="s">
        <v>74</v>
      </c>
      <c r="BB657">
        <v>7</v>
      </c>
      <c r="BC657">
        <v>17</v>
      </c>
      <c r="BD657" t="s">
        <v>74</v>
      </c>
      <c r="BE657" t="s">
        <v>12460</v>
      </c>
      <c r="BF657" t="str">
        <f>HYPERLINK("http://dx.doi.org/10.1111/geoj.12369","http://dx.doi.org/10.1111/geoj.12369")</f>
        <v>http://dx.doi.org/10.1111/geoj.12369</v>
      </c>
      <c r="BG657" t="s">
        <v>74</v>
      </c>
      <c r="BH657" t="s">
        <v>11309</v>
      </c>
      <c r="BI657">
        <v>11</v>
      </c>
      <c r="BJ657" t="s">
        <v>12091</v>
      </c>
      <c r="BK657" t="s">
        <v>2733</v>
      </c>
      <c r="BL657" t="s">
        <v>12091</v>
      </c>
      <c r="BM657" t="s">
        <v>12092</v>
      </c>
      <c r="BN657" t="s">
        <v>74</v>
      </c>
      <c r="BO657" t="s">
        <v>74</v>
      </c>
      <c r="BP657" t="s">
        <v>74</v>
      </c>
      <c r="BQ657" t="s">
        <v>74</v>
      </c>
      <c r="BR657" t="s">
        <v>106</v>
      </c>
      <c r="BS657" t="s">
        <v>12461</v>
      </c>
      <c r="BT657" t="str">
        <f>HYPERLINK("https%3A%2F%2Fwww.webofscience.com%2Fwos%2Fwoscc%2Ffull-record%2FWOS:000599071600001","View Full Record in Web of Science")</f>
        <v>View Full Record in Web of Science</v>
      </c>
    </row>
    <row r="658" spans="1:72" x14ac:dyDescent="0.15">
      <c r="A658" t="s">
        <v>72</v>
      </c>
      <c r="B658" t="s">
        <v>12462</v>
      </c>
      <c r="C658" t="s">
        <v>74</v>
      </c>
      <c r="D658" t="s">
        <v>74</v>
      </c>
      <c r="E658" t="s">
        <v>74</v>
      </c>
      <c r="F658" t="s">
        <v>12463</v>
      </c>
      <c r="G658" t="s">
        <v>74</v>
      </c>
      <c r="H658" t="s">
        <v>74</v>
      </c>
      <c r="I658" t="s">
        <v>12464</v>
      </c>
      <c r="J658" t="s">
        <v>12465</v>
      </c>
      <c r="K658" t="s">
        <v>74</v>
      </c>
      <c r="L658" t="s">
        <v>74</v>
      </c>
      <c r="M658" t="s">
        <v>78</v>
      </c>
      <c r="N658" t="s">
        <v>79</v>
      </c>
      <c r="O658" t="s">
        <v>74</v>
      </c>
      <c r="P658" t="s">
        <v>74</v>
      </c>
      <c r="Q658" t="s">
        <v>74</v>
      </c>
      <c r="R658" t="s">
        <v>74</v>
      </c>
      <c r="S658" t="s">
        <v>74</v>
      </c>
      <c r="T658" t="s">
        <v>74</v>
      </c>
      <c r="U658" t="s">
        <v>12466</v>
      </c>
      <c r="V658" t="s">
        <v>12467</v>
      </c>
      <c r="W658" t="s">
        <v>12468</v>
      </c>
      <c r="X658" t="s">
        <v>12469</v>
      </c>
      <c r="Y658" t="s">
        <v>12470</v>
      </c>
      <c r="Z658" t="s">
        <v>12471</v>
      </c>
      <c r="AA658" t="s">
        <v>12472</v>
      </c>
      <c r="AB658" t="s">
        <v>12473</v>
      </c>
      <c r="AC658" t="s">
        <v>12474</v>
      </c>
      <c r="AD658" t="s">
        <v>12475</v>
      </c>
      <c r="AE658" t="s">
        <v>12476</v>
      </c>
      <c r="AF658" t="s">
        <v>74</v>
      </c>
      <c r="AG658">
        <v>74</v>
      </c>
      <c r="AH658">
        <v>24</v>
      </c>
      <c r="AI658">
        <v>25</v>
      </c>
      <c r="AJ658">
        <v>1</v>
      </c>
      <c r="AK658">
        <v>20</v>
      </c>
      <c r="AL658" t="s">
        <v>552</v>
      </c>
      <c r="AM658" t="s">
        <v>553</v>
      </c>
      <c r="AN658" t="s">
        <v>554</v>
      </c>
      <c r="AO658" t="s">
        <v>12477</v>
      </c>
      <c r="AP658" t="s">
        <v>12478</v>
      </c>
      <c r="AQ658" t="s">
        <v>74</v>
      </c>
      <c r="AR658" t="s">
        <v>12479</v>
      </c>
      <c r="AS658" t="s">
        <v>12480</v>
      </c>
      <c r="AT658" t="s">
        <v>685</v>
      </c>
      <c r="AU658">
        <v>2020</v>
      </c>
      <c r="AV658">
        <v>55</v>
      </c>
      <c r="AW658">
        <v>11</v>
      </c>
      <c r="AX658" t="s">
        <v>74</v>
      </c>
      <c r="AY658" t="s">
        <v>74</v>
      </c>
      <c r="AZ658" t="s">
        <v>74</v>
      </c>
      <c r="BA658" t="s">
        <v>74</v>
      </c>
      <c r="BB658">
        <v>2422</v>
      </c>
      <c r="BC658">
        <v>2439</v>
      </c>
      <c r="BD658" t="s">
        <v>74</v>
      </c>
      <c r="BE658" t="s">
        <v>12481</v>
      </c>
      <c r="BF658" t="str">
        <f>HYPERLINK("http://dx.doi.org/10.1111/maps.13586","http://dx.doi.org/10.1111/maps.13586")</f>
        <v>http://dx.doi.org/10.1111/maps.13586</v>
      </c>
      <c r="BG658" t="s">
        <v>74</v>
      </c>
      <c r="BH658" t="s">
        <v>11309</v>
      </c>
      <c r="BI658">
        <v>18</v>
      </c>
      <c r="BJ658" t="s">
        <v>426</v>
      </c>
      <c r="BK658" t="s">
        <v>103</v>
      </c>
      <c r="BL658" t="s">
        <v>426</v>
      </c>
      <c r="BM658" t="s">
        <v>12482</v>
      </c>
      <c r="BN658">
        <v>33536738</v>
      </c>
      <c r="BO658" t="s">
        <v>1708</v>
      </c>
      <c r="BP658" t="s">
        <v>74</v>
      </c>
      <c r="BQ658" t="s">
        <v>74</v>
      </c>
      <c r="BR658" t="s">
        <v>106</v>
      </c>
      <c r="BS658" t="s">
        <v>12483</v>
      </c>
      <c r="BT658" t="str">
        <f>HYPERLINK("https%3A%2F%2Fwww.webofscience.com%2Fwos%2Fwoscc%2Ffull-record%2FWOS:000599191500001","View Full Record in Web of Science")</f>
        <v>View Full Record in Web of Science</v>
      </c>
    </row>
    <row r="659" spans="1:72" x14ac:dyDescent="0.15">
      <c r="A659" t="s">
        <v>72</v>
      </c>
      <c r="B659" t="s">
        <v>12484</v>
      </c>
      <c r="C659" t="s">
        <v>74</v>
      </c>
      <c r="D659" t="s">
        <v>74</v>
      </c>
      <c r="E659" t="s">
        <v>74</v>
      </c>
      <c r="F659" t="s">
        <v>12485</v>
      </c>
      <c r="G659" t="s">
        <v>74</v>
      </c>
      <c r="H659" t="s">
        <v>74</v>
      </c>
      <c r="I659" t="s">
        <v>12486</v>
      </c>
      <c r="J659" t="s">
        <v>8574</v>
      </c>
      <c r="K659" t="s">
        <v>74</v>
      </c>
      <c r="L659" t="s">
        <v>74</v>
      </c>
      <c r="M659" t="s">
        <v>78</v>
      </c>
      <c r="N659" t="s">
        <v>79</v>
      </c>
      <c r="O659" t="s">
        <v>74</v>
      </c>
      <c r="P659" t="s">
        <v>74</v>
      </c>
      <c r="Q659" t="s">
        <v>74</v>
      </c>
      <c r="R659" t="s">
        <v>74</v>
      </c>
      <c r="S659" t="s">
        <v>74</v>
      </c>
      <c r="T659" t="s">
        <v>12487</v>
      </c>
      <c r="U659" t="s">
        <v>74</v>
      </c>
      <c r="V659" t="s">
        <v>12488</v>
      </c>
      <c r="W659" t="s">
        <v>12489</v>
      </c>
      <c r="X659" t="s">
        <v>12490</v>
      </c>
      <c r="Y659" t="s">
        <v>12491</v>
      </c>
      <c r="Z659" t="s">
        <v>12492</v>
      </c>
      <c r="AA659" t="s">
        <v>74</v>
      </c>
      <c r="AB659" t="s">
        <v>12493</v>
      </c>
      <c r="AC659" t="s">
        <v>12494</v>
      </c>
      <c r="AD659" t="s">
        <v>12495</v>
      </c>
      <c r="AE659" t="s">
        <v>12496</v>
      </c>
      <c r="AF659" t="s">
        <v>74</v>
      </c>
      <c r="AG659">
        <v>69</v>
      </c>
      <c r="AH659">
        <v>10</v>
      </c>
      <c r="AI659">
        <v>10</v>
      </c>
      <c r="AJ659">
        <v>0</v>
      </c>
      <c r="AK659">
        <v>10</v>
      </c>
      <c r="AL659" t="s">
        <v>7290</v>
      </c>
      <c r="AM659" t="s">
        <v>7291</v>
      </c>
      <c r="AN659" t="s">
        <v>7292</v>
      </c>
      <c r="AO659" t="s">
        <v>8587</v>
      </c>
      <c r="AP659" t="s">
        <v>8588</v>
      </c>
      <c r="AQ659" t="s">
        <v>74</v>
      </c>
      <c r="AR659" t="s">
        <v>8589</v>
      </c>
      <c r="AS659" t="s">
        <v>8590</v>
      </c>
      <c r="AT659" t="s">
        <v>12497</v>
      </c>
      <c r="AU659">
        <v>2020</v>
      </c>
      <c r="AV659">
        <v>33</v>
      </c>
      <c r="AW659">
        <v>24</v>
      </c>
      <c r="AX659" t="s">
        <v>74</v>
      </c>
      <c r="AY659" t="s">
        <v>74</v>
      </c>
      <c r="AZ659" t="s">
        <v>74</v>
      </c>
      <c r="BA659" t="s">
        <v>74</v>
      </c>
      <c r="BB659">
        <v>10505</v>
      </c>
      <c r="BC659">
        <v>10522</v>
      </c>
      <c r="BD659" t="s">
        <v>74</v>
      </c>
      <c r="BE659" t="s">
        <v>12498</v>
      </c>
      <c r="BF659" t="str">
        <f>HYPERLINK("http://dx.doi.org/10.1175/JCLI-D-20-0153.1","http://dx.doi.org/10.1175/JCLI-D-20-0153.1")</f>
        <v>http://dx.doi.org/10.1175/JCLI-D-20-0153.1</v>
      </c>
      <c r="BG659" t="s">
        <v>74</v>
      </c>
      <c r="BH659" t="s">
        <v>74</v>
      </c>
      <c r="BI659">
        <v>18</v>
      </c>
      <c r="BJ659" t="s">
        <v>687</v>
      </c>
      <c r="BK659" t="s">
        <v>103</v>
      </c>
      <c r="BL659" t="s">
        <v>687</v>
      </c>
      <c r="BM659" t="s">
        <v>12499</v>
      </c>
      <c r="BN659" t="s">
        <v>74</v>
      </c>
      <c r="BO659" t="s">
        <v>1195</v>
      </c>
      <c r="BP659" t="s">
        <v>74</v>
      </c>
      <c r="BQ659" t="s">
        <v>74</v>
      </c>
      <c r="BR659" t="s">
        <v>106</v>
      </c>
      <c r="BS659" t="s">
        <v>12500</v>
      </c>
      <c r="BT659" t="str">
        <f>HYPERLINK("https%3A%2F%2Fwww.webofscience.com%2Fwos%2Fwoscc%2Ffull-record%2FWOS:000615175200008","View Full Record in Web of Science")</f>
        <v>View Full Record in Web of Science</v>
      </c>
    </row>
    <row r="660" spans="1:72" x14ac:dyDescent="0.15">
      <c r="A660" t="s">
        <v>72</v>
      </c>
      <c r="B660" t="s">
        <v>12501</v>
      </c>
      <c r="C660" t="s">
        <v>74</v>
      </c>
      <c r="D660" t="s">
        <v>74</v>
      </c>
      <c r="E660" t="s">
        <v>74</v>
      </c>
      <c r="F660" t="s">
        <v>12502</v>
      </c>
      <c r="G660" t="s">
        <v>74</v>
      </c>
      <c r="H660" t="s">
        <v>74</v>
      </c>
      <c r="I660" t="s">
        <v>12503</v>
      </c>
      <c r="J660" t="s">
        <v>8574</v>
      </c>
      <c r="K660" t="s">
        <v>74</v>
      </c>
      <c r="L660" t="s">
        <v>74</v>
      </c>
      <c r="M660" t="s">
        <v>78</v>
      </c>
      <c r="N660" t="s">
        <v>79</v>
      </c>
      <c r="O660" t="s">
        <v>74</v>
      </c>
      <c r="P660" t="s">
        <v>74</v>
      </c>
      <c r="Q660" t="s">
        <v>74</v>
      </c>
      <c r="R660" t="s">
        <v>74</v>
      </c>
      <c r="S660" t="s">
        <v>74</v>
      </c>
      <c r="T660" t="s">
        <v>12504</v>
      </c>
      <c r="U660" t="s">
        <v>12505</v>
      </c>
      <c r="V660" t="s">
        <v>12506</v>
      </c>
      <c r="W660" t="s">
        <v>12507</v>
      </c>
      <c r="X660" t="s">
        <v>12508</v>
      </c>
      <c r="Y660" t="s">
        <v>12509</v>
      </c>
      <c r="Z660" t="s">
        <v>12510</v>
      </c>
      <c r="AA660" t="s">
        <v>12511</v>
      </c>
      <c r="AB660" t="s">
        <v>12512</v>
      </c>
      <c r="AC660" t="s">
        <v>12513</v>
      </c>
      <c r="AD660" t="s">
        <v>12514</v>
      </c>
      <c r="AE660" t="s">
        <v>12515</v>
      </c>
      <c r="AF660" t="s">
        <v>74</v>
      </c>
      <c r="AG660">
        <v>103</v>
      </c>
      <c r="AH660">
        <v>12</v>
      </c>
      <c r="AI660">
        <v>12</v>
      </c>
      <c r="AJ660">
        <v>0</v>
      </c>
      <c r="AK660">
        <v>3</v>
      </c>
      <c r="AL660" t="s">
        <v>7290</v>
      </c>
      <c r="AM660" t="s">
        <v>7291</v>
      </c>
      <c r="AN660" t="s">
        <v>7436</v>
      </c>
      <c r="AO660" t="s">
        <v>8587</v>
      </c>
      <c r="AP660" t="s">
        <v>8588</v>
      </c>
      <c r="AQ660" t="s">
        <v>74</v>
      </c>
      <c r="AR660" t="s">
        <v>8589</v>
      </c>
      <c r="AS660" t="s">
        <v>8590</v>
      </c>
      <c r="AT660" t="s">
        <v>12497</v>
      </c>
      <c r="AU660">
        <v>2020</v>
      </c>
      <c r="AV660">
        <v>33</v>
      </c>
      <c r="AW660">
        <v>24</v>
      </c>
      <c r="AX660" t="s">
        <v>74</v>
      </c>
      <c r="AY660" t="s">
        <v>74</v>
      </c>
      <c r="AZ660" t="s">
        <v>74</v>
      </c>
      <c r="BA660" t="s">
        <v>74</v>
      </c>
      <c r="BB660">
        <v>10627</v>
      </c>
      <c r="BC660">
        <v>10651</v>
      </c>
      <c r="BD660" t="s">
        <v>74</v>
      </c>
      <c r="BE660" t="s">
        <v>12516</v>
      </c>
      <c r="BF660" t="str">
        <f>HYPERLINK("http://dx.doi.org/10.1175/JCLI-D-20-0044.1","http://dx.doi.org/10.1175/JCLI-D-20-0044.1")</f>
        <v>http://dx.doi.org/10.1175/JCLI-D-20-0044.1</v>
      </c>
      <c r="BG660" t="s">
        <v>74</v>
      </c>
      <c r="BH660" t="s">
        <v>74</v>
      </c>
      <c r="BI660">
        <v>25</v>
      </c>
      <c r="BJ660" t="s">
        <v>687</v>
      </c>
      <c r="BK660" t="s">
        <v>103</v>
      </c>
      <c r="BL660" t="s">
        <v>687</v>
      </c>
      <c r="BM660" t="s">
        <v>12499</v>
      </c>
      <c r="BN660" t="s">
        <v>74</v>
      </c>
      <c r="BO660" t="s">
        <v>74</v>
      </c>
      <c r="BP660" t="s">
        <v>74</v>
      </c>
      <c r="BQ660" t="s">
        <v>74</v>
      </c>
      <c r="BR660" t="s">
        <v>106</v>
      </c>
      <c r="BS660" t="s">
        <v>12517</v>
      </c>
      <c r="BT660" t="str">
        <f>HYPERLINK("https%3A%2F%2Fwww.webofscience.com%2Fwos%2Fwoscc%2Ffull-record%2FWOS:000615175200015","View Full Record in Web of Science")</f>
        <v>View Full Record in Web of Science</v>
      </c>
    </row>
    <row r="661" spans="1:72" x14ac:dyDescent="0.15">
      <c r="A661" t="s">
        <v>72</v>
      </c>
      <c r="B661" t="s">
        <v>12518</v>
      </c>
      <c r="C661" t="s">
        <v>74</v>
      </c>
      <c r="D661" t="s">
        <v>74</v>
      </c>
      <c r="E661" t="s">
        <v>74</v>
      </c>
      <c r="F661" t="s">
        <v>12519</v>
      </c>
      <c r="G661" t="s">
        <v>74</v>
      </c>
      <c r="H661" t="s">
        <v>12520</v>
      </c>
      <c r="I661" t="s">
        <v>12521</v>
      </c>
      <c r="J661" t="s">
        <v>963</v>
      </c>
      <c r="K661" t="s">
        <v>74</v>
      </c>
      <c r="L661" t="s">
        <v>74</v>
      </c>
      <c r="M661" t="s">
        <v>78</v>
      </c>
      <c r="N661" t="s">
        <v>79</v>
      </c>
      <c r="O661" t="s">
        <v>74</v>
      </c>
      <c r="P661" t="s">
        <v>74</v>
      </c>
      <c r="Q661" t="s">
        <v>74</v>
      </c>
      <c r="R661" t="s">
        <v>74</v>
      </c>
      <c r="S661" t="s">
        <v>74</v>
      </c>
      <c r="T661" t="s">
        <v>12522</v>
      </c>
      <c r="U661" t="s">
        <v>12523</v>
      </c>
      <c r="V661" t="s">
        <v>12524</v>
      </c>
      <c r="W661" t="s">
        <v>12525</v>
      </c>
      <c r="X661" t="s">
        <v>12526</v>
      </c>
      <c r="Y661" t="s">
        <v>12527</v>
      </c>
      <c r="Z661" t="s">
        <v>12528</v>
      </c>
      <c r="AA661" t="s">
        <v>12529</v>
      </c>
      <c r="AB661" t="s">
        <v>12530</v>
      </c>
      <c r="AC661" t="s">
        <v>12531</v>
      </c>
      <c r="AD661" t="s">
        <v>12532</v>
      </c>
      <c r="AE661" t="s">
        <v>12533</v>
      </c>
      <c r="AF661" t="s">
        <v>74</v>
      </c>
      <c r="AG661">
        <v>103</v>
      </c>
      <c r="AH661">
        <v>37</v>
      </c>
      <c r="AI661">
        <v>45</v>
      </c>
      <c r="AJ661">
        <v>5</v>
      </c>
      <c r="AK661">
        <v>48</v>
      </c>
      <c r="AL661" t="s">
        <v>976</v>
      </c>
      <c r="AM661" t="s">
        <v>629</v>
      </c>
      <c r="AN661" t="s">
        <v>977</v>
      </c>
      <c r="AO661" t="s">
        <v>978</v>
      </c>
      <c r="AP661" t="s">
        <v>74</v>
      </c>
      <c r="AQ661" t="s">
        <v>74</v>
      </c>
      <c r="AR661" t="s">
        <v>980</v>
      </c>
      <c r="AS661" t="s">
        <v>981</v>
      </c>
      <c r="AT661" t="s">
        <v>12497</v>
      </c>
      <c r="AU661">
        <v>2020</v>
      </c>
      <c r="AV661">
        <v>117</v>
      </c>
      <c r="AW661">
        <v>50</v>
      </c>
      <c r="AX661" t="s">
        <v>74</v>
      </c>
      <c r="AY661" t="s">
        <v>74</v>
      </c>
      <c r="AZ661" t="s">
        <v>74</v>
      </c>
      <c r="BA661" t="s">
        <v>74</v>
      </c>
      <c r="BB661">
        <v>31648</v>
      </c>
      <c r="BC661">
        <v>31659</v>
      </c>
      <c r="BD661" t="s">
        <v>74</v>
      </c>
      <c r="BE661" t="s">
        <v>12534</v>
      </c>
      <c r="BF661" t="str">
        <f>HYPERLINK("http://dx.doi.org/10.1073/pnas.2014378117","http://dx.doi.org/10.1073/pnas.2014378117")</f>
        <v>http://dx.doi.org/10.1073/pnas.2014378117</v>
      </c>
      <c r="BG661" t="s">
        <v>74</v>
      </c>
      <c r="BH661" t="s">
        <v>74</v>
      </c>
      <c r="BI661">
        <v>12</v>
      </c>
      <c r="BJ661" t="s">
        <v>534</v>
      </c>
      <c r="BK661" t="s">
        <v>103</v>
      </c>
      <c r="BL661" t="s">
        <v>535</v>
      </c>
      <c r="BM661" t="s">
        <v>12535</v>
      </c>
      <c r="BN661">
        <v>33229559</v>
      </c>
      <c r="BO661" t="s">
        <v>7538</v>
      </c>
      <c r="BP661" t="s">
        <v>74</v>
      </c>
      <c r="BQ661" t="s">
        <v>74</v>
      </c>
      <c r="BR661" t="s">
        <v>106</v>
      </c>
      <c r="BS661" t="s">
        <v>12536</v>
      </c>
      <c r="BT661" t="str">
        <f>HYPERLINK("https%3A%2F%2Fwww.webofscience.com%2Fwos%2Fwoscc%2Ffull-record%2FWOS:000600608300019","View Full Record in Web of Science")</f>
        <v>View Full Record in Web of Science</v>
      </c>
    </row>
    <row r="662" spans="1:72" x14ac:dyDescent="0.15">
      <c r="A662" t="s">
        <v>72</v>
      </c>
      <c r="B662" t="s">
        <v>12537</v>
      </c>
      <c r="C662" t="s">
        <v>74</v>
      </c>
      <c r="D662" t="s">
        <v>74</v>
      </c>
      <c r="E662" t="s">
        <v>74</v>
      </c>
      <c r="F662" t="s">
        <v>12538</v>
      </c>
      <c r="G662" t="s">
        <v>74</v>
      </c>
      <c r="H662" t="s">
        <v>74</v>
      </c>
      <c r="I662" t="s">
        <v>12539</v>
      </c>
      <c r="J662" t="s">
        <v>6438</v>
      </c>
      <c r="K662" t="s">
        <v>74</v>
      </c>
      <c r="L662" t="s">
        <v>74</v>
      </c>
      <c r="M662" t="s">
        <v>78</v>
      </c>
      <c r="N662" t="s">
        <v>79</v>
      </c>
      <c r="O662" t="s">
        <v>74</v>
      </c>
      <c r="P662" t="s">
        <v>74</v>
      </c>
      <c r="Q662" t="s">
        <v>74</v>
      </c>
      <c r="R662" t="s">
        <v>74</v>
      </c>
      <c r="S662" t="s">
        <v>74</v>
      </c>
      <c r="T662" t="s">
        <v>74</v>
      </c>
      <c r="U662" t="s">
        <v>12540</v>
      </c>
      <c r="V662" t="s">
        <v>12541</v>
      </c>
      <c r="W662" t="s">
        <v>12542</v>
      </c>
      <c r="X662" t="s">
        <v>12543</v>
      </c>
      <c r="Y662" t="s">
        <v>12544</v>
      </c>
      <c r="Z662" t="s">
        <v>12545</v>
      </c>
      <c r="AA662" t="s">
        <v>74</v>
      </c>
      <c r="AB662" t="s">
        <v>12546</v>
      </c>
      <c r="AC662" t="s">
        <v>12547</v>
      </c>
      <c r="AD662" t="s">
        <v>12548</v>
      </c>
      <c r="AE662" t="s">
        <v>12549</v>
      </c>
      <c r="AF662" t="s">
        <v>74</v>
      </c>
      <c r="AG662">
        <v>92</v>
      </c>
      <c r="AH662">
        <v>5</v>
      </c>
      <c r="AI662">
        <v>5</v>
      </c>
      <c r="AJ662">
        <v>4</v>
      </c>
      <c r="AK662">
        <v>16</v>
      </c>
      <c r="AL662" t="s">
        <v>6450</v>
      </c>
      <c r="AM662" t="s">
        <v>6451</v>
      </c>
      <c r="AN662" t="s">
        <v>6452</v>
      </c>
      <c r="AO662" t="s">
        <v>6453</v>
      </c>
      <c r="AP662" t="s">
        <v>74</v>
      </c>
      <c r="AQ662" t="s">
        <v>74</v>
      </c>
      <c r="AR662" t="s">
        <v>6438</v>
      </c>
      <c r="AS662" t="s">
        <v>6454</v>
      </c>
      <c r="AT662" t="s">
        <v>12497</v>
      </c>
      <c r="AU662">
        <v>2020</v>
      </c>
      <c r="AV662">
        <v>15</v>
      </c>
      <c r="AW662">
        <v>12</v>
      </c>
      <c r="AX662" t="s">
        <v>74</v>
      </c>
      <c r="AY662" t="s">
        <v>74</v>
      </c>
      <c r="AZ662" t="s">
        <v>74</v>
      </c>
      <c r="BA662" t="s">
        <v>74</v>
      </c>
      <c r="BB662" t="s">
        <v>74</v>
      </c>
      <c r="BC662" t="s">
        <v>74</v>
      </c>
      <c r="BD662" t="s">
        <v>12550</v>
      </c>
      <c r="BE662" t="s">
        <v>12551</v>
      </c>
      <c r="BF662" t="str">
        <f>HYPERLINK("http://dx.doi.org/10.1371/journal.pone.0243273","http://dx.doi.org/10.1371/journal.pone.0243273")</f>
        <v>http://dx.doi.org/10.1371/journal.pone.0243273</v>
      </c>
      <c r="BG662" t="s">
        <v>74</v>
      </c>
      <c r="BH662" t="s">
        <v>74</v>
      </c>
      <c r="BI662">
        <v>23</v>
      </c>
      <c r="BJ662" t="s">
        <v>534</v>
      </c>
      <c r="BK662" t="s">
        <v>103</v>
      </c>
      <c r="BL662" t="s">
        <v>535</v>
      </c>
      <c r="BM662" t="s">
        <v>12552</v>
      </c>
      <c r="BN662">
        <v>33320906</v>
      </c>
      <c r="BO662" t="s">
        <v>246</v>
      </c>
      <c r="BP662" t="s">
        <v>74</v>
      </c>
      <c r="BQ662" t="s">
        <v>74</v>
      </c>
      <c r="BR662" t="s">
        <v>106</v>
      </c>
      <c r="BS662" t="s">
        <v>12553</v>
      </c>
      <c r="BT662" t="str">
        <f>HYPERLINK("https%3A%2F%2Fwww.webofscience.com%2Fwos%2Fwoscc%2Ffull-record%2FWOS:000600339800027","View Full Record in Web of Science")</f>
        <v>View Full Record in Web of Science</v>
      </c>
    </row>
    <row r="663" spans="1:72" x14ac:dyDescent="0.15">
      <c r="A663" t="s">
        <v>72</v>
      </c>
      <c r="B663" t="s">
        <v>12554</v>
      </c>
      <c r="C663" t="s">
        <v>74</v>
      </c>
      <c r="D663" t="s">
        <v>74</v>
      </c>
      <c r="E663" t="s">
        <v>74</v>
      </c>
      <c r="F663" t="s">
        <v>12555</v>
      </c>
      <c r="G663" t="s">
        <v>74</v>
      </c>
      <c r="H663" t="s">
        <v>74</v>
      </c>
      <c r="I663" t="s">
        <v>12556</v>
      </c>
      <c r="J663" t="s">
        <v>2075</v>
      </c>
      <c r="K663" t="s">
        <v>74</v>
      </c>
      <c r="L663" t="s">
        <v>74</v>
      </c>
      <c r="M663" t="s">
        <v>78</v>
      </c>
      <c r="N663" t="s">
        <v>79</v>
      </c>
      <c r="O663" t="s">
        <v>74</v>
      </c>
      <c r="P663" t="s">
        <v>74</v>
      </c>
      <c r="Q663" t="s">
        <v>74</v>
      </c>
      <c r="R663" t="s">
        <v>74</v>
      </c>
      <c r="S663" t="s">
        <v>74</v>
      </c>
      <c r="T663" t="s">
        <v>74</v>
      </c>
      <c r="U663" t="s">
        <v>12557</v>
      </c>
      <c r="V663" t="s">
        <v>12558</v>
      </c>
      <c r="W663" t="s">
        <v>12559</v>
      </c>
      <c r="X663" t="s">
        <v>12560</v>
      </c>
      <c r="Y663" t="s">
        <v>12561</v>
      </c>
      <c r="Z663" t="s">
        <v>2997</v>
      </c>
      <c r="AA663" t="s">
        <v>12562</v>
      </c>
      <c r="AB663" t="s">
        <v>12563</v>
      </c>
      <c r="AC663" t="s">
        <v>12564</v>
      </c>
      <c r="AD663" t="s">
        <v>12565</v>
      </c>
      <c r="AE663" t="s">
        <v>12566</v>
      </c>
      <c r="AF663" t="s">
        <v>74</v>
      </c>
      <c r="AG663">
        <v>57</v>
      </c>
      <c r="AH663">
        <v>42</v>
      </c>
      <c r="AI663">
        <v>43</v>
      </c>
      <c r="AJ663">
        <v>1</v>
      </c>
      <c r="AK663">
        <v>14</v>
      </c>
      <c r="AL663" t="s">
        <v>955</v>
      </c>
      <c r="AM663" t="s">
        <v>528</v>
      </c>
      <c r="AN663" t="s">
        <v>529</v>
      </c>
      <c r="AO663" t="s">
        <v>2085</v>
      </c>
      <c r="AP663" t="s">
        <v>74</v>
      </c>
      <c r="AQ663" t="s">
        <v>74</v>
      </c>
      <c r="AR663" t="s">
        <v>2086</v>
      </c>
      <c r="AS663" t="s">
        <v>2087</v>
      </c>
      <c r="AT663" t="s">
        <v>12497</v>
      </c>
      <c r="AU663">
        <v>2020</v>
      </c>
      <c r="AV663">
        <v>10</v>
      </c>
      <c r="AW663">
        <v>1</v>
      </c>
      <c r="AX663" t="s">
        <v>74</v>
      </c>
      <c r="AY663" t="s">
        <v>74</v>
      </c>
      <c r="AZ663" t="s">
        <v>74</v>
      </c>
      <c r="BA663" t="s">
        <v>74</v>
      </c>
      <c r="BB663" t="s">
        <v>74</v>
      </c>
      <c r="BC663" t="s">
        <v>74</v>
      </c>
      <c r="BD663">
        <v>21986</v>
      </c>
      <c r="BE663" t="s">
        <v>12567</v>
      </c>
      <c r="BF663" t="str">
        <f>HYPERLINK("http://dx.doi.org/10.1038/s41598-020-78934-7","http://dx.doi.org/10.1038/s41598-020-78934-7")</f>
        <v>http://dx.doi.org/10.1038/s41598-020-78934-7</v>
      </c>
      <c r="BG663" t="s">
        <v>74</v>
      </c>
      <c r="BH663" t="s">
        <v>74</v>
      </c>
      <c r="BI663">
        <v>9</v>
      </c>
      <c r="BJ663" t="s">
        <v>534</v>
      </c>
      <c r="BK663" t="s">
        <v>103</v>
      </c>
      <c r="BL663" t="s">
        <v>535</v>
      </c>
      <c r="BM663" t="s">
        <v>12568</v>
      </c>
      <c r="BN663">
        <v>33319803</v>
      </c>
      <c r="BO663" t="s">
        <v>6128</v>
      </c>
      <c r="BP663" t="s">
        <v>74</v>
      </c>
      <c r="BQ663" t="s">
        <v>74</v>
      </c>
      <c r="BR663" t="s">
        <v>106</v>
      </c>
      <c r="BS663" t="s">
        <v>12569</v>
      </c>
      <c r="BT663" t="str">
        <f>HYPERLINK("https%3A%2F%2Fwww.webofscience.com%2Fwos%2Fwoscc%2Ffull-record%2FWOS:000601310100008","View Full Record in Web of Science")</f>
        <v>View Full Record in Web of Science</v>
      </c>
    </row>
    <row r="664" spans="1:72" x14ac:dyDescent="0.15">
      <c r="A664" t="s">
        <v>72</v>
      </c>
      <c r="B664" t="s">
        <v>12570</v>
      </c>
      <c r="C664" t="s">
        <v>74</v>
      </c>
      <c r="D664" t="s">
        <v>74</v>
      </c>
      <c r="E664" t="s">
        <v>74</v>
      </c>
      <c r="F664" t="s">
        <v>12571</v>
      </c>
      <c r="G664" t="s">
        <v>74</v>
      </c>
      <c r="H664" t="s">
        <v>74</v>
      </c>
      <c r="I664" t="s">
        <v>12572</v>
      </c>
      <c r="J664" t="s">
        <v>487</v>
      </c>
      <c r="K664" t="s">
        <v>74</v>
      </c>
      <c r="L664" t="s">
        <v>74</v>
      </c>
      <c r="M664" t="s">
        <v>78</v>
      </c>
      <c r="N664" t="s">
        <v>141</v>
      </c>
      <c r="O664" t="s">
        <v>74</v>
      </c>
      <c r="P664" t="s">
        <v>74</v>
      </c>
      <c r="Q664" t="s">
        <v>74</v>
      </c>
      <c r="R664" t="s">
        <v>74</v>
      </c>
      <c r="S664" t="s">
        <v>74</v>
      </c>
      <c r="T664" t="s">
        <v>12573</v>
      </c>
      <c r="U664" t="s">
        <v>12574</v>
      </c>
      <c r="V664" t="s">
        <v>12575</v>
      </c>
      <c r="W664" t="s">
        <v>12576</v>
      </c>
      <c r="X664" t="s">
        <v>12577</v>
      </c>
      <c r="Y664" t="s">
        <v>12578</v>
      </c>
      <c r="Z664" t="s">
        <v>12579</v>
      </c>
      <c r="AA664" t="s">
        <v>12580</v>
      </c>
      <c r="AB664" t="s">
        <v>12581</v>
      </c>
      <c r="AC664" t="s">
        <v>12582</v>
      </c>
      <c r="AD664" t="s">
        <v>12583</v>
      </c>
      <c r="AE664" t="s">
        <v>12584</v>
      </c>
      <c r="AF664" t="s">
        <v>74</v>
      </c>
      <c r="AG664">
        <v>304</v>
      </c>
      <c r="AH664">
        <v>71</v>
      </c>
      <c r="AI664">
        <v>73</v>
      </c>
      <c r="AJ664">
        <v>13</v>
      </c>
      <c r="AK664">
        <v>77</v>
      </c>
      <c r="AL664" t="s">
        <v>500</v>
      </c>
      <c r="AM664" t="s">
        <v>501</v>
      </c>
      <c r="AN664" t="s">
        <v>502</v>
      </c>
      <c r="AO664" t="s">
        <v>74</v>
      </c>
      <c r="AP664" t="s">
        <v>503</v>
      </c>
      <c r="AQ664" t="s">
        <v>74</v>
      </c>
      <c r="AR664" t="s">
        <v>504</v>
      </c>
      <c r="AS664" t="s">
        <v>505</v>
      </c>
      <c r="AT664" t="s">
        <v>12497</v>
      </c>
      <c r="AU664">
        <v>2020</v>
      </c>
      <c r="AV664">
        <v>7</v>
      </c>
      <c r="AW664" t="s">
        <v>74</v>
      </c>
      <c r="AX664" t="s">
        <v>74</v>
      </c>
      <c r="AY664" t="s">
        <v>74</v>
      </c>
      <c r="AZ664" t="s">
        <v>74</v>
      </c>
      <c r="BA664" t="s">
        <v>74</v>
      </c>
      <c r="BB664" t="s">
        <v>74</v>
      </c>
      <c r="BC664" t="s">
        <v>74</v>
      </c>
      <c r="BD664">
        <v>547188</v>
      </c>
      <c r="BE664" t="s">
        <v>12585</v>
      </c>
      <c r="BF664" t="str">
        <f>HYPERLINK("http://dx.doi.org/10.3389/fmars.2020.547188","http://dx.doi.org/10.3389/fmars.2020.547188")</f>
        <v>http://dx.doi.org/10.3389/fmars.2020.547188</v>
      </c>
      <c r="BG664" t="s">
        <v>74</v>
      </c>
      <c r="BH664" t="s">
        <v>74</v>
      </c>
      <c r="BI664">
        <v>24</v>
      </c>
      <c r="BJ664" t="s">
        <v>507</v>
      </c>
      <c r="BK664" t="s">
        <v>103</v>
      </c>
      <c r="BL664" t="s">
        <v>508</v>
      </c>
      <c r="BM664" t="s">
        <v>12586</v>
      </c>
      <c r="BN664" t="s">
        <v>74</v>
      </c>
      <c r="BO664" t="s">
        <v>6128</v>
      </c>
      <c r="BP664" t="s">
        <v>74</v>
      </c>
      <c r="BQ664" t="s">
        <v>74</v>
      </c>
      <c r="BR664" t="s">
        <v>106</v>
      </c>
      <c r="BS664" t="s">
        <v>12587</v>
      </c>
      <c r="BT664" t="str">
        <f>HYPERLINK("https%3A%2F%2Fwww.webofscience.com%2Fwos%2Fwoscc%2Ffull-record%2FWOS:000600690000001","View Full Record in Web of Science")</f>
        <v>View Full Record in Web of Science</v>
      </c>
    </row>
    <row r="665" spans="1:72" x14ac:dyDescent="0.15">
      <c r="A665" t="s">
        <v>72</v>
      </c>
      <c r="B665" t="s">
        <v>12588</v>
      </c>
      <c r="C665" t="s">
        <v>74</v>
      </c>
      <c r="D665" t="s">
        <v>74</v>
      </c>
      <c r="E665" t="s">
        <v>74</v>
      </c>
      <c r="F665" t="s">
        <v>12589</v>
      </c>
      <c r="G665" t="s">
        <v>74</v>
      </c>
      <c r="H665" t="s">
        <v>74</v>
      </c>
      <c r="I665" t="s">
        <v>12590</v>
      </c>
      <c r="J665" t="s">
        <v>12591</v>
      </c>
      <c r="K665" t="s">
        <v>74</v>
      </c>
      <c r="L665" t="s">
        <v>74</v>
      </c>
      <c r="M665" t="s">
        <v>78</v>
      </c>
      <c r="N665" t="s">
        <v>79</v>
      </c>
      <c r="O665" t="s">
        <v>74</v>
      </c>
      <c r="P665" t="s">
        <v>74</v>
      </c>
      <c r="Q665" t="s">
        <v>74</v>
      </c>
      <c r="R665" t="s">
        <v>74</v>
      </c>
      <c r="S665" t="s">
        <v>74</v>
      </c>
      <c r="T665" t="s">
        <v>12592</v>
      </c>
      <c r="U665" t="s">
        <v>12593</v>
      </c>
      <c r="V665" t="s">
        <v>12594</v>
      </c>
      <c r="W665" t="s">
        <v>12595</v>
      </c>
      <c r="X665" t="s">
        <v>12596</v>
      </c>
      <c r="Y665" t="s">
        <v>12597</v>
      </c>
      <c r="Z665" t="s">
        <v>12598</v>
      </c>
      <c r="AA665" t="s">
        <v>12599</v>
      </c>
      <c r="AB665" t="s">
        <v>12600</v>
      </c>
      <c r="AC665" t="s">
        <v>12601</v>
      </c>
      <c r="AD665" t="s">
        <v>12602</v>
      </c>
      <c r="AE665" t="s">
        <v>12603</v>
      </c>
      <c r="AF665" t="s">
        <v>74</v>
      </c>
      <c r="AG665">
        <v>100</v>
      </c>
      <c r="AH665">
        <v>25</v>
      </c>
      <c r="AI665">
        <v>25</v>
      </c>
      <c r="AJ665">
        <v>3</v>
      </c>
      <c r="AK665">
        <v>18</v>
      </c>
      <c r="AL665" t="s">
        <v>12604</v>
      </c>
      <c r="AM665" t="s">
        <v>236</v>
      </c>
      <c r="AN665" t="s">
        <v>12605</v>
      </c>
      <c r="AO665" t="s">
        <v>12606</v>
      </c>
      <c r="AP665" t="s">
        <v>74</v>
      </c>
      <c r="AQ665" t="s">
        <v>74</v>
      </c>
      <c r="AR665" t="s">
        <v>12591</v>
      </c>
      <c r="AS665" t="s">
        <v>12607</v>
      </c>
      <c r="AT665" t="s">
        <v>12497</v>
      </c>
      <c r="AU665">
        <v>2020</v>
      </c>
      <c r="AV665">
        <v>8</v>
      </c>
      <c r="AW665" t="s">
        <v>74</v>
      </c>
      <c r="AX665" t="s">
        <v>74</v>
      </c>
      <c r="AY665" t="s">
        <v>74</v>
      </c>
      <c r="AZ665" t="s">
        <v>74</v>
      </c>
      <c r="BA665" t="s">
        <v>74</v>
      </c>
      <c r="BB665" t="s">
        <v>74</v>
      </c>
      <c r="BC665" t="s">
        <v>74</v>
      </c>
      <c r="BD665" t="s">
        <v>12608</v>
      </c>
      <c r="BE665" t="s">
        <v>12609</v>
      </c>
      <c r="BF665" t="str">
        <f>HYPERLINK("http://dx.doi.org/10.7717/peerj.10423","http://dx.doi.org/10.7717/peerj.10423")</f>
        <v>http://dx.doi.org/10.7717/peerj.10423</v>
      </c>
      <c r="BG665" t="s">
        <v>74</v>
      </c>
      <c r="BH665" t="s">
        <v>74</v>
      </c>
      <c r="BI665">
        <v>29</v>
      </c>
      <c r="BJ665" t="s">
        <v>534</v>
      </c>
      <c r="BK665" t="s">
        <v>103</v>
      </c>
      <c r="BL665" t="s">
        <v>535</v>
      </c>
      <c r="BM665" t="s">
        <v>12610</v>
      </c>
      <c r="BN665">
        <v>33362961</v>
      </c>
      <c r="BO665" t="s">
        <v>246</v>
      </c>
      <c r="BP665" t="s">
        <v>74</v>
      </c>
      <c r="BQ665" t="s">
        <v>74</v>
      </c>
      <c r="BR665" t="s">
        <v>106</v>
      </c>
      <c r="BS665" t="s">
        <v>12611</v>
      </c>
      <c r="BT665" t="str">
        <f>HYPERLINK("https%3A%2F%2Fwww.webofscience.com%2Fwos%2Fwoscc%2Ffull-record%2FWOS:000599091700002","View Full Record in Web of Science")</f>
        <v>View Full Record in Web of Science</v>
      </c>
    </row>
    <row r="666" spans="1:72" x14ac:dyDescent="0.15">
      <c r="A666" t="s">
        <v>72</v>
      </c>
      <c r="B666" t="s">
        <v>12612</v>
      </c>
      <c r="C666" t="s">
        <v>74</v>
      </c>
      <c r="D666" t="s">
        <v>74</v>
      </c>
      <c r="E666" t="s">
        <v>74</v>
      </c>
      <c r="F666" t="s">
        <v>12613</v>
      </c>
      <c r="G666" t="s">
        <v>74</v>
      </c>
      <c r="H666" t="s">
        <v>74</v>
      </c>
      <c r="I666" t="s">
        <v>12614</v>
      </c>
      <c r="J666" t="s">
        <v>1713</v>
      </c>
      <c r="K666" t="s">
        <v>74</v>
      </c>
      <c r="L666" t="s">
        <v>74</v>
      </c>
      <c r="M666" t="s">
        <v>78</v>
      </c>
      <c r="N666" t="s">
        <v>79</v>
      </c>
      <c r="O666" t="s">
        <v>74</v>
      </c>
      <c r="P666" t="s">
        <v>74</v>
      </c>
      <c r="Q666" t="s">
        <v>74</v>
      </c>
      <c r="R666" t="s">
        <v>74</v>
      </c>
      <c r="S666" t="s">
        <v>74</v>
      </c>
      <c r="T666" t="s">
        <v>12615</v>
      </c>
      <c r="U666" t="s">
        <v>74</v>
      </c>
      <c r="V666" t="s">
        <v>12616</v>
      </c>
      <c r="W666" t="s">
        <v>12617</v>
      </c>
      <c r="X666" t="s">
        <v>12618</v>
      </c>
      <c r="Y666" t="s">
        <v>12619</v>
      </c>
      <c r="Z666" t="s">
        <v>12620</v>
      </c>
      <c r="AA666" t="s">
        <v>12621</v>
      </c>
      <c r="AB666" t="s">
        <v>12622</v>
      </c>
      <c r="AC666" t="s">
        <v>12623</v>
      </c>
      <c r="AD666" t="s">
        <v>12624</v>
      </c>
      <c r="AE666" t="s">
        <v>12625</v>
      </c>
      <c r="AF666" t="s">
        <v>74</v>
      </c>
      <c r="AG666">
        <v>92</v>
      </c>
      <c r="AH666">
        <v>17</v>
      </c>
      <c r="AI666">
        <v>17</v>
      </c>
      <c r="AJ666">
        <v>0</v>
      </c>
      <c r="AK666">
        <v>4</v>
      </c>
      <c r="AL666" t="s">
        <v>418</v>
      </c>
      <c r="AM666" t="s">
        <v>178</v>
      </c>
      <c r="AN666" t="s">
        <v>419</v>
      </c>
      <c r="AO666" t="s">
        <v>1726</v>
      </c>
      <c r="AP666" t="s">
        <v>74</v>
      </c>
      <c r="AQ666" t="s">
        <v>74</v>
      </c>
      <c r="AR666" t="s">
        <v>1728</v>
      </c>
      <c r="AS666" t="s">
        <v>1729</v>
      </c>
      <c r="AT666" t="s">
        <v>12497</v>
      </c>
      <c r="AU666">
        <v>2020</v>
      </c>
      <c r="AV666">
        <v>250</v>
      </c>
      <c r="AW666" t="s">
        <v>74</v>
      </c>
      <c r="AX666" t="s">
        <v>74</v>
      </c>
      <c r="AY666" t="s">
        <v>74</v>
      </c>
      <c r="AZ666" t="s">
        <v>74</v>
      </c>
      <c r="BA666" t="s">
        <v>74</v>
      </c>
      <c r="BB666" t="s">
        <v>74</v>
      </c>
      <c r="BC666" t="s">
        <v>74</v>
      </c>
      <c r="BD666">
        <v>106658</v>
      </c>
      <c r="BE666" t="s">
        <v>12626</v>
      </c>
      <c r="BF666" t="str">
        <f>HYPERLINK("http://dx.doi.org/10.1016/j.quascirev.2020.106658","http://dx.doi.org/10.1016/j.quascirev.2020.106658")</f>
        <v>http://dx.doi.org/10.1016/j.quascirev.2020.106658</v>
      </c>
      <c r="BG666" t="s">
        <v>74</v>
      </c>
      <c r="BH666" t="s">
        <v>74</v>
      </c>
      <c r="BI666">
        <v>14</v>
      </c>
      <c r="BJ666" t="s">
        <v>156</v>
      </c>
      <c r="BK666" t="s">
        <v>103</v>
      </c>
      <c r="BL666" t="s">
        <v>157</v>
      </c>
      <c r="BM666" t="s">
        <v>12627</v>
      </c>
      <c r="BN666" t="s">
        <v>74</v>
      </c>
      <c r="BO666" t="s">
        <v>74</v>
      </c>
      <c r="BP666" t="s">
        <v>74</v>
      </c>
      <c r="BQ666" t="s">
        <v>74</v>
      </c>
      <c r="BR666" t="s">
        <v>106</v>
      </c>
      <c r="BS666" t="s">
        <v>12628</v>
      </c>
      <c r="BT666" t="str">
        <f>HYPERLINK("https%3A%2F%2Fwww.webofscience.com%2Fwos%2Fwoscc%2Ffull-record%2FWOS:000595946300001","View Full Record in Web of Science")</f>
        <v>View Full Record in Web of Science</v>
      </c>
    </row>
    <row r="667" spans="1:72" x14ac:dyDescent="0.15">
      <c r="A667" t="s">
        <v>72</v>
      </c>
      <c r="B667" t="s">
        <v>12629</v>
      </c>
      <c r="C667" t="s">
        <v>74</v>
      </c>
      <c r="D667" t="s">
        <v>74</v>
      </c>
      <c r="E667" t="s">
        <v>74</v>
      </c>
      <c r="F667" t="s">
        <v>12630</v>
      </c>
      <c r="G667" t="s">
        <v>74</v>
      </c>
      <c r="H667" t="s">
        <v>74</v>
      </c>
      <c r="I667" t="s">
        <v>12631</v>
      </c>
      <c r="J667" t="s">
        <v>3602</v>
      </c>
      <c r="K667" t="s">
        <v>74</v>
      </c>
      <c r="L667" t="s">
        <v>74</v>
      </c>
      <c r="M667" t="s">
        <v>78</v>
      </c>
      <c r="N667" t="s">
        <v>79</v>
      </c>
      <c r="O667" t="s">
        <v>74</v>
      </c>
      <c r="P667" t="s">
        <v>74</v>
      </c>
      <c r="Q667" t="s">
        <v>74</v>
      </c>
      <c r="R667" t="s">
        <v>74</v>
      </c>
      <c r="S667" t="s">
        <v>74</v>
      </c>
      <c r="T667" t="s">
        <v>74</v>
      </c>
      <c r="U667" t="s">
        <v>12632</v>
      </c>
      <c r="V667" t="s">
        <v>12633</v>
      </c>
      <c r="W667" t="s">
        <v>12634</v>
      </c>
      <c r="X667" t="s">
        <v>12635</v>
      </c>
      <c r="Y667" t="s">
        <v>12636</v>
      </c>
      <c r="Z667" t="s">
        <v>12637</v>
      </c>
      <c r="AA667" t="s">
        <v>12638</v>
      </c>
      <c r="AB667" t="s">
        <v>12639</v>
      </c>
      <c r="AC667" t="s">
        <v>12640</v>
      </c>
      <c r="AD667" t="s">
        <v>12641</v>
      </c>
      <c r="AE667" t="s">
        <v>12642</v>
      </c>
      <c r="AF667" t="s">
        <v>74</v>
      </c>
      <c r="AG667">
        <v>87</v>
      </c>
      <c r="AH667">
        <v>11</v>
      </c>
      <c r="AI667">
        <v>11</v>
      </c>
      <c r="AJ667">
        <v>0</v>
      </c>
      <c r="AK667">
        <v>18</v>
      </c>
      <c r="AL667" t="s">
        <v>123</v>
      </c>
      <c r="AM667" t="s">
        <v>124</v>
      </c>
      <c r="AN667" t="s">
        <v>125</v>
      </c>
      <c r="AO667" t="s">
        <v>3614</v>
      </c>
      <c r="AP667" t="s">
        <v>3615</v>
      </c>
      <c r="AQ667" t="s">
        <v>74</v>
      </c>
      <c r="AR667" t="s">
        <v>3616</v>
      </c>
      <c r="AS667" t="s">
        <v>3617</v>
      </c>
      <c r="AT667" t="s">
        <v>12497</v>
      </c>
      <c r="AU667">
        <v>2020</v>
      </c>
      <c r="AV667">
        <v>13</v>
      </c>
      <c r="AW667">
        <v>12</v>
      </c>
      <c r="AX667" t="s">
        <v>74</v>
      </c>
      <c r="AY667" t="s">
        <v>74</v>
      </c>
      <c r="AZ667" t="s">
        <v>74</v>
      </c>
      <c r="BA667" t="s">
        <v>74</v>
      </c>
      <c r="BB667">
        <v>6703</v>
      </c>
      <c r="BC667">
        <v>6731</v>
      </c>
      <c r="BD667" t="s">
        <v>74</v>
      </c>
      <c r="BE667" t="s">
        <v>12643</v>
      </c>
      <c r="BF667" t="str">
        <f>HYPERLINK("http://dx.doi.org/10.5194/amt-13-6703-2020","http://dx.doi.org/10.5194/amt-13-6703-2020")</f>
        <v>http://dx.doi.org/10.5194/amt-13-6703-2020</v>
      </c>
      <c r="BG667" t="s">
        <v>74</v>
      </c>
      <c r="BH667" t="s">
        <v>74</v>
      </c>
      <c r="BI667">
        <v>29</v>
      </c>
      <c r="BJ667" t="s">
        <v>687</v>
      </c>
      <c r="BK667" t="s">
        <v>103</v>
      </c>
      <c r="BL667" t="s">
        <v>687</v>
      </c>
      <c r="BM667" t="s">
        <v>12644</v>
      </c>
      <c r="BN667" t="s">
        <v>74</v>
      </c>
      <c r="BO667" t="s">
        <v>159</v>
      </c>
      <c r="BP667" t="s">
        <v>74</v>
      </c>
      <c r="BQ667" t="s">
        <v>74</v>
      </c>
      <c r="BR667" t="s">
        <v>106</v>
      </c>
      <c r="BS667" t="s">
        <v>12645</v>
      </c>
      <c r="BT667" t="str">
        <f>HYPERLINK("https%3A%2F%2Fwww.webofscience.com%2Fwos%2Fwoscc%2Ffull-record%2FWOS:000600068400001","View Full Record in Web of Science")</f>
        <v>View Full Record in Web of Science</v>
      </c>
    </row>
    <row r="668" spans="1:72" x14ac:dyDescent="0.15">
      <c r="A668" t="s">
        <v>72</v>
      </c>
      <c r="B668" t="s">
        <v>12646</v>
      </c>
      <c r="C668" t="s">
        <v>74</v>
      </c>
      <c r="D668" t="s">
        <v>74</v>
      </c>
      <c r="E668" t="s">
        <v>74</v>
      </c>
      <c r="F668" t="s">
        <v>12647</v>
      </c>
      <c r="G668" t="s">
        <v>74</v>
      </c>
      <c r="H668" t="s">
        <v>74</v>
      </c>
      <c r="I668" t="s">
        <v>12648</v>
      </c>
      <c r="J668" t="s">
        <v>279</v>
      </c>
      <c r="K668" t="s">
        <v>74</v>
      </c>
      <c r="L668" t="s">
        <v>74</v>
      </c>
      <c r="M668" t="s">
        <v>78</v>
      </c>
      <c r="N668" t="s">
        <v>79</v>
      </c>
      <c r="O668" t="s">
        <v>74</v>
      </c>
      <c r="P668" t="s">
        <v>74</v>
      </c>
      <c r="Q668" t="s">
        <v>74</v>
      </c>
      <c r="R668" t="s">
        <v>74</v>
      </c>
      <c r="S668" t="s">
        <v>74</v>
      </c>
      <c r="T668" t="s">
        <v>12649</v>
      </c>
      <c r="U668" t="s">
        <v>12650</v>
      </c>
      <c r="V668" t="s">
        <v>12651</v>
      </c>
      <c r="W668" t="s">
        <v>12652</v>
      </c>
      <c r="X668" t="s">
        <v>12653</v>
      </c>
      <c r="Y668" t="s">
        <v>12654</v>
      </c>
      <c r="Z668" t="s">
        <v>12655</v>
      </c>
      <c r="AA668" t="s">
        <v>12656</v>
      </c>
      <c r="AB668" t="s">
        <v>12657</v>
      </c>
      <c r="AC668" t="s">
        <v>12658</v>
      </c>
      <c r="AD668" t="s">
        <v>12659</v>
      </c>
      <c r="AE668" t="s">
        <v>12660</v>
      </c>
      <c r="AF668" t="s">
        <v>74</v>
      </c>
      <c r="AG668">
        <v>90</v>
      </c>
      <c r="AH668">
        <v>4</v>
      </c>
      <c r="AI668">
        <v>4</v>
      </c>
      <c r="AJ668">
        <v>1</v>
      </c>
      <c r="AK668">
        <v>10</v>
      </c>
      <c r="AL668" t="s">
        <v>92</v>
      </c>
      <c r="AM668" t="s">
        <v>93</v>
      </c>
      <c r="AN668" t="s">
        <v>94</v>
      </c>
      <c r="AO668" t="s">
        <v>290</v>
      </c>
      <c r="AP668" t="s">
        <v>291</v>
      </c>
      <c r="AQ668" t="s">
        <v>74</v>
      </c>
      <c r="AR668" t="s">
        <v>292</v>
      </c>
      <c r="AS668" t="s">
        <v>293</v>
      </c>
      <c r="AT668" t="s">
        <v>12497</v>
      </c>
      <c r="AU668">
        <v>2020</v>
      </c>
      <c r="AV668">
        <v>560</v>
      </c>
      <c r="AW668" t="s">
        <v>74</v>
      </c>
      <c r="AX668" t="s">
        <v>74</v>
      </c>
      <c r="AY668" t="s">
        <v>74</v>
      </c>
      <c r="AZ668" t="s">
        <v>74</v>
      </c>
      <c r="BA668" t="s">
        <v>74</v>
      </c>
      <c r="BB668" t="s">
        <v>74</v>
      </c>
      <c r="BC668" t="s">
        <v>74</v>
      </c>
      <c r="BD668">
        <v>109995</v>
      </c>
      <c r="BE668" t="s">
        <v>12661</v>
      </c>
      <c r="BF668" t="str">
        <f>HYPERLINK("http://dx.doi.org/10.1016/j.palaeo.2020.109995","http://dx.doi.org/10.1016/j.palaeo.2020.109995")</f>
        <v>http://dx.doi.org/10.1016/j.palaeo.2020.109995</v>
      </c>
      <c r="BG668" t="s">
        <v>74</v>
      </c>
      <c r="BH668" t="s">
        <v>74</v>
      </c>
      <c r="BI668">
        <v>13</v>
      </c>
      <c r="BJ668" t="s">
        <v>296</v>
      </c>
      <c r="BK668" t="s">
        <v>271</v>
      </c>
      <c r="BL668" t="s">
        <v>297</v>
      </c>
      <c r="BM668" t="s">
        <v>12662</v>
      </c>
      <c r="BN668" t="s">
        <v>74</v>
      </c>
      <c r="BO668" t="s">
        <v>3760</v>
      </c>
      <c r="BP668" t="s">
        <v>74</v>
      </c>
      <c r="BQ668" t="s">
        <v>74</v>
      </c>
      <c r="BR668" t="s">
        <v>106</v>
      </c>
      <c r="BS668" t="s">
        <v>12663</v>
      </c>
      <c r="BT668" t="str">
        <f>HYPERLINK("https%3A%2F%2Fwww.webofscience.com%2Fwos%2Fwoscc%2Ffull-record%2FWOS:000591245000015","View Full Record in Web of Science")</f>
        <v>View Full Record in Web of Science</v>
      </c>
    </row>
    <row r="669" spans="1:72" x14ac:dyDescent="0.15">
      <c r="A669" t="s">
        <v>72</v>
      </c>
      <c r="B669" t="s">
        <v>12664</v>
      </c>
      <c r="C669" t="s">
        <v>74</v>
      </c>
      <c r="D669" t="s">
        <v>74</v>
      </c>
      <c r="E669" t="s">
        <v>74</v>
      </c>
      <c r="F669" t="s">
        <v>12665</v>
      </c>
      <c r="G669" t="s">
        <v>74</v>
      </c>
      <c r="H669" t="s">
        <v>74</v>
      </c>
      <c r="I669" t="s">
        <v>12666</v>
      </c>
      <c r="J669" t="s">
        <v>12465</v>
      </c>
      <c r="K669" t="s">
        <v>74</v>
      </c>
      <c r="L669" t="s">
        <v>74</v>
      </c>
      <c r="M669" t="s">
        <v>78</v>
      </c>
      <c r="N669" t="s">
        <v>79</v>
      </c>
      <c r="O669" t="s">
        <v>74</v>
      </c>
      <c r="P669" t="s">
        <v>74</v>
      </c>
      <c r="Q669" t="s">
        <v>74</v>
      </c>
      <c r="R669" t="s">
        <v>74</v>
      </c>
      <c r="S669" t="s">
        <v>74</v>
      </c>
      <c r="T669" t="s">
        <v>74</v>
      </c>
      <c r="U669" t="s">
        <v>12667</v>
      </c>
      <c r="V669" t="s">
        <v>12668</v>
      </c>
      <c r="W669" t="s">
        <v>12669</v>
      </c>
      <c r="X669" t="s">
        <v>12670</v>
      </c>
      <c r="Y669" t="s">
        <v>12671</v>
      </c>
      <c r="Z669" t="s">
        <v>12672</v>
      </c>
      <c r="AA669" t="s">
        <v>12673</v>
      </c>
      <c r="AB669" t="s">
        <v>12674</v>
      </c>
      <c r="AC669" t="s">
        <v>12675</v>
      </c>
      <c r="AD669" t="s">
        <v>12676</v>
      </c>
      <c r="AE669" t="s">
        <v>12677</v>
      </c>
      <c r="AF669" t="s">
        <v>74</v>
      </c>
      <c r="AG669">
        <v>42</v>
      </c>
      <c r="AH669">
        <v>1</v>
      </c>
      <c r="AI669">
        <v>1</v>
      </c>
      <c r="AJ669">
        <v>1</v>
      </c>
      <c r="AK669">
        <v>9</v>
      </c>
      <c r="AL669" t="s">
        <v>552</v>
      </c>
      <c r="AM669" t="s">
        <v>553</v>
      </c>
      <c r="AN669" t="s">
        <v>554</v>
      </c>
      <c r="AO669" t="s">
        <v>12477</v>
      </c>
      <c r="AP669" t="s">
        <v>12478</v>
      </c>
      <c r="AQ669" t="s">
        <v>74</v>
      </c>
      <c r="AR669" t="s">
        <v>12479</v>
      </c>
      <c r="AS669" t="s">
        <v>12480</v>
      </c>
      <c r="AT669" t="s">
        <v>12678</v>
      </c>
      <c r="AU669">
        <v>2020</v>
      </c>
      <c r="AV669">
        <v>55</v>
      </c>
      <c r="AW669">
        <v>12</v>
      </c>
      <c r="AX669" t="s">
        <v>74</v>
      </c>
      <c r="AY669" t="s">
        <v>74</v>
      </c>
      <c r="AZ669" t="s">
        <v>74</v>
      </c>
      <c r="BA669" t="s">
        <v>74</v>
      </c>
      <c r="BB669">
        <v>2553</v>
      </c>
      <c r="BC669">
        <v>2569</v>
      </c>
      <c r="BD669" t="s">
        <v>74</v>
      </c>
      <c r="BE669" t="s">
        <v>12679</v>
      </c>
      <c r="BF669" t="str">
        <f>HYPERLINK("http://dx.doi.org/10.1111/maps.13603","http://dx.doi.org/10.1111/maps.13603")</f>
        <v>http://dx.doi.org/10.1111/maps.13603</v>
      </c>
      <c r="BG669" t="s">
        <v>74</v>
      </c>
      <c r="BH669" t="s">
        <v>11309</v>
      </c>
      <c r="BI669">
        <v>17</v>
      </c>
      <c r="BJ669" t="s">
        <v>426</v>
      </c>
      <c r="BK669" t="s">
        <v>103</v>
      </c>
      <c r="BL669" t="s">
        <v>426</v>
      </c>
      <c r="BM669" t="s">
        <v>12680</v>
      </c>
      <c r="BN669" t="s">
        <v>74</v>
      </c>
      <c r="BO669" t="s">
        <v>74</v>
      </c>
      <c r="BP669" t="s">
        <v>74</v>
      </c>
      <c r="BQ669" t="s">
        <v>74</v>
      </c>
      <c r="BR669" t="s">
        <v>106</v>
      </c>
      <c r="BS669" t="s">
        <v>12681</v>
      </c>
      <c r="BT669" t="str">
        <f>HYPERLINK("https%3A%2F%2Fwww.webofscience.com%2Fwos%2Fwoscc%2Ffull-record%2FWOS:000598782900001","View Full Record in Web of Science")</f>
        <v>View Full Record in Web of Science</v>
      </c>
    </row>
    <row r="670" spans="1:72" x14ac:dyDescent="0.15">
      <c r="A670" t="s">
        <v>72</v>
      </c>
      <c r="B670" t="s">
        <v>12682</v>
      </c>
      <c r="C670" t="s">
        <v>74</v>
      </c>
      <c r="D670" t="s">
        <v>74</v>
      </c>
      <c r="E670" t="s">
        <v>74</v>
      </c>
      <c r="F670" t="s">
        <v>12683</v>
      </c>
      <c r="G670" t="s">
        <v>74</v>
      </c>
      <c r="H670" t="s">
        <v>74</v>
      </c>
      <c r="I670" t="s">
        <v>12684</v>
      </c>
      <c r="J670" t="s">
        <v>1713</v>
      </c>
      <c r="K670" t="s">
        <v>74</v>
      </c>
      <c r="L670" t="s">
        <v>74</v>
      </c>
      <c r="M670" t="s">
        <v>78</v>
      </c>
      <c r="N670" t="s">
        <v>79</v>
      </c>
      <c r="O670" t="s">
        <v>74</v>
      </c>
      <c r="P670" t="s">
        <v>74</v>
      </c>
      <c r="Q670" t="s">
        <v>74</v>
      </c>
      <c r="R670" t="s">
        <v>74</v>
      </c>
      <c r="S670" t="s">
        <v>74</v>
      </c>
      <c r="T670" t="s">
        <v>12685</v>
      </c>
      <c r="U670" t="s">
        <v>12686</v>
      </c>
      <c r="V670" t="s">
        <v>12687</v>
      </c>
      <c r="W670" t="s">
        <v>12688</v>
      </c>
      <c r="X670" t="s">
        <v>12689</v>
      </c>
      <c r="Y670" t="s">
        <v>12690</v>
      </c>
      <c r="Z670" t="s">
        <v>12691</v>
      </c>
      <c r="AA670" t="s">
        <v>12692</v>
      </c>
      <c r="AB670" t="s">
        <v>12693</v>
      </c>
      <c r="AC670" t="s">
        <v>12694</v>
      </c>
      <c r="AD670" t="s">
        <v>12695</v>
      </c>
      <c r="AE670" t="s">
        <v>12696</v>
      </c>
      <c r="AF670" t="s">
        <v>74</v>
      </c>
      <c r="AG670">
        <v>192</v>
      </c>
      <c r="AH670">
        <v>14</v>
      </c>
      <c r="AI670">
        <v>14</v>
      </c>
      <c r="AJ670">
        <v>2</v>
      </c>
      <c r="AK670">
        <v>10</v>
      </c>
      <c r="AL670" t="s">
        <v>418</v>
      </c>
      <c r="AM670" t="s">
        <v>178</v>
      </c>
      <c r="AN670" t="s">
        <v>419</v>
      </c>
      <c r="AO670" t="s">
        <v>1726</v>
      </c>
      <c r="AP670" t="s">
        <v>1727</v>
      </c>
      <c r="AQ670" t="s">
        <v>74</v>
      </c>
      <c r="AR670" t="s">
        <v>1728</v>
      </c>
      <c r="AS670" t="s">
        <v>1729</v>
      </c>
      <c r="AT670" t="s">
        <v>12497</v>
      </c>
      <c r="AU670">
        <v>2020</v>
      </c>
      <c r="AV670">
        <v>250</v>
      </c>
      <c r="AW670" t="s">
        <v>74</v>
      </c>
      <c r="AX670" t="s">
        <v>74</v>
      </c>
      <c r="AY670" t="s">
        <v>74</v>
      </c>
      <c r="AZ670" t="s">
        <v>74</v>
      </c>
      <c r="BA670" t="s">
        <v>74</v>
      </c>
      <c r="BB670" t="s">
        <v>74</v>
      </c>
      <c r="BC670" t="s">
        <v>74</v>
      </c>
      <c r="BD670">
        <v>106675</v>
      </c>
      <c r="BE670" t="s">
        <v>12697</v>
      </c>
      <c r="BF670" t="str">
        <f>HYPERLINK("http://dx.doi.org/10.1016/j.quascirev.2020.106675","http://dx.doi.org/10.1016/j.quascirev.2020.106675")</f>
        <v>http://dx.doi.org/10.1016/j.quascirev.2020.106675</v>
      </c>
      <c r="BG670" t="s">
        <v>74</v>
      </c>
      <c r="BH670" t="s">
        <v>74</v>
      </c>
      <c r="BI670">
        <v>17</v>
      </c>
      <c r="BJ670" t="s">
        <v>156</v>
      </c>
      <c r="BK670" t="s">
        <v>103</v>
      </c>
      <c r="BL670" t="s">
        <v>157</v>
      </c>
      <c r="BM670" t="s">
        <v>12698</v>
      </c>
      <c r="BN670" t="s">
        <v>74</v>
      </c>
      <c r="BO670" t="s">
        <v>74</v>
      </c>
      <c r="BP670" t="s">
        <v>74</v>
      </c>
      <c r="BQ670" t="s">
        <v>74</v>
      </c>
      <c r="BR670" t="s">
        <v>106</v>
      </c>
      <c r="BS670" t="s">
        <v>12699</v>
      </c>
      <c r="BT670" t="str">
        <f>HYPERLINK("https%3A%2F%2Fwww.webofscience.com%2Fwos%2Fwoscc%2Ffull-record%2FWOS:000595943100010","View Full Record in Web of Science")</f>
        <v>View Full Record in Web of Science</v>
      </c>
    </row>
    <row r="671" spans="1:72" x14ac:dyDescent="0.15">
      <c r="A671" t="s">
        <v>72</v>
      </c>
      <c r="B671" t="s">
        <v>12700</v>
      </c>
      <c r="C671" t="s">
        <v>74</v>
      </c>
      <c r="D671" t="s">
        <v>74</v>
      </c>
      <c r="E671" t="s">
        <v>74</v>
      </c>
      <c r="F671" t="s">
        <v>12701</v>
      </c>
      <c r="G671" t="s">
        <v>74</v>
      </c>
      <c r="H671" t="s">
        <v>74</v>
      </c>
      <c r="I671" t="s">
        <v>12702</v>
      </c>
      <c r="J671" t="s">
        <v>1713</v>
      </c>
      <c r="K671" t="s">
        <v>74</v>
      </c>
      <c r="L671" t="s">
        <v>74</v>
      </c>
      <c r="M671" t="s">
        <v>78</v>
      </c>
      <c r="N671" t="s">
        <v>79</v>
      </c>
      <c r="O671" t="s">
        <v>74</v>
      </c>
      <c r="P671" t="s">
        <v>74</v>
      </c>
      <c r="Q671" t="s">
        <v>74</v>
      </c>
      <c r="R671" t="s">
        <v>74</v>
      </c>
      <c r="S671" t="s">
        <v>74</v>
      </c>
      <c r="T671" t="s">
        <v>12703</v>
      </c>
      <c r="U671" t="s">
        <v>74</v>
      </c>
      <c r="V671" t="s">
        <v>12704</v>
      </c>
      <c r="W671" t="s">
        <v>12705</v>
      </c>
      <c r="X671" t="s">
        <v>12706</v>
      </c>
      <c r="Y671" t="s">
        <v>12707</v>
      </c>
      <c r="Z671" t="s">
        <v>12708</v>
      </c>
      <c r="AA671" t="s">
        <v>12709</v>
      </c>
      <c r="AB671" t="s">
        <v>12710</v>
      </c>
      <c r="AC671" t="s">
        <v>12711</v>
      </c>
      <c r="AD671" t="s">
        <v>12712</v>
      </c>
      <c r="AE671" t="s">
        <v>12713</v>
      </c>
      <c r="AF671" t="s">
        <v>74</v>
      </c>
      <c r="AG671">
        <v>97</v>
      </c>
      <c r="AH671">
        <v>3</v>
      </c>
      <c r="AI671">
        <v>3</v>
      </c>
      <c r="AJ671">
        <v>1</v>
      </c>
      <c r="AK671">
        <v>20</v>
      </c>
      <c r="AL671" t="s">
        <v>418</v>
      </c>
      <c r="AM671" t="s">
        <v>178</v>
      </c>
      <c r="AN671" t="s">
        <v>419</v>
      </c>
      <c r="AO671" t="s">
        <v>1726</v>
      </c>
      <c r="AP671" t="s">
        <v>74</v>
      </c>
      <c r="AQ671" t="s">
        <v>74</v>
      </c>
      <c r="AR671" t="s">
        <v>1728</v>
      </c>
      <c r="AS671" t="s">
        <v>1729</v>
      </c>
      <c r="AT671" t="s">
        <v>12497</v>
      </c>
      <c r="AU671">
        <v>2020</v>
      </c>
      <c r="AV671">
        <v>250</v>
      </c>
      <c r="AW671" t="s">
        <v>74</v>
      </c>
      <c r="AX671" t="s">
        <v>74</v>
      </c>
      <c r="AY671" t="s">
        <v>74</v>
      </c>
      <c r="AZ671" t="s">
        <v>74</v>
      </c>
      <c r="BA671" t="s">
        <v>74</v>
      </c>
      <c r="BB671" t="s">
        <v>74</v>
      </c>
      <c r="BC671" t="s">
        <v>74</v>
      </c>
      <c r="BD671">
        <v>106679</v>
      </c>
      <c r="BE671" t="s">
        <v>12714</v>
      </c>
      <c r="BF671" t="str">
        <f>HYPERLINK("http://dx.doi.org/10.1016/j.quascirev.2020.106679","http://dx.doi.org/10.1016/j.quascirev.2020.106679")</f>
        <v>http://dx.doi.org/10.1016/j.quascirev.2020.106679</v>
      </c>
      <c r="BG671" t="s">
        <v>74</v>
      </c>
      <c r="BH671" t="s">
        <v>74</v>
      </c>
      <c r="BI671">
        <v>15</v>
      </c>
      <c r="BJ671" t="s">
        <v>156</v>
      </c>
      <c r="BK671" t="s">
        <v>103</v>
      </c>
      <c r="BL671" t="s">
        <v>157</v>
      </c>
      <c r="BM671" t="s">
        <v>12715</v>
      </c>
      <c r="BN671" t="s">
        <v>74</v>
      </c>
      <c r="BO671" t="s">
        <v>759</v>
      </c>
      <c r="BP671" t="s">
        <v>74</v>
      </c>
      <c r="BQ671" t="s">
        <v>74</v>
      </c>
      <c r="BR671" t="s">
        <v>106</v>
      </c>
      <c r="BS671" t="s">
        <v>12716</v>
      </c>
      <c r="BT671" t="str">
        <f>HYPERLINK("https%3A%2F%2Fwww.webofscience.com%2Fwos%2Fwoscc%2Ffull-record%2FWOS:000595941500006","View Full Record in Web of Science")</f>
        <v>View Full Record in Web of Science</v>
      </c>
    </row>
    <row r="672" spans="1:72" x14ac:dyDescent="0.15">
      <c r="A672" t="s">
        <v>72</v>
      </c>
      <c r="B672" t="s">
        <v>12717</v>
      </c>
      <c r="C672" t="s">
        <v>74</v>
      </c>
      <c r="D672" t="s">
        <v>74</v>
      </c>
      <c r="E672" t="s">
        <v>74</v>
      </c>
      <c r="F672" t="s">
        <v>12718</v>
      </c>
      <c r="G672" t="s">
        <v>74</v>
      </c>
      <c r="H672" t="s">
        <v>74</v>
      </c>
      <c r="I672" t="s">
        <v>12719</v>
      </c>
      <c r="J672" t="s">
        <v>1927</v>
      </c>
      <c r="K672" t="s">
        <v>74</v>
      </c>
      <c r="L672" t="s">
        <v>74</v>
      </c>
      <c r="M672" t="s">
        <v>78</v>
      </c>
      <c r="N672" t="s">
        <v>79</v>
      </c>
      <c r="O672" t="s">
        <v>74</v>
      </c>
      <c r="P672" t="s">
        <v>74</v>
      </c>
      <c r="Q672" t="s">
        <v>74</v>
      </c>
      <c r="R672" t="s">
        <v>74</v>
      </c>
      <c r="S672" t="s">
        <v>74</v>
      </c>
      <c r="T672" t="s">
        <v>12720</v>
      </c>
      <c r="U672" t="s">
        <v>12721</v>
      </c>
      <c r="V672" t="s">
        <v>12722</v>
      </c>
      <c r="W672" t="s">
        <v>12723</v>
      </c>
      <c r="X672" t="s">
        <v>12724</v>
      </c>
      <c r="Y672" t="s">
        <v>12725</v>
      </c>
      <c r="Z672" t="s">
        <v>12726</v>
      </c>
      <c r="AA672" t="s">
        <v>12727</v>
      </c>
      <c r="AB672" t="s">
        <v>12728</v>
      </c>
      <c r="AC672" t="s">
        <v>74</v>
      </c>
      <c r="AD672" t="s">
        <v>74</v>
      </c>
      <c r="AE672" t="s">
        <v>74</v>
      </c>
      <c r="AF672" t="s">
        <v>74</v>
      </c>
      <c r="AG672">
        <v>52</v>
      </c>
      <c r="AH672">
        <v>18</v>
      </c>
      <c r="AI672">
        <v>21</v>
      </c>
      <c r="AJ672">
        <v>6</v>
      </c>
      <c r="AK672">
        <v>25</v>
      </c>
      <c r="AL672" t="s">
        <v>92</v>
      </c>
      <c r="AM672" t="s">
        <v>93</v>
      </c>
      <c r="AN672" t="s">
        <v>94</v>
      </c>
      <c r="AO672" t="s">
        <v>1940</v>
      </c>
      <c r="AP672" t="s">
        <v>1941</v>
      </c>
      <c r="AQ672" t="s">
        <v>74</v>
      </c>
      <c r="AR672" t="s">
        <v>1927</v>
      </c>
      <c r="AS672" t="s">
        <v>1942</v>
      </c>
      <c r="AT672" t="s">
        <v>12497</v>
      </c>
      <c r="AU672">
        <v>2020</v>
      </c>
      <c r="AV672">
        <v>371</v>
      </c>
      <c r="AW672" t="s">
        <v>74</v>
      </c>
      <c r="AX672" t="s">
        <v>74</v>
      </c>
      <c r="AY672" t="s">
        <v>74</v>
      </c>
      <c r="AZ672" t="s">
        <v>74</v>
      </c>
      <c r="BA672" t="s">
        <v>74</v>
      </c>
      <c r="BB672" t="s">
        <v>74</v>
      </c>
      <c r="BC672" t="s">
        <v>74</v>
      </c>
      <c r="BD672">
        <v>107411</v>
      </c>
      <c r="BE672" t="s">
        <v>12729</v>
      </c>
      <c r="BF672" t="str">
        <f>HYPERLINK("http://dx.doi.org/10.1016/j.geomorph.2020.107411","http://dx.doi.org/10.1016/j.geomorph.2020.107411")</f>
        <v>http://dx.doi.org/10.1016/j.geomorph.2020.107411</v>
      </c>
      <c r="BG672" t="s">
        <v>74</v>
      </c>
      <c r="BH672" t="s">
        <v>74</v>
      </c>
      <c r="BI672">
        <v>16</v>
      </c>
      <c r="BJ672" t="s">
        <v>156</v>
      </c>
      <c r="BK672" t="s">
        <v>103</v>
      </c>
      <c r="BL672" t="s">
        <v>157</v>
      </c>
      <c r="BM672" t="s">
        <v>12730</v>
      </c>
      <c r="BN672" t="s">
        <v>74</v>
      </c>
      <c r="BO672" t="s">
        <v>74</v>
      </c>
      <c r="BP672" t="s">
        <v>74</v>
      </c>
      <c r="BQ672" t="s">
        <v>74</v>
      </c>
      <c r="BR672" t="s">
        <v>106</v>
      </c>
      <c r="BS672" t="s">
        <v>12731</v>
      </c>
      <c r="BT672" t="str">
        <f>HYPERLINK("https%3A%2F%2Fwww.webofscience.com%2Fwos%2Fwoscc%2Ffull-record%2FWOS:000591680500001","View Full Record in Web of Science")</f>
        <v>View Full Record in Web of Science</v>
      </c>
    </row>
    <row r="673" spans="1:72" x14ac:dyDescent="0.15">
      <c r="A673" t="s">
        <v>72</v>
      </c>
      <c r="B673" t="s">
        <v>12732</v>
      </c>
      <c r="C673" t="s">
        <v>74</v>
      </c>
      <c r="D673" t="s">
        <v>74</v>
      </c>
      <c r="E673" t="s">
        <v>74</v>
      </c>
      <c r="F673" t="s">
        <v>12733</v>
      </c>
      <c r="G673" t="s">
        <v>74</v>
      </c>
      <c r="H673" t="s">
        <v>74</v>
      </c>
      <c r="I673" t="s">
        <v>12734</v>
      </c>
      <c r="J673" t="s">
        <v>77</v>
      </c>
      <c r="K673" t="s">
        <v>74</v>
      </c>
      <c r="L673" t="s">
        <v>74</v>
      </c>
      <c r="M673" t="s">
        <v>78</v>
      </c>
      <c r="N673" t="s">
        <v>79</v>
      </c>
      <c r="O673" t="s">
        <v>74</v>
      </c>
      <c r="P673" t="s">
        <v>74</v>
      </c>
      <c r="Q673" t="s">
        <v>74</v>
      </c>
      <c r="R673" t="s">
        <v>74</v>
      </c>
      <c r="S673" t="s">
        <v>74</v>
      </c>
      <c r="T673" t="s">
        <v>12735</v>
      </c>
      <c r="U673" t="s">
        <v>12736</v>
      </c>
      <c r="V673" t="s">
        <v>12737</v>
      </c>
      <c r="W673" t="s">
        <v>12738</v>
      </c>
      <c r="X673" t="s">
        <v>12739</v>
      </c>
      <c r="Y673" t="s">
        <v>12740</v>
      </c>
      <c r="Z673" t="s">
        <v>12741</v>
      </c>
      <c r="AA673" t="s">
        <v>12742</v>
      </c>
      <c r="AB673" t="s">
        <v>12743</v>
      </c>
      <c r="AC673" t="s">
        <v>12744</v>
      </c>
      <c r="AD673" t="s">
        <v>12745</v>
      </c>
      <c r="AE673" t="s">
        <v>12746</v>
      </c>
      <c r="AF673" t="s">
        <v>74</v>
      </c>
      <c r="AG673">
        <v>83</v>
      </c>
      <c r="AH673">
        <v>11</v>
      </c>
      <c r="AI673">
        <v>11</v>
      </c>
      <c r="AJ673">
        <v>1</v>
      </c>
      <c r="AK673">
        <v>33</v>
      </c>
      <c r="AL673" t="s">
        <v>92</v>
      </c>
      <c r="AM673" t="s">
        <v>93</v>
      </c>
      <c r="AN673" t="s">
        <v>94</v>
      </c>
      <c r="AO673" t="s">
        <v>95</v>
      </c>
      <c r="AP673" t="s">
        <v>96</v>
      </c>
      <c r="AQ673" t="s">
        <v>74</v>
      </c>
      <c r="AR673" t="s">
        <v>97</v>
      </c>
      <c r="AS673" t="s">
        <v>98</v>
      </c>
      <c r="AT673" t="s">
        <v>12497</v>
      </c>
      <c r="AU673">
        <v>2020</v>
      </c>
      <c r="AV673">
        <v>748</v>
      </c>
      <c r="AW673" t="s">
        <v>74</v>
      </c>
      <c r="AX673" t="s">
        <v>74</v>
      </c>
      <c r="AY673" t="s">
        <v>74</v>
      </c>
      <c r="AZ673" t="s">
        <v>74</v>
      </c>
      <c r="BA673" t="s">
        <v>74</v>
      </c>
      <c r="BB673" t="s">
        <v>74</v>
      </c>
      <c r="BC673" t="s">
        <v>74</v>
      </c>
      <c r="BD673">
        <v>142448</v>
      </c>
      <c r="BE673" t="s">
        <v>12747</v>
      </c>
      <c r="BF673" t="str">
        <f>HYPERLINK("http://dx.doi.org/10.1016/j.scitotenv.2020.142448","http://dx.doi.org/10.1016/j.scitotenv.2020.142448")</f>
        <v>http://dx.doi.org/10.1016/j.scitotenv.2020.142448</v>
      </c>
      <c r="BG673" t="s">
        <v>74</v>
      </c>
      <c r="BH673" t="s">
        <v>74</v>
      </c>
      <c r="BI673">
        <v>12</v>
      </c>
      <c r="BJ673" t="s">
        <v>102</v>
      </c>
      <c r="BK673" t="s">
        <v>103</v>
      </c>
      <c r="BL673" t="s">
        <v>104</v>
      </c>
      <c r="BM673" t="s">
        <v>12748</v>
      </c>
      <c r="BN673">
        <v>33113697</v>
      </c>
      <c r="BO673" t="s">
        <v>74</v>
      </c>
      <c r="BP673" t="s">
        <v>74</v>
      </c>
      <c r="BQ673" t="s">
        <v>74</v>
      </c>
      <c r="BR673" t="s">
        <v>106</v>
      </c>
      <c r="BS673" t="s">
        <v>12749</v>
      </c>
      <c r="BT673" t="str">
        <f>HYPERLINK("https%3A%2F%2Fwww.webofscience.com%2Fwos%2Fwoscc%2Ffull-record%2FWOS:000581049800129","View Full Record in Web of Science")</f>
        <v>View Full Record in Web of Science</v>
      </c>
    </row>
    <row r="674" spans="1:72" x14ac:dyDescent="0.15">
      <c r="A674" t="s">
        <v>72</v>
      </c>
      <c r="B674" t="s">
        <v>12750</v>
      </c>
      <c r="C674" t="s">
        <v>74</v>
      </c>
      <c r="D674" t="s">
        <v>74</v>
      </c>
      <c r="E674" t="s">
        <v>74</v>
      </c>
      <c r="F674" t="s">
        <v>12751</v>
      </c>
      <c r="G674" t="s">
        <v>74</v>
      </c>
      <c r="H674" t="s">
        <v>74</v>
      </c>
      <c r="I674" t="s">
        <v>12752</v>
      </c>
      <c r="J674" t="s">
        <v>12753</v>
      </c>
      <c r="K674" t="s">
        <v>74</v>
      </c>
      <c r="L674" t="s">
        <v>74</v>
      </c>
      <c r="M674" t="s">
        <v>78</v>
      </c>
      <c r="N674" t="s">
        <v>79</v>
      </c>
      <c r="O674" t="s">
        <v>74</v>
      </c>
      <c r="P674" t="s">
        <v>74</v>
      </c>
      <c r="Q674" t="s">
        <v>74</v>
      </c>
      <c r="R674" t="s">
        <v>74</v>
      </c>
      <c r="S674" t="s">
        <v>74</v>
      </c>
      <c r="T674" t="s">
        <v>12754</v>
      </c>
      <c r="U674" t="s">
        <v>12755</v>
      </c>
      <c r="V674" t="s">
        <v>12756</v>
      </c>
      <c r="W674" t="s">
        <v>12757</v>
      </c>
      <c r="X674" t="s">
        <v>12758</v>
      </c>
      <c r="Y674" t="s">
        <v>12759</v>
      </c>
      <c r="Z674" t="s">
        <v>12760</v>
      </c>
      <c r="AA674" t="s">
        <v>12761</v>
      </c>
      <c r="AB674" t="s">
        <v>74</v>
      </c>
      <c r="AC674" t="s">
        <v>12762</v>
      </c>
      <c r="AD674" t="s">
        <v>12763</v>
      </c>
      <c r="AE674" t="s">
        <v>12764</v>
      </c>
      <c r="AF674" t="s">
        <v>74</v>
      </c>
      <c r="AG674">
        <v>89</v>
      </c>
      <c r="AH674">
        <v>7</v>
      </c>
      <c r="AI674">
        <v>7</v>
      </c>
      <c r="AJ674">
        <v>2</v>
      </c>
      <c r="AK674">
        <v>55</v>
      </c>
      <c r="AL674" t="s">
        <v>3251</v>
      </c>
      <c r="AM674" t="s">
        <v>3252</v>
      </c>
      <c r="AN674" t="s">
        <v>3253</v>
      </c>
      <c r="AO674" t="s">
        <v>12765</v>
      </c>
      <c r="AP674" t="s">
        <v>12766</v>
      </c>
      <c r="AQ674" t="s">
        <v>74</v>
      </c>
      <c r="AR674" t="s">
        <v>12767</v>
      </c>
      <c r="AS674" t="s">
        <v>12768</v>
      </c>
      <c r="AT674" t="s">
        <v>12497</v>
      </c>
      <c r="AU674">
        <v>2020</v>
      </c>
      <c r="AV674">
        <v>206</v>
      </c>
      <c r="AW674" t="s">
        <v>74</v>
      </c>
      <c r="AX674" t="s">
        <v>74</v>
      </c>
      <c r="AY674" t="s">
        <v>74</v>
      </c>
      <c r="AZ674" t="s">
        <v>74</v>
      </c>
      <c r="BA674" t="s">
        <v>74</v>
      </c>
      <c r="BB674" t="s">
        <v>74</v>
      </c>
      <c r="BC674" t="s">
        <v>74</v>
      </c>
      <c r="BD674">
        <v>111135</v>
      </c>
      <c r="BE674" t="s">
        <v>12769</v>
      </c>
      <c r="BF674" t="str">
        <f>HYPERLINK("http://dx.doi.org/10.1016/j.ecoenv.2020.111135","http://dx.doi.org/10.1016/j.ecoenv.2020.111135")</f>
        <v>http://dx.doi.org/10.1016/j.ecoenv.2020.111135</v>
      </c>
      <c r="BG674" t="s">
        <v>74</v>
      </c>
      <c r="BH674" t="s">
        <v>74</v>
      </c>
      <c r="BI674">
        <v>12</v>
      </c>
      <c r="BJ674" t="s">
        <v>480</v>
      </c>
      <c r="BK674" t="s">
        <v>103</v>
      </c>
      <c r="BL674" t="s">
        <v>481</v>
      </c>
      <c r="BM674" t="s">
        <v>12770</v>
      </c>
      <c r="BN674">
        <v>32866890</v>
      </c>
      <c r="BO674" t="s">
        <v>218</v>
      </c>
      <c r="BP674" t="s">
        <v>74</v>
      </c>
      <c r="BQ674" t="s">
        <v>74</v>
      </c>
      <c r="BR674" t="s">
        <v>106</v>
      </c>
      <c r="BS674" t="s">
        <v>12771</v>
      </c>
      <c r="BT674" t="str">
        <f>HYPERLINK("https%3A%2F%2Fwww.webofscience.com%2Fwos%2Fwoscc%2Ffull-record%2FWOS:000582222400009","View Full Record in Web of Science")</f>
        <v>View Full Record in Web of Science</v>
      </c>
    </row>
    <row r="675" spans="1:72" x14ac:dyDescent="0.15">
      <c r="A675" t="s">
        <v>72</v>
      </c>
      <c r="B675" t="s">
        <v>12772</v>
      </c>
      <c r="C675" t="s">
        <v>74</v>
      </c>
      <c r="D675" t="s">
        <v>74</v>
      </c>
      <c r="E675" t="s">
        <v>74</v>
      </c>
      <c r="F675" t="s">
        <v>12773</v>
      </c>
      <c r="G675" t="s">
        <v>74</v>
      </c>
      <c r="H675" t="s">
        <v>74</v>
      </c>
      <c r="I675" t="s">
        <v>12774</v>
      </c>
      <c r="J675" t="s">
        <v>2881</v>
      </c>
      <c r="K675" t="s">
        <v>74</v>
      </c>
      <c r="L675" t="s">
        <v>74</v>
      </c>
      <c r="M675" t="s">
        <v>78</v>
      </c>
      <c r="N675" t="s">
        <v>79</v>
      </c>
      <c r="O675" t="s">
        <v>74</v>
      </c>
      <c r="P675" t="s">
        <v>74</v>
      </c>
      <c r="Q675" t="s">
        <v>74</v>
      </c>
      <c r="R675" t="s">
        <v>74</v>
      </c>
      <c r="S675" t="s">
        <v>74</v>
      </c>
      <c r="T675" t="s">
        <v>12775</v>
      </c>
      <c r="U675" t="s">
        <v>12776</v>
      </c>
      <c r="V675" t="s">
        <v>12777</v>
      </c>
      <c r="W675" t="s">
        <v>12778</v>
      </c>
      <c r="X675" t="s">
        <v>12779</v>
      </c>
      <c r="Y675" t="s">
        <v>12780</v>
      </c>
      <c r="Z675" t="s">
        <v>12781</v>
      </c>
      <c r="AA675" t="s">
        <v>74</v>
      </c>
      <c r="AB675" t="s">
        <v>74</v>
      </c>
      <c r="AC675" t="s">
        <v>12782</v>
      </c>
      <c r="AD675" t="s">
        <v>6144</v>
      </c>
      <c r="AE675" t="s">
        <v>12783</v>
      </c>
      <c r="AF675" t="s">
        <v>74</v>
      </c>
      <c r="AG675">
        <v>40</v>
      </c>
      <c r="AH675">
        <v>20</v>
      </c>
      <c r="AI675">
        <v>23</v>
      </c>
      <c r="AJ675">
        <v>24</v>
      </c>
      <c r="AK675">
        <v>122</v>
      </c>
      <c r="AL675" t="s">
        <v>177</v>
      </c>
      <c r="AM675" t="s">
        <v>178</v>
      </c>
      <c r="AN675" t="s">
        <v>179</v>
      </c>
      <c r="AO675" t="s">
        <v>2894</v>
      </c>
      <c r="AP675" t="s">
        <v>2895</v>
      </c>
      <c r="AQ675" t="s">
        <v>74</v>
      </c>
      <c r="AR675" t="s">
        <v>2896</v>
      </c>
      <c r="AS675" t="s">
        <v>2897</v>
      </c>
      <c r="AT675" t="s">
        <v>12497</v>
      </c>
      <c r="AU675">
        <v>2020</v>
      </c>
      <c r="AV675">
        <v>333</v>
      </c>
      <c r="AW675" t="s">
        <v>74</v>
      </c>
      <c r="AX675" t="s">
        <v>74</v>
      </c>
      <c r="AY675" t="s">
        <v>74</v>
      </c>
      <c r="AZ675" t="s">
        <v>74</v>
      </c>
      <c r="BA675" t="s">
        <v>74</v>
      </c>
      <c r="BB675" t="s">
        <v>74</v>
      </c>
      <c r="BC675" t="s">
        <v>74</v>
      </c>
      <c r="BD675">
        <v>127448</v>
      </c>
      <c r="BE675" t="s">
        <v>12784</v>
      </c>
      <c r="BF675" t="str">
        <f>HYPERLINK("http://dx.doi.org/10.1016/j.foodchem.2020.127448","http://dx.doi.org/10.1016/j.foodchem.2020.127448")</f>
        <v>http://dx.doi.org/10.1016/j.foodchem.2020.127448</v>
      </c>
      <c r="BG675" t="s">
        <v>74</v>
      </c>
      <c r="BH675" t="s">
        <v>74</v>
      </c>
      <c r="BI675">
        <v>9</v>
      </c>
      <c r="BJ675" t="s">
        <v>2900</v>
      </c>
      <c r="BK675" t="s">
        <v>103</v>
      </c>
      <c r="BL675" t="s">
        <v>2901</v>
      </c>
      <c r="BM675" t="s">
        <v>12785</v>
      </c>
      <c r="BN675">
        <v>32663748</v>
      </c>
      <c r="BO675" t="s">
        <v>74</v>
      </c>
      <c r="BP675" t="s">
        <v>74</v>
      </c>
      <c r="BQ675" t="s">
        <v>74</v>
      </c>
      <c r="BR675" t="s">
        <v>106</v>
      </c>
      <c r="BS675" t="s">
        <v>12786</v>
      </c>
      <c r="BT675" t="str">
        <f>HYPERLINK("https%3A%2F%2Fwww.webofscience.com%2Fwos%2Fwoscc%2Ffull-record%2FWOS:000567773700030","View Full Record in Web of Science")</f>
        <v>View Full Record in Web of Science</v>
      </c>
    </row>
    <row r="676" spans="1:72" x14ac:dyDescent="0.15">
      <c r="A676" t="s">
        <v>72</v>
      </c>
      <c r="B676" t="s">
        <v>12787</v>
      </c>
      <c r="C676" t="s">
        <v>74</v>
      </c>
      <c r="D676" t="s">
        <v>74</v>
      </c>
      <c r="E676" t="s">
        <v>74</v>
      </c>
      <c r="F676" t="s">
        <v>12788</v>
      </c>
      <c r="G676" t="s">
        <v>74</v>
      </c>
      <c r="H676" t="s">
        <v>74</v>
      </c>
      <c r="I676" t="s">
        <v>12789</v>
      </c>
      <c r="J676" t="s">
        <v>1858</v>
      </c>
      <c r="K676" t="s">
        <v>74</v>
      </c>
      <c r="L676" t="s">
        <v>74</v>
      </c>
      <c r="M676" t="s">
        <v>78</v>
      </c>
      <c r="N676" t="s">
        <v>79</v>
      </c>
      <c r="O676" t="s">
        <v>74</v>
      </c>
      <c r="P676" t="s">
        <v>74</v>
      </c>
      <c r="Q676" t="s">
        <v>74</v>
      </c>
      <c r="R676" t="s">
        <v>74</v>
      </c>
      <c r="S676" t="s">
        <v>74</v>
      </c>
      <c r="T676" t="s">
        <v>12790</v>
      </c>
      <c r="U676" t="s">
        <v>12791</v>
      </c>
      <c r="V676" t="s">
        <v>12792</v>
      </c>
      <c r="W676" t="s">
        <v>12793</v>
      </c>
      <c r="X676" t="s">
        <v>12794</v>
      </c>
      <c r="Y676" t="s">
        <v>12795</v>
      </c>
      <c r="Z676" t="s">
        <v>12796</v>
      </c>
      <c r="AA676" t="s">
        <v>12797</v>
      </c>
      <c r="AB676" t="s">
        <v>74</v>
      </c>
      <c r="AC676" t="s">
        <v>12798</v>
      </c>
      <c r="AD676" t="s">
        <v>12799</v>
      </c>
      <c r="AE676" t="s">
        <v>12800</v>
      </c>
      <c r="AF676" t="s">
        <v>74</v>
      </c>
      <c r="AG676">
        <v>77</v>
      </c>
      <c r="AH676">
        <v>25</v>
      </c>
      <c r="AI676">
        <v>29</v>
      </c>
      <c r="AJ676">
        <v>10</v>
      </c>
      <c r="AK676">
        <v>83</v>
      </c>
      <c r="AL676" t="s">
        <v>92</v>
      </c>
      <c r="AM676" t="s">
        <v>93</v>
      </c>
      <c r="AN676" t="s">
        <v>94</v>
      </c>
      <c r="AO676" t="s">
        <v>1871</v>
      </c>
      <c r="AP676" t="s">
        <v>1872</v>
      </c>
      <c r="AQ676" t="s">
        <v>74</v>
      </c>
      <c r="AR676" t="s">
        <v>1858</v>
      </c>
      <c r="AS676" t="s">
        <v>1873</v>
      </c>
      <c r="AT676" t="s">
        <v>12497</v>
      </c>
      <c r="AU676">
        <v>2020</v>
      </c>
      <c r="AV676">
        <v>529</v>
      </c>
      <c r="AW676" t="s">
        <v>74</v>
      </c>
      <c r="AX676" t="s">
        <v>74</v>
      </c>
      <c r="AY676" t="s">
        <v>74</v>
      </c>
      <c r="AZ676" t="s">
        <v>74</v>
      </c>
      <c r="BA676" t="s">
        <v>74</v>
      </c>
      <c r="BB676" t="s">
        <v>74</v>
      </c>
      <c r="BC676" t="s">
        <v>74</v>
      </c>
      <c r="BD676">
        <v>735645</v>
      </c>
      <c r="BE676" t="s">
        <v>12801</v>
      </c>
      <c r="BF676" t="str">
        <f>HYPERLINK("http://dx.doi.org/10.1016/j.aquaculture.2020.735645","http://dx.doi.org/10.1016/j.aquaculture.2020.735645")</f>
        <v>http://dx.doi.org/10.1016/j.aquaculture.2020.735645</v>
      </c>
      <c r="BG676" t="s">
        <v>74</v>
      </c>
      <c r="BH676" t="s">
        <v>74</v>
      </c>
      <c r="BI676">
        <v>8</v>
      </c>
      <c r="BJ676" t="s">
        <v>584</v>
      </c>
      <c r="BK676" t="s">
        <v>103</v>
      </c>
      <c r="BL676" t="s">
        <v>584</v>
      </c>
      <c r="BM676" t="s">
        <v>12802</v>
      </c>
      <c r="BN676" t="s">
        <v>74</v>
      </c>
      <c r="BO676" t="s">
        <v>74</v>
      </c>
      <c r="BP676" t="s">
        <v>74</v>
      </c>
      <c r="BQ676" t="s">
        <v>74</v>
      </c>
      <c r="BR676" t="s">
        <v>106</v>
      </c>
      <c r="BS676" t="s">
        <v>12803</v>
      </c>
      <c r="BT676" t="str">
        <f>HYPERLINK("https%3A%2F%2Fwww.webofscience.com%2Fwos%2Fwoscc%2Ffull-record%2FWOS:000566468000004","View Full Record in Web of Science")</f>
        <v>View Full Record in Web of Science</v>
      </c>
    </row>
    <row r="677" spans="1:72" x14ac:dyDescent="0.15">
      <c r="A677" t="s">
        <v>72</v>
      </c>
      <c r="B677" t="s">
        <v>12804</v>
      </c>
      <c r="C677" t="s">
        <v>74</v>
      </c>
      <c r="D677" t="s">
        <v>74</v>
      </c>
      <c r="E677" t="s">
        <v>74</v>
      </c>
      <c r="F677" t="s">
        <v>12805</v>
      </c>
      <c r="G677" t="s">
        <v>74</v>
      </c>
      <c r="H677" t="s">
        <v>74</v>
      </c>
      <c r="I677" t="s">
        <v>12806</v>
      </c>
      <c r="J677" t="s">
        <v>12807</v>
      </c>
      <c r="K677" t="s">
        <v>74</v>
      </c>
      <c r="L677" t="s">
        <v>74</v>
      </c>
      <c r="M677" t="s">
        <v>78</v>
      </c>
      <c r="N677" t="s">
        <v>79</v>
      </c>
      <c r="O677" t="s">
        <v>74</v>
      </c>
      <c r="P677" t="s">
        <v>74</v>
      </c>
      <c r="Q677" t="s">
        <v>74</v>
      </c>
      <c r="R677" t="s">
        <v>74</v>
      </c>
      <c r="S677" t="s">
        <v>74</v>
      </c>
      <c r="T677" t="s">
        <v>74</v>
      </c>
      <c r="U677" t="s">
        <v>12808</v>
      </c>
      <c r="V677" t="s">
        <v>12809</v>
      </c>
      <c r="W677" t="s">
        <v>12810</v>
      </c>
      <c r="X677" t="s">
        <v>12811</v>
      </c>
      <c r="Y677" t="s">
        <v>12812</v>
      </c>
      <c r="Z677" t="s">
        <v>12813</v>
      </c>
      <c r="AA677" t="s">
        <v>12814</v>
      </c>
      <c r="AB677" t="s">
        <v>12815</v>
      </c>
      <c r="AC677" t="s">
        <v>12816</v>
      </c>
      <c r="AD677" t="s">
        <v>12817</v>
      </c>
      <c r="AE677" t="s">
        <v>12818</v>
      </c>
      <c r="AF677" t="s">
        <v>74</v>
      </c>
      <c r="AG677">
        <v>194</v>
      </c>
      <c r="AH677">
        <v>6</v>
      </c>
      <c r="AI677">
        <v>6</v>
      </c>
      <c r="AJ677">
        <v>0</v>
      </c>
      <c r="AK677">
        <v>10</v>
      </c>
      <c r="AL677" t="s">
        <v>1183</v>
      </c>
      <c r="AM677" t="s">
        <v>1184</v>
      </c>
      <c r="AN677" t="s">
        <v>1185</v>
      </c>
      <c r="AO677" t="s">
        <v>12819</v>
      </c>
      <c r="AP677" t="s">
        <v>12820</v>
      </c>
      <c r="AQ677" t="s">
        <v>74</v>
      </c>
      <c r="AR677" t="s">
        <v>12821</v>
      </c>
      <c r="AS677" t="s">
        <v>12822</v>
      </c>
      <c r="AT677" t="s">
        <v>12823</v>
      </c>
      <c r="AU677">
        <v>2020</v>
      </c>
      <c r="AV677">
        <v>40</v>
      </c>
      <c r="AW677" t="s">
        <v>74</v>
      </c>
      <c r="AX677" t="s">
        <v>74</v>
      </c>
      <c r="AY677">
        <v>1</v>
      </c>
      <c r="AZ677" t="s">
        <v>74</v>
      </c>
      <c r="BA677" t="s">
        <v>74</v>
      </c>
      <c r="BB677">
        <v>19</v>
      </c>
      <c r="BC677">
        <v>66</v>
      </c>
      <c r="BD677" t="s">
        <v>74</v>
      </c>
      <c r="BE677" t="s">
        <v>12824</v>
      </c>
      <c r="BF677" t="str">
        <f>HYPERLINK("http://dx.doi.org/10.1080/02724634.2020.1808665","http://dx.doi.org/10.1080/02724634.2020.1808665")</f>
        <v>http://dx.doi.org/10.1080/02724634.2020.1808665</v>
      </c>
      <c r="BG677" t="s">
        <v>74</v>
      </c>
      <c r="BH677" t="s">
        <v>74</v>
      </c>
      <c r="BI677">
        <v>48</v>
      </c>
      <c r="BJ677" t="s">
        <v>6950</v>
      </c>
      <c r="BK677" t="s">
        <v>271</v>
      </c>
      <c r="BL677" t="s">
        <v>6950</v>
      </c>
      <c r="BM677" t="s">
        <v>12825</v>
      </c>
      <c r="BN677" t="s">
        <v>74</v>
      </c>
      <c r="BO677" t="s">
        <v>74</v>
      </c>
      <c r="BP677" t="s">
        <v>74</v>
      </c>
      <c r="BQ677" t="s">
        <v>74</v>
      </c>
      <c r="BR677" t="s">
        <v>106</v>
      </c>
      <c r="BS677" t="s">
        <v>12826</v>
      </c>
      <c r="BT677" t="str">
        <f>HYPERLINK("https%3A%2F%2Fwww.webofscience.com%2Fwos%2Fwoscc%2Ffull-record%2FWOS:000605443500003","View Full Record in Web of Science")</f>
        <v>View Full Record in Web of Science</v>
      </c>
    </row>
    <row r="678" spans="1:72" x14ac:dyDescent="0.15">
      <c r="A678" t="s">
        <v>72</v>
      </c>
      <c r="B678" t="s">
        <v>12827</v>
      </c>
      <c r="C678" t="s">
        <v>74</v>
      </c>
      <c r="D678" t="s">
        <v>74</v>
      </c>
      <c r="E678" t="s">
        <v>74</v>
      </c>
      <c r="F678" t="s">
        <v>12828</v>
      </c>
      <c r="G678" t="s">
        <v>74</v>
      </c>
      <c r="H678" t="s">
        <v>74</v>
      </c>
      <c r="I678" t="s">
        <v>12829</v>
      </c>
      <c r="J678" t="s">
        <v>12830</v>
      </c>
      <c r="K678" t="s">
        <v>74</v>
      </c>
      <c r="L678" t="s">
        <v>74</v>
      </c>
      <c r="M678" t="s">
        <v>78</v>
      </c>
      <c r="N678" t="s">
        <v>79</v>
      </c>
      <c r="O678" t="s">
        <v>74</v>
      </c>
      <c r="P678" t="s">
        <v>74</v>
      </c>
      <c r="Q678" t="s">
        <v>74</v>
      </c>
      <c r="R678" t="s">
        <v>74</v>
      </c>
      <c r="S678" t="s">
        <v>74</v>
      </c>
      <c r="T678" t="s">
        <v>12831</v>
      </c>
      <c r="U678" t="s">
        <v>12832</v>
      </c>
      <c r="V678" t="s">
        <v>12833</v>
      </c>
      <c r="W678" t="s">
        <v>12834</v>
      </c>
      <c r="X678" t="s">
        <v>12835</v>
      </c>
      <c r="Y678" t="s">
        <v>12836</v>
      </c>
      <c r="Z678" t="s">
        <v>12837</v>
      </c>
      <c r="AA678" t="s">
        <v>12838</v>
      </c>
      <c r="AB678" t="s">
        <v>12839</v>
      </c>
      <c r="AC678" t="s">
        <v>12840</v>
      </c>
      <c r="AD678" t="s">
        <v>12841</v>
      </c>
      <c r="AE678" t="s">
        <v>12842</v>
      </c>
      <c r="AF678" t="s">
        <v>74</v>
      </c>
      <c r="AG678">
        <v>108</v>
      </c>
      <c r="AH678">
        <v>5</v>
      </c>
      <c r="AI678">
        <v>5</v>
      </c>
      <c r="AJ678">
        <v>1</v>
      </c>
      <c r="AK678">
        <v>10</v>
      </c>
      <c r="AL678" t="s">
        <v>2630</v>
      </c>
      <c r="AM678" t="s">
        <v>2631</v>
      </c>
      <c r="AN678" t="s">
        <v>2632</v>
      </c>
      <c r="AO678" t="s">
        <v>12843</v>
      </c>
      <c r="AP678" t="s">
        <v>12844</v>
      </c>
      <c r="AQ678" t="s">
        <v>74</v>
      </c>
      <c r="AR678" t="s">
        <v>12845</v>
      </c>
      <c r="AS678" t="s">
        <v>12846</v>
      </c>
      <c r="AT678" t="s">
        <v>12847</v>
      </c>
      <c r="AU678">
        <v>2021</v>
      </c>
      <c r="AV678">
        <v>19</v>
      </c>
      <c r="AW678">
        <v>5</v>
      </c>
      <c r="AX678" t="s">
        <v>74</v>
      </c>
      <c r="AY678" t="s">
        <v>74</v>
      </c>
      <c r="AZ678" t="s">
        <v>74</v>
      </c>
      <c r="BA678" t="s">
        <v>74</v>
      </c>
      <c r="BB678">
        <v>453</v>
      </c>
      <c r="BC678">
        <v>470</v>
      </c>
      <c r="BD678" t="s">
        <v>74</v>
      </c>
      <c r="BE678" t="s">
        <v>12848</v>
      </c>
      <c r="BF678" t="str">
        <f>HYPERLINK("http://dx.doi.org/10.1080/14772000.2020.1860151","http://dx.doi.org/10.1080/14772000.2020.1860151")</f>
        <v>http://dx.doi.org/10.1080/14772000.2020.1860151</v>
      </c>
      <c r="BG678" t="s">
        <v>74</v>
      </c>
      <c r="BH678" t="s">
        <v>11309</v>
      </c>
      <c r="BI678">
        <v>18</v>
      </c>
      <c r="BJ678" t="s">
        <v>12849</v>
      </c>
      <c r="BK678" t="s">
        <v>103</v>
      </c>
      <c r="BL678" t="s">
        <v>12850</v>
      </c>
      <c r="BM678" t="s">
        <v>12851</v>
      </c>
      <c r="BN678" t="s">
        <v>74</v>
      </c>
      <c r="BO678" t="s">
        <v>74</v>
      </c>
      <c r="BP678" t="s">
        <v>74</v>
      </c>
      <c r="BQ678" t="s">
        <v>74</v>
      </c>
      <c r="BR678" t="s">
        <v>106</v>
      </c>
      <c r="BS678" t="s">
        <v>12852</v>
      </c>
      <c r="BT678" t="str">
        <f>HYPERLINK("https%3A%2F%2Fwww.webofscience.com%2Fwos%2Fwoscc%2Ffull-record%2FWOS:000607241300001","View Full Record in Web of Science")</f>
        <v>View Full Record in Web of Science</v>
      </c>
    </row>
    <row r="679" spans="1:72" x14ac:dyDescent="0.15">
      <c r="A679" t="s">
        <v>72</v>
      </c>
      <c r="B679" t="s">
        <v>12853</v>
      </c>
      <c r="C679" t="s">
        <v>74</v>
      </c>
      <c r="D679" t="s">
        <v>74</v>
      </c>
      <c r="E679" t="s">
        <v>74</v>
      </c>
      <c r="F679" t="s">
        <v>12854</v>
      </c>
      <c r="G679" t="s">
        <v>74</v>
      </c>
      <c r="H679" t="s">
        <v>74</v>
      </c>
      <c r="I679" t="s">
        <v>12855</v>
      </c>
      <c r="J679" t="s">
        <v>12856</v>
      </c>
      <c r="K679" t="s">
        <v>74</v>
      </c>
      <c r="L679" t="s">
        <v>74</v>
      </c>
      <c r="M679" t="s">
        <v>78</v>
      </c>
      <c r="N679" t="s">
        <v>79</v>
      </c>
      <c r="O679" t="s">
        <v>74</v>
      </c>
      <c r="P679" t="s">
        <v>74</v>
      </c>
      <c r="Q679" t="s">
        <v>74</v>
      </c>
      <c r="R679" t="s">
        <v>74</v>
      </c>
      <c r="S679" t="s">
        <v>74</v>
      </c>
      <c r="T679" t="s">
        <v>12857</v>
      </c>
      <c r="U679" t="s">
        <v>12858</v>
      </c>
      <c r="V679" t="s">
        <v>12859</v>
      </c>
      <c r="W679" t="s">
        <v>12860</v>
      </c>
      <c r="X679" t="s">
        <v>12861</v>
      </c>
      <c r="Y679" t="s">
        <v>12862</v>
      </c>
      <c r="Z679" t="s">
        <v>12863</v>
      </c>
      <c r="AA679" t="s">
        <v>12864</v>
      </c>
      <c r="AB679" t="s">
        <v>12865</v>
      </c>
      <c r="AC679" t="s">
        <v>12866</v>
      </c>
      <c r="AD679" t="s">
        <v>12867</v>
      </c>
      <c r="AE679" t="s">
        <v>12868</v>
      </c>
      <c r="AF679" t="s">
        <v>74</v>
      </c>
      <c r="AG679">
        <v>112</v>
      </c>
      <c r="AH679">
        <v>1</v>
      </c>
      <c r="AI679">
        <v>1</v>
      </c>
      <c r="AJ679">
        <v>1</v>
      </c>
      <c r="AK679">
        <v>9</v>
      </c>
      <c r="AL679" t="s">
        <v>500</v>
      </c>
      <c r="AM679" t="s">
        <v>501</v>
      </c>
      <c r="AN679" t="s">
        <v>502</v>
      </c>
      <c r="AO679" t="s">
        <v>74</v>
      </c>
      <c r="AP679" t="s">
        <v>12869</v>
      </c>
      <c r="AQ679" t="s">
        <v>74</v>
      </c>
      <c r="AR679" t="s">
        <v>12870</v>
      </c>
      <c r="AS679" t="s">
        <v>12871</v>
      </c>
      <c r="AT679" t="s">
        <v>12823</v>
      </c>
      <c r="AU679">
        <v>2020</v>
      </c>
      <c r="AV679">
        <v>8</v>
      </c>
      <c r="AW679" t="s">
        <v>74</v>
      </c>
      <c r="AX679" t="s">
        <v>74</v>
      </c>
      <c r="AY679" t="s">
        <v>74</v>
      </c>
      <c r="AZ679" t="s">
        <v>74</v>
      </c>
      <c r="BA679" t="s">
        <v>74</v>
      </c>
      <c r="BB679" t="s">
        <v>74</v>
      </c>
      <c r="BC679" t="s">
        <v>74</v>
      </c>
      <c r="BD679">
        <v>563453</v>
      </c>
      <c r="BE679" t="s">
        <v>12872</v>
      </c>
      <c r="BF679" t="str">
        <f>HYPERLINK("http://dx.doi.org/10.3389/feart.2020.563453","http://dx.doi.org/10.3389/feart.2020.563453")</f>
        <v>http://dx.doi.org/10.3389/feart.2020.563453</v>
      </c>
      <c r="BG679" t="s">
        <v>74</v>
      </c>
      <c r="BH679" t="s">
        <v>74</v>
      </c>
      <c r="BI679">
        <v>16</v>
      </c>
      <c r="BJ679" t="s">
        <v>401</v>
      </c>
      <c r="BK679" t="s">
        <v>103</v>
      </c>
      <c r="BL679" t="s">
        <v>402</v>
      </c>
      <c r="BM679" t="s">
        <v>12873</v>
      </c>
      <c r="BN679" t="s">
        <v>74</v>
      </c>
      <c r="BO679" t="s">
        <v>326</v>
      </c>
      <c r="BP679" t="s">
        <v>74</v>
      </c>
      <c r="BQ679" t="s">
        <v>74</v>
      </c>
      <c r="BR679" t="s">
        <v>106</v>
      </c>
      <c r="BS679" t="s">
        <v>12874</v>
      </c>
      <c r="BT679" t="str">
        <f>HYPERLINK("https%3A%2F%2Fwww.webofscience.com%2Fwos%2Fwoscc%2Ffull-record%2FWOS:000602593000001","View Full Record in Web of Science")</f>
        <v>View Full Record in Web of Science</v>
      </c>
    </row>
    <row r="680" spans="1:72" x14ac:dyDescent="0.15">
      <c r="A680" t="s">
        <v>72</v>
      </c>
      <c r="B680" t="s">
        <v>12875</v>
      </c>
      <c r="C680" t="s">
        <v>74</v>
      </c>
      <c r="D680" t="s">
        <v>74</v>
      </c>
      <c r="E680" t="s">
        <v>74</v>
      </c>
      <c r="F680" t="s">
        <v>12876</v>
      </c>
      <c r="G680" t="s">
        <v>74</v>
      </c>
      <c r="H680" t="s">
        <v>74</v>
      </c>
      <c r="I680" t="s">
        <v>12877</v>
      </c>
      <c r="J680" t="s">
        <v>487</v>
      </c>
      <c r="K680" t="s">
        <v>74</v>
      </c>
      <c r="L680" t="s">
        <v>74</v>
      </c>
      <c r="M680" t="s">
        <v>78</v>
      </c>
      <c r="N680" t="s">
        <v>79</v>
      </c>
      <c r="O680" t="s">
        <v>74</v>
      </c>
      <c r="P680" t="s">
        <v>74</v>
      </c>
      <c r="Q680" t="s">
        <v>74</v>
      </c>
      <c r="R680" t="s">
        <v>74</v>
      </c>
      <c r="S680" t="s">
        <v>74</v>
      </c>
      <c r="T680" t="s">
        <v>12878</v>
      </c>
      <c r="U680" t="s">
        <v>12879</v>
      </c>
      <c r="V680" t="s">
        <v>12880</v>
      </c>
      <c r="W680" t="s">
        <v>12881</v>
      </c>
      <c r="X680" t="s">
        <v>12882</v>
      </c>
      <c r="Y680" t="s">
        <v>12883</v>
      </c>
      <c r="Z680" t="s">
        <v>12884</v>
      </c>
      <c r="AA680" t="s">
        <v>74</v>
      </c>
      <c r="AB680" t="s">
        <v>12885</v>
      </c>
      <c r="AC680" t="s">
        <v>12886</v>
      </c>
      <c r="AD680" t="s">
        <v>12887</v>
      </c>
      <c r="AE680" t="s">
        <v>12888</v>
      </c>
      <c r="AF680" t="s">
        <v>74</v>
      </c>
      <c r="AG680">
        <v>129</v>
      </c>
      <c r="AH680">
        <v>7</v>
      </c>
      <c r="AI680">
        <v>7</v>
      </c>
      <c r="AJ680">
        <v>0</v>
      </c>
      <c r="AK680">
        <v>6</v>
      </c>
      <c r="AL680" t="s">
        <v>500</v>
      </c>
      <c r="AM680" t="s">
        <v>501</v>
      </c>
      <c r="AN680" t="s">
        <v>502</v>
      </c>
      <c r="AO680" t="s">
        <v>74</v>
      </c>
      <c r="AP680" t="s">
        <v>503</v>
      </c>
      <c r="AQ680" t="s">
        <v>74</v>
      </c>
      <c r="AR680" t="s">
        <v>504</v>
      </c>
      <c r="AS680" t="s">
        <v>505</v>
      </c>
      <c r="AT680" t="s">
        <v>12823</v>
      </c>
      <c r="AU680">
        <v>2020</v>
      </c>
      <c r="AV680">
        <v>7</v>
      </c>
      <c r="AW680" t="s">
        <v>74</v>
      </c>
      <c r="AX680" t="s">
        <v>74</v>
      </c>
      <c r="AY680" t="s">
        <v>74</v>
      </c>
      <c r="AZ680" t="s">
        <v>74</v>
      </c>
      <c r="BA680" t="s">
        <v>74</v>
      </c>
      <c r="BB680" t="s">
        <v>74</v>
      </c>
      <c r="BC680" t="s">
        <v>74</v>
      </c>
      <c r="BD680">
        <v>613610</v>
      </c>
      <c r="BE680" t="s">
        <v>12889</v>
      </c>
      <c r="BF680" t="str">
        <f>HYPERLINK("http://dx.doi.org/10.3389/fmars.2020.613610","http://dx.doi.org/10.3389/fmars.2020.613610")</f>
        <v>http://dx.doi.org/10.3389/fmars.2020.613610</v>
      </c>
      <c r="BG680" t="s">
        <v>74</v>
      </c>
      <c r="BH680" t="s">
        <v>74</v>
      </c>
      <c r="BI680">
        <v>27</v>
      </c>
      <c r="BJ680" t="s">
        <v>507</v>
      </c>
      <c r="BK680" t="s">
        <v>103</v>
      </c>
      <c r="BL680" t="s">
        <v>508</v>
      </c>
      <c r="BM680" t="s">
        <v>12890</v>
      </c>
      <c r="BN680" t="s">
        <v>74</v>
      </c>
      <c r="BO680" t="s">
        <v>958</v>
      </c>
      <c r="BP680" t="s">
        <v>74</v>
      </c>
      <c r="BQ680" t="s">
        <v>74</v>
      </c>
      <c r="BR680" t="s">
        <v>106</v>
      </c>
      <c r="BS680" t="s">
        <v>12891</v>
      </c>
      <c r="BT680" t="str">
        <f>HYPERLINK("https%3A%2F%2Fwww.webofscience.com%2Fwos%2Fwoscc%2Ffull-record%2FWOS:000600687300001","View Full Record in Web of Science")</f>
        <v>View Full Record in Web of Science</v>
      </c>
    </row>
    <row r="681" spans="1:72" x14ac:dyDescent="0.15">
      <c r="A681" t="s">
        <v>72</v>
      </c>
      <c r="B681" t="s">
        <v>12892</v>
      </c>
      <c r="C681" t="s">
        <v>74</v>
      </c>
      <c r="D681" t="s">
        <v>74</v>
      </c>
      <c r="E681" t="s">
        <v>74</v>
      </c>
      <c r="F681" t="s">
        <v>12893</v>
      </c>
      <c r="G681" t="s">
        <v>74</v>
      </c>
      <c r="H681" t="s">
        <v>74</v>
      </c>
      <c r="I681" t="s">
        <v>12894</v>
      </c>
      <c r="J681" t="s">
        <v>2075</v>
      </c>
      <c r="K681" t="s">
        <v>74</v>
      </c>
      <c r="L681" t="s">
        <v>74</v>
      </c>
      <c r="M681" t="s">
        <v>78</v>
      </c>
      <c r="N681" t="s">
        <v>79</v>
      </c>
      <c r="O681" t="s">
        <v>74</v>
      </c>
      <c r="P681" t="s">
        <v>74</v>
      </c>
      <c r="Q681" t="s">
        <v>74</v>
      </c>
      <c r="R681" t="s">
        <v>74</v>
      </c>
      <c r="S681" t="s">
        <v>74</v>
      </c>
      <c r="T681" t="s">
        <v>74</v>
      </c>
      <c r="U681" t="s">
        <v>12895</v>
      </c>
      <c r="V681" t="s">
        <v>12896</v>
      </c>
      <c r="W681" t="s">
        <v>12897</v>
      </c>
      <c r="X681" t="s">
        <v>12898</v>
      </c>
      <c r="Y681" t="s">
        <v>12899</v>
      </c>
      <c r="Z681" t="s">
        <v>12900</v>
      </c>
      <c r="AA681" t="s">
        <v>12901</v>
      </c>
      <c r="AB681" t="s">
        <v>12902</v>
      </c>
      <c r="AC681" t="s">
        <v>12903</v>
      </c>
      <c r="AD681" t="s">
        <v>12904</v>
      </c>
      <c r="AE681" t="s">
        <v>12905</v>
      </c>
      <c r="AF681" t="s">
        <v>74</v>
      </c>
      <c r="AG681">
        <v>75</v>
      </c>
      <c r="AH681">
        <v>12</v>
      </c>
      <c r="AI681">
        <v>13</v>
      </c>
      <c r="AJ681">
        <v>2</v>
      </c>
      <c r="AK681">
        <v>8</v>
      </c>
      <c r="AL681" t="s">
        <v>955</v>
      </c>
      <c r="AM681" t="s">
        <v>528</v>
      </c>
      <c r="AN681" t="s">
        <v>529</v>
      </c>
      <c r="AO681" t="s">
        <v>2085</v>
      </c>
      <c r="AP681" t="s">
        <v>74</v>
      </c>
      <c r="AQ681" t="s">
        <v>74</v>
      </c>
      <c r="AR681" t="s">
        <v>2086</v>
      </c>
      <c r="AS681" t="s">
        <v>2087</v>
      </c>
      <c r="AT681" t="s">
        <v>12823</v>
      </c>
      <c r="AU681">
        <v>2020</v>
      </c>
      <c r="AV681">
        <v>10</v>
      </c>
      <c r="AW681">
        <v>1</v>
      </c>
      <c r="AX681" t="s">
        <v>74</v>
      </c>
      <c r="AY681" t="s">
        <v>74</v>
      </c>
      <c r="AZ681" t="s">
        <v>74</v>
      </c>
      <c r="BA681" t="s">
        <v>74</v>
      </c>
      <c r="BB681" t="s">
        <v>74</v>
      </c>
      <c r="BC681" t="s">
        <v>74</v>
      </c>
      <c r="BD681">
        <v>21848</v>
      </c>
      <c r="BE681" t="s">
        <v>12906</v>
      </c>
      <c r="BF681" t="str">
        <f>HYPERLINK("http://dx.doi.org/10.1038/s41598-020-79084-6","http://dx.doi.org/10.1038/s41598-020-79084-6")</f>
        <v>http://dx.doi.org/10.1038/s41598-020-79084-6</v>
      </c>
      <c r="BG681" t="s">
        <v>74</v>
      </c>
      <c r="BH681" t="s">
        <v>74</v>
      </c>
      <c r="BI681">
        <v>17</v>
      </c>
      <c r="BJ681" t="s">
        <v>534</v>
      </c>
      <c r="BK681" t="s">
        <v>103</v>
      </c>
      <c r="BL681" t="s">
        <v>535</v>
      </c>
      <c r="BM681" t="s">
        <v>12907</v>
      </c>
      <c r="BN681">
        <v>33318636</v>
      </c>
      <c r="BO681" t="s">
        <v>1105</v>
      </c>
      <c r="BP681" t="s">
        <v>74</v>
      </c>
      <c r="BQ681" t="s">
        <v>74</v>
      </c>
      <c r="BR681" t="s">
        <v>106</v>
      </c>
      <c r="BS681" t="s">
        <v>12908</v>
      </c>
      <c r="BT681" t="str">
        <f>HYPERLINK("https%3A%2F%2Fwww.webofscience.com%2Fwos%2Fwoscc%2Ffull-record%2FWOS:000600104900015","View Full Record in Web of Science")</f>
        <v>View Full Record in Web of Science</v>
      </c>
    </row>
    <row r="682" spans="1:72" x14ac:dyDescent="0.15">
      <c r="A682" t="s">
        <v>72</v>
      </c>
      <c r="B682" t="s">
        <v>12909</v>
      </c>
      <c r="C682" t="s">
        <v>74</v>
      </c>
      <c r="D682" t="s">
        <v>74</v>
      </c>
      <c r="E682" t="s">
        <v>74</v>
      </c>
      <c r="F682" t="s">
        <v>12910</v>
      </c>
      <c r="G682" t="s">
        <v>74</v>
      </c>
      <c r="H682" t="s">
        <v>74</v>
      </c>
      <c r="I682" t="s">
        <v>12911</v>
      </c>
      <c r="J682" t="s">
        <v>1446</v>
      </c>
      <c r="K682" t="s">
        <v>74</v>
      </c>
      <c r="L682" t="s">
        <v>74</v>
      </c>
      <c r="M682" t="s">
        <v>78</v>
      </c>
      <c r="N682" t="s">
        <v>79</v>
      </c>
      <c r="O682" t="s">
        <v>74</v>
      </c>
      <c r="P682" t="s">
        <v>74</v>
      </c>
      <c r="Q682" t="s">
        <v>74</v>
      </c>
      <c r="R682" t="s">
        <v>74</v>
      </c>
      <c r="S682" t="s">
        <v>74</v>
      </c>
      <c r="T682" t="s">
        <v>12912</v>
      </c>
      <c r="U682" t="s">
        <v>12913</v>
      </c>
      <c r="V682" t="s">
        <v>12914</v>
      </c>
      <c r="W682" t="s">
        <v>12915</v>
      </c>
      <c r="X682" t="s">
        <v>12916</v>
      </c>
      <c r="Y682" t="s">
        <v>12917</v>
      </c>
      <c r="Z682" t="s">
        <v>12918</v>
      </c>
      <c r="AA682" t="s">
        <v>12919</v>
      </c>
      <c r="AB682" t="s">
        <v>12920</v>
      </c>
      <c r="AC682" t="s">
        <v>12921</v>
      </c>
      <c r="AD682" t="s">
        <v>12922</v>
      </c>
      <c r="AE682" t="s">
        <v>12923</v>
      </c>
      <c r="AF682" t="s">
        <v>74</v>
      </c>
      <c r="AG682">
        <v>128</v>
      </c>
      <c r="AH682">
        <v>20</v>
      </c>
      <c r="AI682">
        <v>21</v>
      </c>
      <c r="AJ682">
        <v>3</v>
      </c>
      <c r="AK682">
        <v>44</v>
      </c>
      <c r="AL682" t="s">
        <v>552</v>
      </c>
      <c r="AM682" t="s">
        <v>553</v>
      </c>
      <c r="AN682" t="s">
        <v>554</v>
      </c>
      <c r="AO682" t="s">
        <v>1459</v>
      </c>
      <c r="AP682" t="s">
        <v>1460</v>
      </c>
      <c r="AQ682" t="s">
        <v>74</v>
      </c>
      <c r="AR682" t="s">
        <v>1461</v>
      </c>
      <c r="AS682" t="s">
        <v>1462</v>
      </c>
      <c r="AT682" t="s">
        <v>347</v>
      </c>
      <c r="AU682">
        <v>2021</v>
      </c>
      <c r="AV682">
        <v>27</v>
      </c>
      <c r="AW682">
        <v>5</v>
      </c>
      <c r="AX682" t="s">
        <v>74</v>
      </c>
      <c r="AY682" t="s">
        <v>74</v>
      </c>
      <c r="AZ682" t="s">
        <v>74</v>
      </c>
      <c r="BA682" t="s">
        <v>74</v>
      </c>
      <c r="BB682">
        <v>1052</v>
      </c>
      <c r="BC682">
        <v>1067</v>
      </c>
      <c r="BD682" t="s">
        <v>74</v>
      </c>
      <c r="BE682" t="s">
        <v>12924</v>
      </c>
      <c r="BF682" t="str">
        <f>HYPERLINK("http://dx.doi.org/10.1111/gcb.15465","http://dx.doi.org/10.1111/gcb.15465")</f>
        <v>http://dx.doi.org/10.1111/gcb.15465</v>
      </c>
      <c r="BG682" t="s">
        <v>74</v>
      </c>
      <c r="BH682" t="s">
        <v>11309</v>
      </c>
      <c r="BI682">
        <v>16</v>
      </c>
      <c r="BJ682" t="s">
        <v>1272</v>
      </c>
      <c r="BK682" t="s">
        <v>103</v>
      </c>
      <c r="BL682" t="s">
        <v>1053</v>
      </c>
      <c r="BM682" t="s">
        <v>12223</v>
      </c>
      <c r="BN682">
        <v>33319502</v>
      </c>
      <c r="BO682" t="s">
        <v>12925</v>
      </c>
      <c r="BP682" t="s">
        <v>74</v>
      </c>
      <c r="BQ682" t="s">
        <v>74</v>
      </c>
      <c r="BR682" t="s">
        <v>106</v>
      </c>
      <c r="BS682" t="s">
        <v>12926</v>
      </c>
      <c r="BT682" t="str">
        <f>HYPERLINK("https%3A%2F%2Fwww.webofscience.com%2Fwos%2Fwoscc%2Ffull-record%2FWOS:000598484300001","View Full Record in Web of Science")</f>
        <v>View Full Record in Web of Science</v>
      </c>
    </row>
    <row r="683" spans="1:72" x14ac:dyDescent="0.15">
      <c r="A683" t="s">
        <v>72</v>
      </c>
      <c r="B683" t="s">
        <v>12927</v>
      </c>
      <c r="C683" t="s">
        <v>74</v>
      </c>
      <c r="D683" t="s">
        <v>74</v>
      </c>
      <c r="E683" t="s">
        <v>74</v>
      </c>
      <c r="F683" t="s">
        <v>12928</v>
      </c>
      <c r="G683" t="s">
        <v>74</v>
      </c>
      <c r="H683" t="s">
        <v>74</v>
      </c>
      <c r="I683" t="s">
        <v>12929</v>
      </c>
      <c r="J683" t="s">
        <v>12930</v>
      </c>
      <c r="K683" t="s">
        <v>74</v>
      </c>
      <c r="L683" t="s">
        <v>74</v>
      </c>
      <c r="M683" t="s">
        <v>78</v>
      </c>
      <c r="N683" t="s">
        <v>79</v>
      </c>
      <c r="O683" t="s">
        <v>74</v>
      </c>
      <c r="P683" t="s">
        <v>74</v>
      </c>
      <c r="Q683" t="s">
        <v>74</v>
      </c>
      <c r="R683" t="s">
        <v>74</v>
      </c>
      <c r="S683" t="s">
        <v>74</v>
      </c>
      <c r="T683" t="s">
        <v>74</v>
      </c>
      <c r="U683" t="s">
        <v>12931</v>
      </c>
      <c r="V683" t="s">
        <v>12932</v>
      </c>
      <c r="W683" t="s">
        <v>12933</v>
      </c>
      <c r="X683" t="s">
        <v>12934</v>
      </c>
      <c r="Y683" t="s">
        <v>12935</v>
      </c>
      <c r="Z683" t="s">
        <v>12936</v>
      </c>
      <c r="AA683" t="s">
        <v>12937</v>
      </c>
      <c r="AB683" t="s">
        <v>12938</v>
      </c>
      <c r="AC683" t="s">
        <v>12939</v>
      </c>
      <c r="AD683" t="s">
        <v>12940</v>
      </c>
      <c r="AE683" t="s">
        <v>12941</v>
      </c>
      <c r="AF683" t="s">
        <v>74</v>
      </c>
      <c r="AG683">
        <v>38</v>
      </c>
      <c r="AH683">
        <v>12</v>
      </c>
      <c r="AI683">
        <v>12</v>
      </c>
      <c r="AJ683">
        <v>0</v>
      </c>
      <c r="AK683">
        <v>14</v>
      </c>
      <c r="AL683" t="s">
        <v>552</v>
      </c>
      <c r="AM683" t="s">
        <v>553</v>
      </c>
      <c r="AN683" t="s">
        <v>554</v>
      </c>
      <c r="AO683" t="s">
        <v>12942</v>
      </c>
      <c r="AP683" t="s">
        <v>12943</v>
      </c>
      <c r="AQ683" t="s">
        <v>74</v>
      </c>
      <c r="AR683" t="s">
        <v>12944</v>
      </c>
      <c r="AS683" t="s">
        <v>12945</v>
      </c>
      <c r="AT683" t="s">
        <v>214</v>
      </c>
      <c r="AU683">
        <v>2021</v>
      </c>
      <c r="AV683">
        <v>12</v>
      </c>
      <c r="AW683" t="s">
        <v>74</v>
      </c>
      <c r="AX683" t="s">
        <v>74</v>
      </c>
      <c r="AY683">
        <v>1</v>
      </c>
      <c r="AZ683" t="s">
        <v>582</v>
      </c>
      <c r="BA683" t="s">
        <v>74</v>
      </c>
      <c r="BB683">
        <v>108</v>
      </c>
      <c r="BC683">
        <v>118</v>
      </c>
      <c r="BD683" t="s">
        <v>74</v>
      </c>
      <c r="BE683" t="s">
        <v>12946</v>
      </c>
      <c r="BF683" t="str">
        <f>HYPERLINK("http://dx.doi.org/10.1111/1758-5899.12867","http://dx.doi.org/10.1111/1758-5899.12867")</f>
        <v>http://dx.doi.org/10.1111/1758-5899.12867</v>
      </c>
      <c r="BG683" t="s">
        <v>74</v>
      </c>
      <c r="BH683" t="s">
        <v>11309</v>
      </c>
      <c r="BI683">
        <v>11</v>
      </c>
      <c r="BJ683" t="s">
        <v>12947</v>
      </c>
      <c r="BK683" t="s">
        <v>2733</v>
      </c>
      <c r="BL683" t="s">
        <v>12948</v>
      </c>
      <c r="BM683" t="s">
        <v>12949</v>
      </c>
      <c r="BN683" t="s">
        <v>74</v>
      </c>
      <c r="BO683" t="s">
        <v>189</v>
      </c>
      <c r="BP683" t="s">
        <v>74</v>
      </c>
      <c r="BQ683" t="s">
        <v>74</v>
      </c>
      <c r="BR683" t="s">
        <v>106</v>
      </c>
      <c r="BS683" t="s">
        <v>12950</v>
      </c>
      <c r="BT683" t="str">
        <f>HYPERLINK("https%3A%2F%2Fwww.webofscience.com%2Fwos%2Fwoscc%2Ffull-record%2FWOS:000598308600001","View Full Record in Web of Science")</f>
        <v>View Full Record in Web of Science</v>
      </c>
    </row>
    <row r="684" spans="1:72" x14ac:dyDescent="0.15">
      <c r="A684" t="s">
        <v>72</v>
      </c>
      <c r="B684" t="s">
        <v>12951</v>
      </c>
      <c r="C684" t="s">
        <v>74</v>
      </c>
      <c r="D684" t="s">
        <v>74</v>
      </c>
      <c r="E684" t="s">
        <v>74</v>
      </c>
      <c r="F684" t="s">
        <v>12952</v>
      </c>
      <c r="G684" t="s">
        <v>74</v>
      </c>
      <c r="H684" t="s">
        <v>74</v>
      </c>
      <c r="I684" t="s">
        <v>12953</v>
      </c>
      <c r="J684" t="s">
        <v>12954</v>
      </c>
      <c r="K684" t="s">
        <v>74</v>
      </c>
      <c r="L684" t="s">
        <v>74</v>
      </c>
      <c r="M684" t="s">
        <v>78</v>
      </c>
      <c r="N684" t="s">
        <v>79</v>
      </c>
      <c r="O684" t="s">
        <v>74</v>
      </c>
      <c r="P684" t="s">
        <v>74</v>
      </c>
      <c r="Q684" t="s">
        <v>74</v>
      </c>
      <c r="R684" t="s">
        <v>74</v>
      </c>
      <c r="S684" t="s">
        <v>74</v>
      </c>
      <c r="T684" t="s">
        <v>12955</v>
      </c>
      <c r="U684" t="s">
        <v>12956</v>
      </c>
      <c r="V684" t="s">
        <v>12957</v>
      </c>
      <c r="W684" t="s">
        <v>12958</v>
      </c>
      <c r="X684" t="s">
        <v>12959</v>
      </c>
      <c r="Y684" t="s">
        <v>12960</v>
      </c>
      <c r="Z684" t="s">
        <v>12961</v>
      </c>
      <c r="AA684" t="s">
        <v>12962</v>
      </c>
      <c r="AB684" t="s">
        <v>12963</v>
      </c>
      <c r="AC684" t="s">
        <v>12964</v>
      </c>
      <c r="AD684" t="s">
        <v>12964</v>
      </c>
      <c r="AE684" t="s">
        <v>12964</v>
      </c>
      <c r="AF684" t="s">
        <v>74</v>
      </c>
      <c r="AG684">
        <v>51</v>
      </c>
      <c r="AH684">
        <v>4</v>
      </c>
      <c r="AI684">
        <v>4</v>
      </c>
      <c r="AJ684">
        <v>0</v>
      </c>
      <c r="AK684">
        <v>1</v>
      </c>
      <c r="AL684" t="s">
        <v>552</v>
      </c>
      <c r="AM684" t="s">
        <v>553</v>
      </c>
      <c r="AN684" t="s">
        <v>554</v>
      </c>
      <c r="AO684" t="s">
        <v>12965</v>
      </c>
      <c r="AP684" t="s">
        <v>12966</v>
      </c>
      <c r="AQ684" t="s">
        <v>74</v>
      </c>
      <c r="AR684" t="s">
        <v>12967</v>
      </c>
      <c r="AS684" t="s">
        <v>12968</v>
      </c>
      <c r="AT684" t="s">
        <v>184</v>
      </c>
      <c r="AU684">
        <v>2021</v>
      </c>
      <c r="AV684">
        <v>44</v>
      </c>
      <c r="AW684">
        <v>2</v>
      </c>
      <c r="AX684" t="s">
        <v>74</v>
      </c>
      <c r="AY684" t="s">
        <v>74</v>
      </c>
      <c r="AZ684" t="s">
        <v>74</v>
      </c>
      <c r="BA684" t="s">
        <v>74</v>
      </c>
      <c r="BB684">
        <v>149</v>
      </c>
      <c r="BC684">
        <v>160</v>
      </c>
      <c r="BD684" t="s">
        <v>74</v>
      </c>
      <c r="BE684" t="s">
        <v>12969</v>
      </c>
      <c r="BF684" t="str">
        <f>HYPERLINK("http://dx.doi.org/10.1111/jfd.13319","http://dx.doi.org/10.1111/jfd.13319")</f>
        <v>http://dx.doi.org/10.1111/jfd.13319</v>
      </c>
      <c r="BG684" t="s">
        <v>74</v>
      </c>
      <c r="BH684" t="s">
        <v>11309</v>
      </c>
      <c r="BI684">
        <v>12</v>
      </c>
      <c r="BJ684" t="s">
        <v>12970</v>
      </c>
      <c r="BK684" t="s">
        <v>103</v>
      </c>
      <c r="BL684" t="s">
        <v>12970</v>
      </c>
      <c r="BM684" t="s">
        <v>12971</v>
      </c>
      <c r="BN684">
        <v>33314290</v>
      </c>
      <c r="BO684" t="s">
        <v>74</v>
      </c>
      <c r="BP684" t="s">
        <v>74</v>
      </c>
      <c r="BQ684" t="s">
        <v>74</v>
      </c>
      <c r="BR684" t="s">
        <v>106</v>
      </c>
      <c r="BS684" t="s">
        <v>12972</v>
      </c>
      <c r="BT684" t="str">
        <f>HYPERLINK("https%3A%2F%2Fwww.webofscience.com%2Fwos%2Fwoscc%2Ffull-record%2FWOS:000597757300001","View Full Record in Web of Science")</f>
        <v>View Full Record in Web of Science</v>
      </c>
    </row>
    <row r="685" spans="1:72" x14ac:dyDescent="0.15">
      <c r="A685" t="s">
        <v>72</v>
      </c>
      <c r="B685" t="s">
        <v>12973</v>
      </c>
      <c r="C685" t="s">
        <v>74</v>
      </c>
      <c r="D685" t="s">
        <v>74</v>
      </c>
      <c r="E685" t="s">
        <v>74</v>
      </c>
      <c r="F685" t="s">
        <v>12974</v>
      </c>
      <c r="G685" t="s">
        <v>74</v>
      </c>
      <c r="H685" t="s">
        <v>74</v>
      </c>
      <c r="I685" t="s">
        <v>12975</v>
      </c>
      <c r="J685" t="s">
        <v>3191</v>
      </c>
      <c r="K685" t="s">
        <v>74</v>
      </c>
      <c r="L685" t="s">
        <v>74</v>
      </c>
      <c r="M685" t="s">
        <v>78</v>
      </c>
      <c r="N685" t="s">
        <v>79</v>
      </c>
      <c r="O685" t="s">
        <v>74</v>
      </c>
      <c r="P685" t="s">
        <v>74</v>
      </c>
      <c r="Q685" t="s">
        <v>74</v>
      </c>
      <c r="R685" t="s">
        <v>74</v>
      </c>
      <c r="S685" t="s">
        <v>74</v>
      </c>
      <c r="T685" t="s">
        <v>12976</v>
      </c>
      <c r="U685" t="s">
        <v>12977</v>
      </c>
      <c r="V685" t="s">
        <v>12978</v>
      </c>
      <c r="W685" t="s">
        <v>12979</v>
      </c>
      <c r="X685" t="s">
        <v>12980</v>
      </c>
      <c r="Y685" t="s">
        <v>12981</v>
      </c>
      <c r="Z685" t="s">
        <v>12982</v>
      </c>
      <c r="AA685" t="s">
        <v>12983</v>
      </c>
      <c r="AB685" t="s">
        <v>12984</v>
      </c>
      <c r="AC685" t="s">
        <v>12985</v>
      </c>
      <c r="AD685" t="s">
        <v>12986</v>
      </c>
      <c r="AE685" t="s">
        <v>12987</v>
      </c>
      <c r="AF685" t="s">
        <v>74</v>
      </c>
      <c r="AG685">
        <v>103</v>
      </c>
      <c r="AH685">
        <v>7</v>
      </c>
      <c r="AI685">
        <v>8</v>
      </c>
      <c r="AJ685">
        <v>0</v>
      </c>
      <c r="AK685">
        <v>12</v>
      </c>
      <c r="AL685" t="s">
        <v>552</v>
      </c>
      <c r="AM685" t="s">
        <v>553</v>
      </c>
      <c r="AN685" t="s">
        <v>554</v>
      </c>
      <c r="AO685" t="s">
        <v>3204</v>
      </c>
      <c r="AP685" t="s">
        <v>3205</v>
      </c>
      <c r="AQ685" t="s">
        <v>74</v>
      </c>
      <c r="AR685" t="s">
        <v>3206</v>
      </c>
      <c r="AS685" t="s">
        <v>3207</v>
      </c>
      <c r="AT685" t="s">
        <v>214</v>
      </c>
      <c r="AU685">
        <v>2021</v>
      </c>
      <c r="AV685">
        <v>37</v>
      </c>
      <c r="AW685">
        <v>2</v>
      </c>
      <c r="AX685" t="s">
        <v>74</v>
      </c>
      <c r="AY685" t="s">
        <v>74</v>
      </c>
      <c r="AZ685" t="s">
        <v>74</v>
      </c>
      <c r="BA685" t="s">
        <v>74</v>
      </c>
      <c r="BB685">
        <v>631</v>
      </c>
      <c r="BC685">
        <v>651</v>
      </c>
      <c r="BD685" t="s">
        <v>74</v>
      </c>
      <c r="BE685" t="s">
        <v>12988</v>
      </c>
      <c r="BF685" t="str">
        <f>HYPERLINK("http://dx.doi.org/10.1111/mms.12770","http://dx.doi.org/10.1111/mms.12770")</f>
        <v>http://dx.doi.org/10.1111/mms.12770</v>
      </c>
      <c r="BG685" t="s">
        <v>74</v>
      </c>
      <c r="BH685" t="s">
        <v>11309</v>
      </c>
      <c r="BI685">
        <v>21</v>
      </c>
      <c r="BJ685" t="s">
        <v>3209</v>
      </c>
      <c r="BK685" t="s">
        <v>103</v>
      </c>
      <c r="BL685" t="s">
        <v>3209</v>
      </c>
      <c r="BM685" t="s">
        <v>12989</v>
      </c>
      <c r="BN685" t="s">
        <v>74</v>
      </c>
      <c r="BO685" t="s">
        <v>74</v>
      </c>
      <c r="BP685" t="s">
        <v>74</v>
      </c>
      <c r="BQ685" t="s">
        <v>74</v>
      </c>
      <c r="BR685" t="s">
        <v>106</v>
      </c>
      <c r="BS685" t="s">
        <v>12990</v>
      </c>
      <c r="BT685" t="str">
        <f>HYPERLINK("https%3A%2F%2Fwww.webofscience.com%2Fwos%2Fwoscc%2Ffull-record%2FWOS:000597669900001","View Full Record in Web of Science")</f>
        <v>View Full Record in Web of Science</v>
      </c>
    </row>
    <row r="686" spans="1:72" x14ac:dyDescent="0.15">
      <c r="A686" t="s">
        <v>72</v>
      </c>
      <c r="B686" t="s">
        <v>12991</v>
      </c>
      <c r="C686" t="s">
        <v>74</v>
      </c>
      <c r="D686" t="s">
        <v>74</v>
      </c>
      <c r="E686" t="s">
        <v>74</v>
      </c>
      <c r="F686" t="s">
        <v>12992</v>
      </c>
      <c r="G686" t="s">
        <v>74</v>
      </c>
      <c r="H686" t="s">
        <v>74</v>
      </c>
      <c r="I686" t="s">
        <v>12993</v>
      </c>
      <c r="J686" t="s">
        <v>223</v>
      </c>
      <c r="K686" t="s">
        <v>74</v>
      </c>
      <c r="L686" t="s">
        <v>74</v>
      </c>
      <c r="M686" t="s">
        <v>78</v>
      </c>
      <c r="N686" t="s">
        <v>79</v>
      </c>
      <c r="O686" t="s">
        <v>74</v>
      </c>
      <c r="P686" t="s">
        <v>74</v>
      </c>
      <c r="Q686" t="s">
        <v>74</v>
      </c>
      <c r="R686" t="s">
        <v>74</v>
      </c>
      <c r="S686" t="s">
        <v>74</v>
      </c>
      <c r="T686" t="s">
        <v>74</v>
      </c>
      <c r="U686" t="s">
        <v>12994</v>
      </c>
      <c r="V686" t="s">
        <v>12995</v>
      </c>
      <c r="W686" t="s">
        <v>12996</v>
      </c>
      <c r="X686" t="s">
        <v>4077</v>
      </c>
      <c r="Y686" t="s">
        <v>12997</v>
      </c>
      <c r="Z686" t="s">
        <v>12998</v>
      </c>
      <c r="AA686" t="s">
        <v>12999</v>
      </c>
      <c r="AB686" t="s">
        <v>13000</v>
      </c>
      <c r="AC686" t="s">
        <v>13001</v>
      </c>
      <c r="AD686" t="s">
        <v>13002</v>
      </c>
      <c r="AE686" t="s">
        <v>13003</v>
      </c>
      <c r="AF686" t="s">
        <v>74</v>
      </c>
      <c r="AG686">
        <v>47</v>
      </c>
      <c r="AH686">
        <v>17</v>
      </c>
      <c r="AI686">
        <v>19</v>
      </c>
      <c r="AJ686">
        <v>1</v>
      </c>
      <c r="AK686">
        <v>11</v>
      </c>
      <c r="AL686" t="s">
        <v>235</v>
      </c>
      <c r="AM686" t="s">
        <v>236</v>
      </c>
      <c r="AN686" t="s">
        <v>237</v>
      </c>
      <c r="AO686" t="s">
        <v>74</v>
      </c>
      <c r="AP686" t="s">
        <v>238</v>
      </c>
      <c r="AQ686" t="s">
        <v>74</v>
      </c>
      <c r="AR686" t="s">
        <v>239</v>
      </c>
      <c r="AS686" t="s">
        <v>240</v>
      </c>
      <c r="AT686" t="s">
        <v>13004</v>
      </c>
      <c r="AU686">
        <v>2020</v>
      </c>
      <c r="AV686">
        <v>1</v>
      </c>
      <c r="AW686">
        <v>1</v>
      </c>
      <c r="AX686" t="s">
        <v>74</v>
      </c>
      <c r="AY686" t="s">
        <v>74</v>
      </c>
      <c r="AZ686" t="s">
        <v>74</v>
      </c>
      <c r="BA686" t="s">
        <v>74</v>
      </c>
      <c r="BB686" t="s">
        <v>74</v>
      </c>
      <c r="BC686" t="s">
        <v>74</v>
      </c>
      <c r="BD686">
        <v>62</v>
      </c>
      <c r="BE686" t="s">
        <v>13005</v>
      </c>
      <c r="BF686" t="str">
        <f>HYPERLINK("http://dx.doi.org/10.1038/s43247-020-00062-x","http://dx.doi.org/10.1038/s43247-020-00062-x")</f>
        <v>http://dx.doi.org/10.1038/s43247-020-00062-x</v>
      </c>
      <c r="BG686" t="s">
        <v>74</v>
      </c>
      <c r="BH686" t="s">
        <v>74</v>
      </c>
      <c r="BI686">
        <v>9</v>
      </c>
      <c r="BJ686" t="s">
        <v>243</v>
      </c>
      <c r="BK686" t="s">
        <v>103</v>
      </c>
      <c r="BL686" t="s">
        <v>244</v>
      </c>
      <c r="BM686" t="s">
        <v>13006</v>
      </c>
      <c r="BN686" t="s">
        <v>74</v>
      </c>
      <c r="BO686" t="s">
        <v>326</v>
      </c>
      <c r="BP686" t="s">
        <v>74</v>
      </c>
      <c r="BQ686" t="s">
        <v>74</v>
      </c>
      <c r="BR686" t="s">
        <v>106</v>
      </c>
      <c r="BS686" t="s">
        <v>13007</v>
      </c>
      <c r="BT686" t="str">
        <f>HYPERLINK("https%3A%2F%2Fwww.webofscience.com%2Fwos%2Fwoscc%2Ffull-record%2FWOS:000693649400002","View Full Record in Web of Science")</f>
        <v>View Full Record in Web of Science</v>
      </c>
    </row>
    <row r="687" spans="1:72" x14ac:dyDescent="0.15">
      <c r="A687" t="s">
        <v>72</v>
      </c>
      <c r="B687" t="s">
        <v>13008</v>
      </c>
      <c r="C687" t="s">
        <v>74</v>
      </c>
      <c r="D687" t="s">
        <v>74</v>
      </c>
      <c r="E687" t="s">
        <v>74</v>
      </c>
      <c r="F687" t="s">
        <v>13009</v>
      </c>
      <c r="G687" t="s">
        <v>74</v>
      </c>
      <c r="H687" t="s">
        <v>74</v>
      </c>
      <c r="I687" t="s">
        <v>13010</v>
      </c>
      <c r="J687" t="s">
        <v>13011</v>
      </c>
      <c r="K687" t="s">
        <v>74</v>
      </c>
      <c r="L687" t="s">
        <v>74</v>
      </c>
      <c r="M687" t="s">
        <v>78</v>
      </c>
      <c r="N687" t="s">
        <v>79</v>
      </c>
      <c r="O687" t="s">
        <v>74</v>
      </c>
      <c r="P687" t="s">
        <v>74</v>
      </c>
      <c r="Q687" t="s">
        <v>74</v>
      </c>
      <c r="R687" t="s">
        <v>74</v>
      </c>
      <c r="S687" t="s">
        <v>74</v>
      </c>
      <c r="T687" t="s">
        <v>74</v>
      </c>
      <c r="U687" t="s">
        <v>13012</v>
      </c>
      <c r="V687" t="s">
        <v>13013</v>
      </c>
      <c r="W687" t="s">
        <v>13014</v>
      </c>
      <c r="X687" t="s">
        <v>13015</v>
      </c>
      <c r="Y687" t="s">
        <v>13016</v>
      </c>
      <c r="Z687" t="s">
        <v>13017</v>
      </c>
      <c r="AA687" t="s">
        <v>13018</v>
      </c>
      <c r="AB687" t="s">
        <v>13019</v>
      </c>
      <c r="AC687" t="s">
        <v>13020</v>
      </c>
      <c r="AD687" t="s">
        <v>13021</v>
      </c>
      <c r="AE687" t="s">
        <v>13022</v>
      </c>
      <c r="AF687" t="s">
        <v>74</v>
      </c>
      <c r="AG687">
        <v>75</v>
      </c>
      <c r="AH687">
        <v>52</v>
      </c>
      <c r="AI687">
        <v>55</v>
      </c>
      <c r="AJ687">
        <v>8</v>
      </c>
      <c r="AK687">
        <v>80</v>
      </c>
      <c r="AL687" t="s">
        <v>8927</v>
      </c>
      <c r="AM687" t="s">
        <v>629</v>
      </c>
      <c r="AN687" t="s">
        <v>8928</v>
      </c>
      <c r="AO687" t="s">
        <v>13023</v>
      </c>
      <c r="AP687" t="s">
        <v>13024</v>
      </c>
      <c r="AQ687" t="s">
        <v>74</v>
      </c>
      <c r="AR687" t="s">
        <v>13011</v>
      </c>
      <c r="AS687" t="s">
        <v>13025</v>
      </c>
      <c r="AT687" t="s">
        <v>13004</v>
      </c>
      <c r="AU687">
        <v>2020</v>
      </c>
      <c r="AV687">
        <v>370</v>
      </c>
      <c r="AW687">
        <v>6522</v>
      </c>
      <c r="AX687" t="s">
        <v>74</v>
      </c>
      <c r="AY687" t="s">
        <v>74</v>
      </c>
      <c r="AZ687" t="s">
        <v>74</v>
      </c>
      <c r="BA687" t="s">
        <v>74</v>
      </c>
      <c r="BB687">
        <v>1348</v>
      </c>
      <c r="BC687" t="s">
        <v>2146</v>
      </c>
      <c r="BD687" t="s">
        <v>74</v>
      </c>
      <c r="BE687" t="s">
        <v>13026</v>
      </c>
      <c r="BF687" t="str">
        <f>HYPERLINK("http://dx.doi.org/10.1126/science.abd2115","http://dx.doi.org/10.1126/science.abd2115")</f>
        <v>http://dx.doi.org/10.1126/science.abd2115</v>
      </c>
      <c r="BG687" t="s">
        <v>74</v>
      </c>
      <c r="BH687" t="s">
        <v>74</v>
      </c>
      <c r="BI687">
        <v>31</v>
      </c>
      <c r="BJ687" t="s">
        <v>534</v>
      </c>
      <c r="BK687" t="s">
        <v>103</v>
      </c>
      <c r="BL687" t="s">
        <v>535</v>
      </c>
      <c r="BM687" t="s">
        <v>13027</v>
      </c>
      <c r="BN687">
        <v>33303618</v>
      </c>
      <c r="BO687" t="s">
        <v>74</v>
      </c>
      <c r="BP687" t="s">
        <v>74</v>
      </c>
      <c r="BQ687" t="s">
        <v>74</v>
      </c>
      <c r="BR687" t="s">
        <v>106</v>
      </c>
      <c r="BS687" t="s">
        <v>13028</v>
      </c>
      <c r="BT687" t="str">
        <f>HYPERLINK("https%3A%2F%2Fwww.webofscience.com%2Fwos%2Fwoscc%2Ffull-record%2FWOS:000597271300048","View Full Record in Web of Science")</f>
        <v>View Full Record in Web of Science</v>
      </c>
    </row>
    <row r="688" spans="1:72" x14ac:dyDescent="0.15">
      <c r="A688" t="s">
        <v>72</v>
      </c>
      <c r="B688" t="s">
        <v>13029</v>
      </c>
      <c r="C688" t="s">
        <v>74</v>
      </c>
      <c r="D688" t="s">
        <v>74</v>
      </c>
      <c r="E688" t="s">
        <v>74</v>
      </c>
      <c r="F688" t="s">
        <v>13030</v>
      </c>
      <c r="G688" t="s">
        <v>74</v>
      </c>
      <c r="H688" t="s">
        <v>74</v>
      </c>
      <c r="I688" t="s">
        <v>13031</v>
      </c>
      <c r="J688" t="s">
        <v>2075</v>
      </c>
      <c r="K688" t="s">
        <v>74</v>
      </c>
      <c r="L688" t="s">
        <v>74</v>
      </c>
      <c r="M688" t="s">
        <v>78</v>
      </c>
      <c r="N688" t="s">
        <v>79</v>
      </c>
      <c r="O688" t="s">
        <v>74</v>
      </c>
      <c r="P688" t="s">
        <v>74</v>
      </c>
      <c r="Q688" t="s">
        <v>74</v>
      </c>
      <c r="R688" t="s">
        <v>74</v>
      </c>
      <c r="S688" t="s">
        <v>74</v>
      </c>
      <c r="T688" t="s">
        <v>74</v>
      </c>
      <c r="U688" t="s">
        <v>13032</v>
      </c>
      <c r="V688" t="s">
        <v>13033</v>
      </c>
      <c r="W688" t="s">
        <v>13034</v>
      </c>
      <c r="X688" t="s">
        <v>13035</v>
      </c>
      <c r="Y688" t="s">
        <v>13036</v>
      </c>
      <c r="Z688" t="s">
        <v>13037</v>
      </c>
      <c r="AA688" t="s">
        <v>13038</v>
      </c>
      <c r="AB688" t="s">
        <v>13039</v>
      </c>
      <c r="AC688" t="s">
        <v>13040</v>
      </c>
      <c r="AD688" t="s">
        <v>13041</v>
      </c>
      <c r="AE688" t="s">
        <v>13042</v>
      </c>
      <c r="AF688" t="s">
        <v>74</v>
      </c>
      <c r="AG688">
        <v>41</v>
      </c>
      <c r="AH688">
        <v>2</v>
      </c>
      <c r="AI688">
        <v>2</v>
      </c>
      <c r="AJ688">
        <v>1</v>
      </c>
      <c r="AK688">
        <v>4</v>
      </c>
      <c r="AL688" t="s">
        <v>527</v>
      </c>
      <c r="AM688" t="s">
        <v>528</v>
      </c>
      <c r="AN688" t="s">
        <v>529</v>
      </c>
      <c r="AO688" t="s">
        <v>2085</v>
      </c>
      <c r="AP688" t="s">
        <v>74</v>
      </c>
      <c r="AQ688" t="s">
        <v>74</v>
      </c>
      <c r="AR688" t="s">
        <v>2086</v>
      </c>
      <c r="AS688" t="s">
        <v>2087</v>
      </c>
      <c r="AT688" t="s">
        <v>13004</v>
      </c>
      <c r="AU688">
        <v>2020</v>
      </c>
      <c r="AV688">
        <v>10</v>
      </c>
      <c r="AW688">
        <v>1</v>
      </c>
      <c r="AX688" t="s">
        <v>74</v>
      </c>
      <c r="AY688" t="s">
        <v>74</v>
      </c>
      <c r="AZ688" t="s">
        <v>74</v>
      </c>
      <c r="BA688" t="s">
        <v>74</v>
      </c>
      <c r="BB688" t="s">
        <v>74</v>
      </c>
      <c r="BC688" t="s">
        <v>74</v>
      </c>
      <c r="BD688">
        <v>21810</v>
      </c>
      <c r="BE688" t="s">
        <v>13043</v>
      </c>
      <c r="BF688" t="str">
        <f>HYPERLINK("http://dx.doi.org/10.1038/s41598-020-78722-3","http://dx.doi.org/10.1038/s41598-020-78722-3")</f>
        <v>http://dx.doi.org/10.1038/s41598-020-78722-3</v>
      </c>
      <c r="BG688" t="s">
        <v>74</v>
      </c>
      <c r="BH688" t="s">
        <v>74</v>
      </c>
      <c r="BI688">
        <v>9</v>
      </c>
      <c r="BJ688" t="s">
        <v>534</v>
      </c>
      <c r="BK688" t="s">
        <v>103</v>
      </c>
      <c r="BL688" t="s">
        <v>535</v>
      </c>
      <c r="BM688" t="s">
        <v>13044</v>
      </c>
      <c r="BN688">
        <v>33311648</v>
      </c>
      <c r="BO688" t="s">
        <v>246</v>
      </c>
      <c r="BP688" t="s">
        <v>74</v>
      </c>
      <c r="BQ688" t="s">
        <v>74</v>
      </c>
      <c r="BR688" t="s">
        <v>106</v>
      </c>
      <c r="BS688" t="s">
        <v>13045</v>
      </c>
      <c r="BT688" t="str">
        <f>HYPERLINK("https%3A%2F%2Fwww.webofscience.com%2Fwos%2Fwoscc%2Ffull-record%2FWOS:000599946500022","View Full Record in Web of Science")</f>
        <v>View Full Record in Web of Science</v>
      </c>
    </row>
    <row r="689" spans="1:72" x14ac:dyDescent="0.15">
      <c r="A689" t="s">
        <v>72</v>
      </c>
      <c r="B689" t="s">
        <v>13046</v>
      </c>
      <c r="C689" t="s">
        <v>74</v>
      </c>
      <c r="D689" t="s">
        <v>74</v>
      </c>
      <c r="E689" t="s">
        <v>74</v>
      </c>
      <c r="F689" t="s">
        <v>13047</v>
      </c>
      <c r="G689" t="s">
        <v>74</v>
      </c>
      <c r="H689" t="s">
        <v>74</v>
      </c>
      <c r="I689" t="s">
        <v>13048</v>
      </c>
      <c r="J689" t="s">
        <v>2075</v>
      </c>
      <c r="K689" t="s">
        <v>74</v>
      </c>
      <c r="L689" t="s">
        <v>74</v>
      </c>
      <c r="M689" t="s">
        <v>78</v>
      </c>
      <c r="N689" t="s">
        <v>79</v>
      </c>
      <c r="O689" t="s">
        <v>74</v>
      </c>
      <c r="P689" t="s">
        <v>74</v>
      </c>
      <c r="Q689" t="s">
        <v>74</v>
      </c>
      <c r="R689" t="s">
        <v>74</v>
      </c>
      <c r="S689" t="s">
        <v>74</v>
      </c>
      <c r="T689" t="s">
        <v>74</v>
      </c>
      <c r="U689" t="s">
        <v>13049</v>
      </c>
      <c r="V689" t="s">
        <v>13050</v>
      </c>
      <c r="W689" t="s">
        <v>13051</v>
      </c>
      <c r="X689" t="s">
        <v>13052</v>
      </c>
      <c r="Y689" t="s">
        <v>13053</v>
      </c>
      <c r="Z689" t="s">
        <v>2997</v>
      </c>
      <c r="AA689" t="s">
        <v>13054</v>
      </c>
      <c r="AB689" t="s">
        <v>13055</v>
      </c>
      <c r="AC689" t="s">
        <v>12564</v>
      </c>
      <c r="AD689" t="s">
        <v>12565</v>
      </c>
      <c r="AE689" t="s">
        <v>13056</v>
      </c>
      <c r="AF689" t="s">
        <v>74</v>
      </c>
      <c r="AG689">
        <v>81</v>
      </c>
      <c r="AH689">
        <v>28</v>
      </c>
      <c r="AI689">
        <v>28</v>
      </c>
      <c r="AJ689">
        <v>3</v>
      </c>
      <c r="AK689">
        <v>10</v>
      </c>
      <c r="AL689" t="s">
        <v>955</v>
      </c>
      <c r="AM689" t="s">
        <v>528</v>
      </c>
      <c r="AN689" t="s">
        <v>529</v>
      </c>
      <c r="AO689" t="s">
        <v>2085</v>
      </c>
      <c r="AP689" t="s">
        <v>74</v>
      </c>
      <c r="AQ689" t="s">
        <v>74</v>
      </c>
      <c r="AR689" t="s">
        <v>2086</v>
      </c>
      <c r="AS689" t="s">
        <v>2087</v>
      </c>
      <c r="AT689" t="s">
        <v>13004</v>
      </c>
      <c r="AU689">
        <v>2020</v>
      </c>
      <c r="AV689">
        <v>10</v>
      </c>
      <c r="AW689">
        <v>1</v>
      </c>
      <c r="AX689" t="s">
        <v>74</v>
      </c>
      <c r="AY689" t="s">
        <v>74</v>
      </c>
      <c r="AZ689" t="s">
        <v>74</v>
      </c>
      <c r="BA689" t="s">
        <v>74</v>
      </c>
      <c r="BB689" t="s">
        <v>74</v>
      </c>
      <c r="BC689" t="s">
        <v>74</v>
      </c>
      <c r="BD689">
        <v>21793</v>
      </c>
      <c r="BE689" t="s">
        <v>13057</v>
      </c>
      <c r="BF689" t="str">
        <f>HYPERLINK("http://dx.doi.org/10.1038/s41598-020-78630-6","http://dx.doi.org/10.1038/s41598-020-78630-6")</f>
        <v>http://dx.doi.org/10.1038/s41598-020-78630-6</v>
      </c>
      <c r="BG689" t="s">
        <v>74</v>
      </c>
      <c r="BH689" t="s">
        <v>74</v>
      </c>
      <c r="BI689">
        <v>11</v>
      </c>
      <c r="BJ689" t="s">
        <v>534</v>
      </c>
      <c r="BK689" t="s">
        <v>103</v>
      </c>
      <c r="BL689" t="s">
        <v>535</v>
      </c>
      <c r="BM689" t="s">
        <v>13044</v>
      </c>
      <c r="BN689">
        <v>33311553</v>
      </c>
      <c r="BO689" t="s">
        <v>660</v>
      </c>
      <c r="BP689" t="s">
        <v>74</v>
      </c>
      <c r="BQ689" t="s">
        <v>74</v>
      </c>
      <c r="BR689" t="s">
        <v>106</v>
      </c>
      <c r="BS689" t="s">
        <v>13058</v>
      </c>
      <c r="BT689" t="str">
        <f>HYPERLINK("https%3A%2F%2Fwww.webofscience.com%2Fwos%2Fwoscc%2Ffull-record%2FWOS:000599946500005","View Full Record in Web of Science")</f>
        <v>View Full Record in Web of Science</v>
      </c>
    </row>
    <row r="690" spans="1:72" x14ac:dyDescent="0.15">
      <c r="A690" t="s">
        <v>72</v>
      </c>
      <c r="B690" t="s">
        <v>13059</v>
      </c>
      <c r="C690" t="s">
        <v>74</v>
      </c>
      <c r="D690" t="s">
        <v>74</v>
      </c>
      <c r="E690" t="s">
        <v>74</v>
      </c>
      <c r="F690" t="s">
        <v>13060</v>
      </c>
      <c r="G690" t="s">
        <v>74</v>
      </c>
      <c r="H690" t="s">
        <v>74</v>
      </c>
      <c r="I690" t="s">
        <v>13061</v>
      </c>
      <c r="J690" t="s">
        <v>487</v>
      </c>
      <c r="K690" t="s">
        <v>74</v>
      </c>
      <c r="L690" t="s">
        <v>74</v>
      </c>
      <c r="M690" t="s">
        <v>78</v>
      </c>
      <c r="N690" t="s">
        <v>79</v>
      </c>
      <c r="O690" t="s">
        <v>74</v>
      </c>
      <c r="P690" t="s">
        <v>74</v>
      </c>
      <c r="Q690" t="s">
        <v>74</v>
      </c>
      <c r="R690" t="s">
        <v>74</v>
      </c>
      <c r="S690" t="s">
        <v>74</v>
      </c>
      <c r="T690" t="s">
        <v>13062</v>
      </c>
      <c r="U690" t="s">
        <v>13063</v>
      </c>
      <c r="V690" t="s">
        <v>13064</v>
      </c>
      <c r="W690" t="s">
        <v>13065</v>
      </c>
      <c r="X690" t="s">
        <v>13066</v>
      </c>
      <c r="Y690" t="s">
        <v>13067</v>
      </c>
      <c r="Z690" t="s">
        <v>13068</v>
      </c>
      <c r="AA690" t="s">
        <v>13069</v>
      </c>
      <c r="AB690" t="s">
        <v>13070</v>
      </c>
      <c r="AC690" t="s">
        <v>13071</v>
      </c>
      <c r="AD690" t="s">
        <v>13072</v>
      </c>
      <c r="AE690" t="s">
        <v>13073</v>
      </c>
      <c r="AF690" t="s">
        <v>74</v>
      </c>
      <c r="AG690">
        <v>91</v>
      </c>
      <c r="AH690">
        <v>18</v>
      </c>
      <c r="AI690">
        <v>18</v>
      </c>
      <c r="AJ690">
        <v>2</v>
      </c>
      <c r="AK690">
        <v>33</v>
      </c>
      <c r="AL690" t="s">
        <v>500</v>
      </c>
      <c r="AM690" t="s">
        <v>501</v>
      </c>
      <c r="AN690" t="s">
        <v>502</v>
      </c>
      <c r="AO690" t="s">
        <v>74</v>
      </c>
      <c r="AP690" t="s">
        <v>503</v>
      </c>
      <c r="AQ690" t="s">
        <v>74</v>
      </c>
      <c r="AR690" t="s">
        <v>504</v>
      </c>
      <c r="AS690" t="s">
        <v>505</v>
      </c>
      <c r="AT690" t="s">
        <v>13004</v>
      </c>
      <c r="AU690">
        <v>2020</v>
      </c>
      <c r="AV690">
        <v>7</v>
      </c>
      <c r="AW690" t="s">
        <v>74</v>
      </c>
      <c r="AX690" t="s">
        <v>74</v>
      </c>
      <c r="AY690" t="s">
        <v>74</v>
      </c>
      <c r="AZ690" t="s">
        <v>74</v>
      </c>
      <c r="BA690" t="s">
        <v>74</v>
      </c>
      <c r="BB690" t="s">
        <v>74</v>
      </c>
      <c r="BC690" t="s">
        <v>74</v>
      </c>
      <c r="BD690">
        <v>594454</v>
      </c>
      <c r="BE690" t="s">
        <v>13074</v>
      </c>
      <c r="BF690" t="str">
        <f>HYPERLINK("http://dx.doi.org/10.3389/fmars.2020.594454","http://dx.doi.org/10.3389/fmars.2020.594454")</f>
        <v>http://dx.doi.org/10.3389/fmars.2020.594454</v>
      </c>
      <c r="BG690" t="s">
        <v>74</v>
      </c>
      <c r="BH690" t="s">
        <v>74</v>
      </c>
      <c r="BI690">
        <v>18</v>
      </c>
      <c r="BJ690" t="s">
        <v>507</v>
      </c>
      <c r="BK690" t="s">
        <v>103</v>
      </c>
      <c r="BL690" t="s">
        <v>508</v>
      </c>
      <c r="BM690" t="s">
        <v>13075</v>
      </c>
      <c r="BN690" t="s">
        <v>74</v>
      </c>
      <c r="BO690" t="s">
        <v>1105</v>
      </c>
      <c r="BP690" t="s">
        <v>74</v>
      </c>
      <c r="BQ690" t="s">
        <v>74</v>
      </c>
      <c r="BR690" t="s">
        <v>106</v>
      </c>
      <c r="BS690" t="s">
        <v>13076</v>
      </c>
      <c r="BT690" t="str">
        <f>HYPERLINK("https%3A%2F%2Fwww.webofscience.com%2Fwos%2Fwoscc%2Ffull-record%2FWOS:000600666700001","View Full Record in Web of Science")</f>
        <v>View Full Record in Web of Science</v>
      </c>
    </row>
    <row r="691" spans="1:72" x14ac:dyDescent="0.15">
      <c r="A691" t="s">
        <v>72</v>
      </c>
      <c r="B691" t="s">
        <v>13077</v>
      </c>
      <c r="C691" t="s">
        <v>74</v>
      </c>
      <c r="D691" t="s">
        <v>74</v>
      </c>
      <c r="E691" t="s">
        <v>74</v>
      </c>
      <c r="F691" t="s">
        <v>13078</v>
      </c>
      <c r="G691" t="s">
        <v>74</v>
      </c>
      <c r="H691" t="s">
        <v>74</v>
      </c>
      <c r="I691" t="s">
        <v>13079</v>
      </c>
      <c r="J691" t="s">
        <v>1556</v>
      </c>
      <c r="K691" t="s">
        <v>74</v>
      </c>
      <c r="L691" t="s">
        <v>74</v>
      </c>
      <c r="M691" t="s">
        <v>78</v>
      </c>
      <c r="N691" t="s">
        <v>79</v>
      </c>
      <c r="O691" t="s">
        <v>74</v>
      </c>
      <c r="P691" t="s">
        <v>74</v>
      </c>
      <c r="Q691" t="s">
        <v>74</v>
      </c>
      <c r="R691" t="s">
        <v>74</v>
      </c>
      <c r="S691" t="s">
        <v>74</v>
      </c>
      <c r="T691" t="s">
        <v>74</v>
      </c>
      <c r="U691" t="s">
        <v>13080</v>
      </c>
      <c r="V691" t="s">
        <v>13081</v>
      </c>
      <c r="W691" t="s">
        <v>13082</v>
      </c>
      <c r="X691" t="s">
        <v>13083</v>
      </c>
      <c r="Y691" t="s">
        <v>13084</v>
      </c>
      <c r="Z691" t="s">
        <v>13085</v>
      </c>
      <c r="AA691" t="s">
        <v>13086</v>
      </c>
      <c r="AB691" t="s">
        <v>13087</v>
      </c>
      <c r="AC691" t="s">
        <v>13088</v>
      </c>
      <c r="AD691" t="s">
        <v>13089</v>
      </c>
      <c r="AE691" t="s">
        <v>13090</v>
      </c>
      <c r="AF691" t="s">
        <v>74</v>
      </c>
      <c r="AG691">
        <v>161</v>
      </c>
      <c r="AH691">
        <v>18</v>
      </c>
      <c r="AI691">
        <v>18</v>
      </c>
      <c r="AJ691">
        <v>0</v>
      </c>
      <c r="AK691">
        <v>14</v>
      </c>
      <c r="AL691" t="s">
        <v>123</v>
      </c>
      <c r="AM691" t="s">
        <v>124</v>
      </c>
      <c r="AN691" t="s">
        <v>125</v>
      </c>
      <c r="AO691" t="s">
        <v>1565</v>
      </c>
      <c r="AP691" t="s">
        <v>1566</v>
      </c>
      <c r="AQ691" t="s">
        <v>74</v>
      </c>
      <c r="AR691" t="s">
        <v>1567</v>
      </c>
      <c r="AS691" t="s">
        <v>1568</v>
      </c>
      <c r="AT691" t="s">
        <v>13004</v>
      </c>
      <c r="AU691">
        <v>2020</v>
      </c>
      <c r="AV691">
        <v>16</v>
      </c>
      <c r="AW691">
        <v>6</v>
      </c>
      <c r="AX691" t="s">
        <v>74</v>
      </c>
      <c r="AY691" t="s">
        <v>74</v>
      </c>
      <c r="AZ691" t="s">
        <v>74</v>
      </c>
      <c r="BA691" t="s">
        <v>74</v>
      </c>
      <c r="BB691">
        <v>2459</v>
      </c>
      <c r="BC691">
        <v>2483</v>
      </c>
      <c r="BD691" t="s">
        <v>74</v>
      </c>
      <c r="BE691" t="s">
        <v>13091</v>
      </c>
      <c r="BF691" t="str">
        <f>HYPERLINK("http://dx.doi.org/10.5194/cp-16-2459-2020","http://dx.doi.org/10.5194/cp-16-2459-2020")</f>
        <v>http://dx.doi.org/10.5194/cp-16-2459-2020</v>
      </c>
      <c r="BG691" t="s">
        <v>74</v>
      </c>
      <c r="BH691" t="s">
        <v>74</v>
      </c>
      <c r="BI691">
        <v>25</v>
      </c>
      <c r="BJ691" t="s">
        <v>1570</v>
      </c>
      <c r="BK691" t="s">
        <v>103</v>
      </c>
      <c r="BL691" t="s">
        <v>1571</v>
      </c>
      <c r="BM691" t="s">
        <v>13092</v>
      </c>
      <c r="BN691" t="s">
        <v>74</v>
      </c>
      <c r="BO691" t="s">
        <v>159</v>
      </c>
      <c r="BP691" t="s">
        <v>74</v>
      </c>
      <c r="BQ691" t="s">
        <v>74</v>
      </c>
      <c r="BR691" t="s">
        <v>106</v>
      </c>
      <c r="BS691" t="s">
        <v>13093</v>
      </c>
      <c r="BT691" t="str">
        <f>HYPERLINK("https%3A%2F%2Fwww.webofscience.com%2Fwos%2Fwoscc%2Ffull-record%2FWOS:000599524400001","View Full Record in Web of Science")</f>
        <v>View Full Record in Web of Science</v>
      </c>
    </row>
    <row r="692" spans="1:72" x14ac:dyDescent="0.15">
      <c r="A692" t="s">
        <v>72</v>
      </c>
      <c r="B692" t="s">
        <v>13094</v>
      </c>
      <c r="C692" t="s">
        <v>74</v>
      </c>
      <c r="D692" t="s">
        <v>74</v>
      </c>
      <c r="E692" t="s">
        <v>74</v>
      </c>
      <c r="F692" t="s">
        <v>13095</v>
      </c>
      <c r="G692" t="s">
        <v>74</v>
      </c>
      <c r="H692" t="s">
        <v>74</v>
      </c>
      <c r="I692" t="s">
        <v>13096</v>
      </c>
      <c r="J692" t="s">
        <v>223</v>
      </c>
      <c r="K692" t="s">
        <v>74</v>
      </c>
      <c r="L692" t="s">
        <v>74</v>
      </c>
      <c r="M692" t="s">
        <v>78</v>
      </c>
      <c r="N692" t="s">
        <v>79</v>
      </c>
      <c r="O692" t="s">
        <v>74</v>
      </c>
      <c r="P692" t="s">
        <v>74</v>
      </c>
      <c r="Q692" t="s">
        <v>74</v>
      </c>
      <c r="R692" t="s">
        <v>74</v>
      </c>
      <c r="S692" t="s">
        <v>74</v>
      </c>
      <c r="T692" t="s">
        <v>74</v>
      </c>
      <c r="U692" t="s">
        <v>13097</v>
      </c>
      <c r="V692" t="s">
        <v>13098</v>
      </c>
      <c r="W692" t="s">
        <v>13099</v>
      </c>
      <c r="X692" t="s">
        <v>13100</v>
      </c>
      <c r="Y692" t="s">
        <v>13101</v>
      </c>
      <c r="Z692" t="s">
        <v>13102</v>
      </c>
      <c r="AA692" t="s">
        <v>13103</v>
      </c>
      <c r="AB692" t="s">
        <v>13104</v>
      </c>
      <c r="AC692" t="s">
        <v>13105</v>
      </c>
      <c r="AD692" t="s">
        <v>13106</v>
      </c>
      <c r="AE692" t="s">
        <v>13107</v>
      </c>
      <c r="AF692" t="s">
        <v>74</v>
      </c>
      <c r="AG692">
        <v>132</v>
      </c>
      <c r="AH692">
        <v>80</v>
      </c>
      <c r="AI692">
        <v>83</v>
      </c>
      <c r="AJ692">
        <v>5</v>
      </c>
      <c r="AK692">
        <v>25</v>
      </c>
      <c r="AL692" t="s">
        <v>235</v>
      </c>
      <c r="AM692" t="s">
        <v>236</v>
      </c>
      <c r="AN692" t="s">
        <v>237</v>
      </c>
      <c r="AO692" t="s">
        <v>74</v>
      </c>
      <c r="AP692" t="s">
        <v>238</v>
      </c>
      <c r="AQ692" t="s">
        <v>74</v>
      </c>
      <c r="AR692" t="s">
        <v>239</v>
      </c>
      <c r="AS692" t="s">
        <v>240</v>
      </c>
      <c r="AT692" t="s">
        <v>13108</v>
      </c>
      <c r="AU692">
        <v>2020</v>
      </c>
      <c r="AV692">
        <v>1</v>
      </c>
      <c r="AW692">
        <v>1</v>
      </c>
      <c r="AX692" t="s">
        <v>74</v>
      </c>
      <c r="AY692" t="s">
        <v>74</v>
      </c>
      <c r="AZ692" t="s">
        <v>74</v>
      </c>
      <c r="BA692" t="s">
        <v>74</v>
      </c>
      <c r="BB692" t="s">
        <v>74</v>
      </c>
      <c r="BC692" t="s">
        <v>74</v>
      </c>
      <c r="BD692">
        <v>59</v>
      </c>
      <c r="BE692" t="s">
        <v>13109</v>
      </c>
      <c r="BF692" t="str">
        <f>HYPERLINK("http://dx.doi.org/10.1038/s43247-020-00060-z","http://dx.doi.org/10.1038/s43247-020-00060-z")</f>
        <v>http://dx.doi.org/10.1038/s43247-020-00060-z</v>
      </c>
      <c r="BG692" t="s">
        <v>74</v>
      </c>
      <c r="BH692" t="s">
        <v>74</v>
      </c>
      <c r="BI692">
        <v>8</v>
      </c>
      <c r="BJ692" t="s">
        <v>243</v>
      </c>
      <c r="BK692" t="s">
        <v>103</v>
      </c>
      <c r="BL692" t="s">
        <v>244</v>
      </c>
      <c r="BM692" t="s">
        <v>13110</v>
      </c>
      <c r="BN692" t="s">
        <v>74</v>
      </c>
      <c r="BO692" t="s">
        <v>246</v>
      </c>
      <c r="BP692" t="s">
        <v>74</v>
      </c>
      <c r="BQ692" t="s">
        <v>74</v>
      </c>
      <c r="BR692" t="s">
        <v>106</v>
      </c>
      <c r="BS692" t="s">
        <v>13111</v>
      </c>
      <c r="BT692" t="str">
        <f>HYPERLINK("https%3A%2F%2Fwww.webofscience.com%2Fwos%2Fwoscc%2Ffull-record%2FWOS:000693647900001","View Full Record in Web of Science")</f>
        <v>View Full Record in Web of Science</v>
      </c>
    </row>
    <row r="693" spans="1:72" x14ac:dyDescent="0.15">
      <c r="A693" t="s">
        <v>72</v>
      </c>
      <c r="B693" t="s">
        <v>13112</v>
      </c>
      <c r="C693" t="s">
        <v>74</v>
      </c>
      <c r="D693" t="s">
        <v>74</v>
      </c>
      <c r="E693" t="s">
        <v>74</v>
      </c>
      <c r="F693" t="s">
        <v>13113</v>
      </c>
      <c r="G693" t="s">
        <v>74</v>
      </c>
      <c r="H693" t="s">
        <v>74</v>
      </c>
      <c r="I693" t="s">
        <v>13114</v>
      </c>
      <c r="J693" t="s">
        <v>433</v>
      </c>
      <c r="K693" t="s">
        <v>74</v>
      </c>
      <c r="L693" t="s">
        <v>74</v>
      </c>
      <c r="M693" t="s">
        <v>78</v>
      </c>
      <c r="N693" t="s">
        <v>79</v>
      </c>
      <c r="O693" t="s">
        <v>74</v>
      </c>
      <c r="P693" t="s">
        <v>74</v>
      </c>
      <c r="Q693" t="s">
        <v>74</v>
      </c>
      <c r="R693" t="s">
        <v>74</v>
      </c>
      <c r="S693" t="s">
        <v>74</v>
      </c>
      <c r="T693" t="s">
        <v>13115</v>
      </c>
      <c r="U693" t="s">
        <v>13116</v>
      </c>
      <c r="V693" t="s">
        <v>13117</v>
      </c>
      <c r="W693" t="s">
        <v>13118</v>
      </c>
      <c r="X693" t="s">
        <v>13119</v>
      </c>
      <c r="Y693" t="s">
        <v>13120</v>
      </c>
      <c r="Z693" t="s">
        <v>13121</v>
      </c>
      <c r="AA693" t="s">
        <v>13122</v>
      </c>
      <c r="AB693" t="s">
        <v>13123</v>
      </c>
      <c r="AC693" t="s">
        <v>13124</v>
      </c>
      <c r="AD693" t="s">
        <v>13124</v>
      </c>
      <c r="AE693" t="s">
        <v>13125</v>
      </c>
      <c r="AF693" t="s">
        <v>74</v>
      </c>
      <c r="AG693">
        <v>67</v>
      </c>
      <c r="AH693">
        <v>6</v>
      </c>
      <c r="AI693">
        <v>6</v>
      </c>
      <c r="AJ693">
        <v>3</v>
      </c>
      <c r="AK693">
        <v>15</v>
      </c>
      <c r="AL693" t="s">
        <v>446</v>
      </c>
      <c r="AM693" t="s">
        <v>447</v>
      </c>
      <c r="AN693" t="s">
        <v>448</v>
      </c>
      <c r="AO693" t="s">
        <v>449</v>
      </c>
      <c r="AP693" t="s">
        <v>450</v>
      </c>
      <c r="AQ693" t="s">
        <v>74</v>
      </c>
      <c r="AR693" t="s">
        <v>451</v>
      </c>
      <c r="AS693" t="s">
        <v>452</v>
      </c>
      <c r="AT693" t="s">
        <v>13108</v>
      </c>
      <c r="AU693">
        <v>2020</v>
      </c>
      <c r="AV693">
        <v>656</v>
      </c>
      <c r="AW693" t="s">
        <v>74</v>
      </c>
      <c r="AX693" t="s">
        <v>74</v>
      </c>
      <c r="AY693" t="s">
        <v>74</v>
      </c>
      <c r="AZ693" t="s">
        <v>74</v>
      </c>
      <c r="BA693" t="s">
        <v>74</v>
      </c>
      <c r="BB693">
        <v>51</v>
      </c>
      <c r="BC693">
        <v>64</v>
      </c>
      <c r="BD693" t="s">
        <v>74</v>
      </c>
      <c r="BE693" t="s">
        <v>13126</v>
      </c>
      <c r="BF693" t="str">
        <f>HYPERLINK("http://dx.doi.org/10.3354/meps13538","http://dx.doi.org/10.3354/meps13538")</f>
        <v>http://dx.doi.org/10.3354/meps13538</v>
      </c>
      <c r="BG693" t="s">
        <v>74</v>
      </c>
      <c r="BH693" t="s">
        <v>74</v>
      </c>
      <c r="BI693">
        <v>14</v>
      </c>
      <c r="BJ693" t="s">
        <v>455</v>
      </c>
      <c r="BK693" t="s">
        <v>103</v>
      </c>
      <c r="BL693" t="s">
        <v>456</v>
      </c>
      <c r="BM693" t="s">
        <v>13127</v>
      </c>
      <c r="BN693" t="s">
        <v>74</v>
      </c>
      <c r="BO693" t="s">
        <v>74</v>
      </c>
      <c r="BP693" t="s">
        <v>74</v>
      </c>
      <c r="BQ693" t="s">
        <v>74</v>
      </c>
      <c r="BR693" t="s">
        <v>106</v>
      </c>
      <c r="BS693" t="s">
        <v>13128</v>
      </c>
      <c r="BT693" t="str">
        <f>HYPERLINK("https%3A%2F%2Fwww.webofscience.com%2Fwos%2Fwoscc%2Ffull-record%2FWOS:000621252600004","View Full Record in Web of Science")</f>
        <v>View Full Record in Web of Science</v>
      </c>
    </row>
    <row r="694" spans="1:72" x14ac:dyDescent="0.15">
      <c r="A694" t="s">
        <v>72</v>
      </c>
      <c r="B694" t="s">
        <v>13129</v>
      </c>
      <c r="C694" t="s">
        <v>74</v>
      </c>
      <c r="D694" t="s">
        <v>74</v>
      </c>
      <c r="E694" t="s">
        <v>74</v>
      </c>
      <c r="F694" t="s">
        <v>13130</v>
      </c>
      <c r="G694" t="s">
        <v>74</v>
      </c>
      <c r="H694" t="s">
        <v>74</v>
      </c>
      <c r="I694" t="s">
        <v>13131</v>
      </c>
      <c r="J694" t="s">
        <v>13132</v>
      </c>
      <c r="K694" t="s">
        <v>74</v>
      </c>
      <c r="L694" t="s">
        <v>74</v>
      </c>
      <c r="M694" t="s">
        <v>78</v>
      </c>
      <c r="N694" t="s">
        <v>79</v>
      </c>
      <c r="O694" t="s">
        <v>74</v>
      </c>
      <c r="P694" t="s">
        <v>74</v>
      </c>
      <c r="Q694" t="s">
        <v>74</v>
      </c>
      <c r="R694" t="s">
        <v>74</v>
      </c>
      <c r="S694" t="s">
        <v>74</v>
      </c>
      <c r="T694" t="s">
        <v>13133</v>
      </c>
      <c r="U694" t="s">
        <v>74</v>
      </c>
      <c r="V694" t="s">
        <v>13134</v>
      </c>
      <c r="W694" t="s">
        <v>13135</v>
      </c>
      <c r="X694" t="s">
        <v>11124</v>
      </c>
      <c r="Y694" t="s">
        <v>13136</v>
      </c>
      <c r="Z694" t="s">
        <v>13137</v>
      </c>
      <c r="AA694" t="s">
        <v>74</v>
      </c>
      <c r="AB694" t="s">
        <v>13138</v>
      </c>
      <c r="AC694" t="s">
        <v>13139</v>
      </c>
      <c r="AD694" t="s">
        <v>13139</v>
      </c>
      <c r="AE694" t="s">
        <v>13140</v>
      </c>
      <c r="AF694" t="s">
        <v>74</v>
      </c>
      <c r="AG694">
        <v>27</v>
      </c>
      <c r="AH694">
        <v>3</v>
      </c>
      <c r="AI694">
        <v>3</v>
      </c>
      <c r="AJ694">
        <v>1</v>
      </c>
      <c r="AK694">
        <v>9</v>
      </c>
      <c r="AL694" t="s">
        <v>13141</v>
      </c>
      <c r="AM694" t="s">
        <v>10851</v>
      </c>
      <c r="AN694" t="s">
        <v>13142</v>
      </c>
      <c r="AO694" t="s">
        <v>13143</v>
      </c>
      <c r="AP694" t="s">
        <v>13144</v>
      </c>
      <c r="AQ694" t="s">
        <v>74</v>
      </c>
      <c r="AR694" t="s">
        <v>13145</v>
      </c>
      <c r="AS694" t="s">
        <v>13146</v>
      </c>
      <c r="AT694" t="s">
        <v>13147</v>
      </c>
      <c r="AU694">
        <v>2020</v>
      </c>
      <c r="AV694">
        <v>120</v>
      </c>
      <c r="AW694">
        <v>4</v>
      </c>
      <c r="AX694" t="s">
        <v>74</v>
      </c>
      <c r="AY694" t="s">
        <v>74</v>
      </c>
      <c r="AZ694" t="s">
        <v>74</v>
      </c>
      <c r="BA694" t="s">
        <v>74</v>
      </c>
      <c r="BB694">
        <v>286</v>
      </c>
      <c r="BC694">
        <v>294</v>
      </c>
      <c r="BD694" t="s">
        <v>74</v>
      </c>
      <c r="BE694" t="s">
        <v>13148</v>
      </c>
      <c r="BF694" t="str">
        <f>HYPERLINK("http://dx.doi.org/10.1080/01584197.2020.1852574","http://dx.doi.org/10.1080/01584197.2020.1852574")</f>
        <v>http://dx.doi.org/10.1080/01584197.2020.1852574</v>
      </c>
      <c r="BG694" t="s">
        <v>74</v>
      </c>
      <c r="BH694" t="s">
        <v>11309</v>
      </c>
      <c r="BI694">
        <v>9</v>
      </c>
      <c r="BJ694" t="s">
        <v>1027</v>
      </c>
      <c r="BK694" t="s">
        <v>103</v>
      </c>
      <c r="BL694" t="s">
        <v>1028</v>
      </c>
      <c r="BM694" t="s">
        <v>13149</v>
      </c>
      <c r="BN694" t="s">
        <v>74</v>
      </c>
      <c r="BO694" t="s">
        <v>1220</v>
      </c>
      <c r="BP694" t="s">
        <v>74</v>
      </c>
      <c r="BQ694" t="s">
        <v>74</v>
      </c>
      <c r="BR694" t="s">
        <v>106</v>
      </c>
      <c r="BS694" t="s">
        <v>13150</v>
      </c>
      <c r="BT694" t="str">
        <f>HYPERLINK("https%3A%2F%2Fwww.webofscience.com%2Fwos%2Fwoscc%2Ffull-record%2FWOS:000598499000001","View Full Record in Web of Science")</f>
        <v>View Full Record in Web of Science</v>
      </c>
    </row>
    <row r="695" spans="1:72" x14ac:dyDescent="0.15">
      <c r="A695" t="s">
        <v>72</v>
      </c>
      <c r="B695" t="s">
        <v>13151</v>
      </c>
      <c r="C695" t="s">
        <v>74</v>
      </c>
      <c r="D695" t="s">
        <v>74</v>
      </c>
      <c r="E695" t="s">
        <v>74</v>
      </c>
      <c r="F695" t="s">
        <v>13152</v>
      </c>
      <c r="G695" t="s">
        <v>74</v>
      </c>
      <c r="H695" t="s">
        <v>74</v>
      </c>
      <c r="I695" t="s">
        <v>13153</v>
      </c>
      <c r="J695" t="s">
        <v>12138</v>
      </c>
      <c r="K695" t="s">
        <v>74</v>
      </c>
      <c r="L695" t="s">
        <v>74</v>
      </c>
      <c r="M695" t="s">
        <v>78</v>
      </c>
      <c r="N695" t="s">
        <v>79</v>
      </c>
      <c r="O695" t="s">
        <v>74</v>
      </c>
      <c r="P695" t="s">
        <v>74</v>
      </c>
      <c r="Q695" t="s">
        <v>74</v>
      </c>
      <c r="R695" t="s">
        <v>74</v>
      </c>
      <c r="S695" t="s">
        <v>74</v>
      </c>
      <c r="T695" t="s">
        <v>13154</v>
      </c>
      <c r="U695" t="s">
        <v>13155</v>
      </c>
      <c r="V695" t="s">
        <v>13156</v>
      </c>
      <c r="W695" t="s">
        <v>13157</v>
      </c>
      <c r="X695" t="s">
        <v>13158</v>
      </c>
      <c r="Y695" t="s">
        <v>13159</v>
      </c>
      <c r="Z695" t="s">
        <v>13160</v>
      </c>
      <c r="AA695" t="s">
        <v>13161</v>
      </c>
      <c r="AB695" t="s">
        <v>13162</v>
      </c>
      <c r="AC695" t="s">
        <v>13163</v>
      </c>
      <c r="AD695" t="s">
        <v>13164</v>
      </c>
      <c r="AE695" t="s">
        <v>13165</v>
      </c>
      <c r="AF695" t="s">
        <v>74</v>
      </c>
      <c r="AG695">
        <v>86</v>
      </c>
      <c r="AH695">
        <v>9</v>
      </c>
      <c r="AI695">
        <v>9</v>
      </c>
      <c r="AJ695">
        <v>1</v>
      </c>
      <c r="AK695">
        <v>21</v>
      </c>
      <c r="AL695" t="s">
        <v>500</v>
      </c>
      <c r="AM695" t="s">
        <v>501</v>
      </c>
      <c r="AN695" t="s">
        <v>502</v>
      </c>
      <c r="AO695" t="s">
        <v>74</v>
      </c>
      <c r="AP695" t="s">
        <v>12151</v>
      </c>
      <c r="AQ695" t="s">
        <v>74</v>
      </c>
      <c r="AR695" t="s">
        <v>12152</v>
      </c>
      <c r="AS695" t="s">
        <v>12153</v>
      </c>
      <c r="AT695" t="s">
        <v>13108</v>
      </c>
      <c r="AU695">
        <v>2020</v>
      </c>
      <c r="AV695">
        <v>11</v>
      </c>
      <c r="AW695" t="s">
        <v>74</v>
      </c>
      <c r="AX695" t="s">
        <v>74</v>
      </c>
      <c r="AY695" t="s">
        <v>74</v>
      </c>
      <c r="AZ695" t="s">
        <v>74</v>
      </c>
      <c r="BA695" t="s">
        <v>74</v>
      </c>
      <c r="BB695" t="s">
        <v>74</v>
      </c>
      <c r="BC695" t="s">
        <v>74</v>
      </c>
      <c r="BD695">
        <v>607251</v>
      </c>
      <c r="BE695" t="s">
        <v>13166</v>
      </c>
      <c r="BF695" t="str">
        <f>HYPERLINK("http://dx.doi.org/10.3389/fmicb.2020.607251","http://dx.doi.org/10.3389/fmicb.2020.607251")</f>
        <v>http://dx.doi.org/10.3389/fmicb.2020.607251</v>
      </c>
      <c r="BG695" t="s">
        <v>74</v>
      </c>
      <c r="BH695" t="s">
        <v>74</v>
      </c>
      <c r="BI695">
        <v>16</v>
      </c>
      <c r="BJ695" t="s">
        <v>3581</v>
      </c>
      <c r="BK695" t="s">
        <v>103</v>
      </c>
      <c r="BL695" t="s">
        <v>3581</v>
      </c>
      <c r="BM695" t="s">
        <v>13167</v>
      </c>
      <c r="BN695">
        <v>33362751</v>
      </c>
      <c r="BO695" t="s">
        <v>246</v>
      </c>
      <c r="BP695" t="s">
        <v>74</v>
      </c>
      <c r="BQ695" t="s">
        <v>74</v>
      </c>
      <c r="BR695" t="s">
        <v>106</v>
      </c>
      <c r="BS695" t="s">
        <v>13168</v>
      </c>
      <c r="BT695" t="str">
        <f>HYPERLINK("https%3A%2F%2Fwww.webofscience.com%2Fwos%2Fwoscc%2Ffull-record%2FWOS:000601398700001","View Full Record in Web of Science")</f>
        <v>View Full Record in Web of Science</v>
      </c>
    </row>
    <row r="696" spans="1:72" x14ac:dyDescent="0.15">
      <c r="A696" t="s">
        <v>72</v>
      </c>
      <c r="B696" t="s">
        <v>13169</v>
      </c>
      <c r="C696" t="s">
        <v>74</v>
      </c>
      <c r="D696" t="s">
        <v>74</v>
      </c>
      <c r="E696" t="s">
        <v>74</v>
      </c>
      <c r="F696" t="s">
        <v>13170</v>
      </c>
      <c r="G696" t="s">
        <v>74</v>
      </c>
      <c r="H696" t="s">
        <v>74</v>
      </c>
      <c r="I696" t="s">
        <v>13171</v>
      </c>
      <c r="J696" t="s">
        <v>1516</v>
      </c>
      <c r="K696" t="s">
        <v>74</v>
      </c>
      <c r="L696" t="s">
        <v>74</v>
      </c>
      <c r="M696" t="s">
        <v>78</v>
      </c>
      <c r="N696" t="s">
        <v>79</v>
      </c>
      <c r="O696" t="s">
        <v>74</v>
      </c>
      <c r="P696" t="s">
        <v>74</v>
      </c>
      <c r="Q696" t="s">
        <v>74</v>
      </c>
      <c r="R696" t="s">
        <v>74</v>
      </c>
      <c r="S696" t="s">
        <v>74</v>
      </c>
      <c r="T696" t="s">
        <v>13172</v>
      </c>
      <c r="U696" t="s">
        <v>74</v>
      </c>
      <c r="V696" t="s">
        <v>13173</v>
      </c>
      <c r="W696" t="s">
        <v>13174</v>
      </c>
      <c r="X696" t="s">
        <v>13175</v>
      </c>
      <c r="Y696" t="s">
        <v>13176</v>
      </c>
      <c r="Z696" t="s">
        <v>13177</v>
      </c>
      <c r="AA696" t="s">
        <v>74</v>
      </c>
      <c r="AB696" t="s">
        <v>74</v>
      </c>
      <c r="AC696" t="s">
        <v>13178</v>
      </c>
      <c r="AD696" t="s">
        <v>13179</v>
      </c>
      <c r="AE696" t="s">
        <v>13180</v>
      </c>
      <c r="AF696" t="s">
        <v>74</v>
      </c>
      <c r="AG696">
        <v>32</v>
      </c>
      <c r="AH696">
        <v>0</v>
      </c>
      <c r="AI696">
        <v>0</v>
      </c>
      <c r="AJ696">
        <v>0</v>
      </c>
      <c r="AK696">
        <v>8</v>
      </c>
      <c r="AL696" t="s">
        <v>418</v>
      </c>
      <c r="AM696" t="s">
        <v>178</v>
      </c>
      <c r="AN696" t="s">
        <v>419</v>
      </c>
      <c r="AO696" t="s">
        <v>1529</v>
      </c>
      <c r="AP696" t="s">
        <v>1530</v>
      </c>
      <c r="AQ696" t="s">
        <v>74</v>
      </c>
      <c r="AR696" t="s">
        <v>1531</v>
      </c>
      <c r="AS696" t="s">
        <v>1532</v>
      </c>
      <c r="AT696" t="s">
        <v>13108</v>
      </c>
      <c r="AU696">
        <v>2020</v>
      </c>
      <c r="AV696">
        <v>568</v>
      </c>
      <c r="AW696" t="s">
        <v>74</v>
      </c>
      <c r="AX696" t="s">
        <v>74</v>
      </c>
      <c r="AY696" t="s">
        <v>74</v>
      </c>
      <c r="AZ696" t="s">
        <v>74</v>
      </c>
      <c r="BA696" t="s">
        <v>74</v>
      </c>
      <c r="BB696">
        <v>116</v>
      </c>
      <c r="BC696">
        <v>121</v>
      </c>
      <c r="BD696" t="s">
        <v>74</v>
      </c>
      <c r="BE696" t="s">
        <v>13181</v>
      </c>
      <c r="BF696" t="str">
        <f>HYPERLINK("http://dx.doi.org/10.1016/j.quaint.2020.10.031","http://dx.doi.org/10.1016/j.quaint.2020.10.031")</f>
        <v>http://dx.doi.org/10.1016/j.quaint.2020.10.031</v>
      </c>
      <c r="BG696" t="s">
        <v>74</v>
      </c>
      <c r="BH696" t="s">
        <v>74</v>
      </c>
      <c r="BI696">
        <v>6</v>
      </c>
      <c r="BJ696" t="s">
        <v>156</v>
      </c>
      <c r="BK696" t="s">
        <v>103</v>
      </c>
      <c r="BL696" t="s">
        <v>157</v>
      </c>
      <c r="BM696" t="s">
        <v>13182</v>
      </c>
      <c r="BN696" t="s">
        <v>74</v>
      </c>
      <c r="BO696" t="s">
        <v>74</v>
      </c>
      <c r="BP696" t="s">
        <v>74</v>
      </c>
      <c r="BQ696" t="s">
        <v>74</v>
      </c>
      <c r="BR696" t="s">
        <v>106</v>
      </c>
      <c r="BS696" t="s">
        <v>13183</v>
      </c>
      <c r="BT696" t="str">
        <f>HYPERLINK("https%3A%2F%2Fwww.webofscience.com%2Fwos%2Fwoscc%2Ffull-record%2FWOS:000598457500002","View Full Record in Web of Science")</f>
        <v>View Full Record in Web of Science</v>
      </c>
    </row>
    <row r="697" spans="1:72" x14ac:dyDescent="0.15">
      <c r="A697" t="s">
        <v>72</v>
      </c>
      <c r="B697" t="s">
        <v>13184</v>
      </c>
      <c r="C697" t="s">
        <v>74</v>
      </c>
      <c r="D697" t="s">
        <v>74</v>
      </c>
      <c r="E697" t="s">
        <v>74</v>
      </c>
      <c r="F697" t="s">
        <v>13185</v>
      </c>
      <c r="G697" t="s">
        <v>74</v>
      </c>
      <c r="H697" t="s">
        <v>74</v>
      </c>
      <c r="I697" t="s">
        <v>13186</v>
      </c>
      <c r="J697" t="s">
        <v>140</v>
      </c>
      <c r="K697" t="s">
        <v>74</v>
      </c>
      <c r="L697" t="s">
        <v>74</v>
      </c>
      <c r="M697" t="s">
        <v>78</v>
      </c>
      <c r="N697" t="s">
        <v>79</v>
      </c>
      <c r="O697" t="s">
        <v>74</v>
      </c>
      <c r="P697" t="s">
        <v>74</v>
      </c>
      <c r="Q697" t="s">
        <v>74</v>
      </c>
      <c r="R697" t="s">
        <v>74</v>
      </c>
      <c r="S697" t="s">
        <v>74</v>
      </c>
      <c r="T697" t="s">
        <v>74</v>
      </c>
      <c r="U697" t="s">
        <v>13187</v>
      </c>
      <c r="V697" t="s">
        <v>13188</v>
      </c>
      <c r="W697" t="s">
        <v>13189</v>
      </c>
      <c r="X697" t="s">
        <v>13190</v>
      </c>
      <c r="Y697" t="s">
        <v>13191</v>
      </c>
      <c r="Z697" t="s">
        <v>13192</v>
      </c>
      <c r="AA697" t="s">
        <v>13193</v>
      </c>
      <c r="AB697" t="s">
        <v>13194</v>
      </c>
      <c r="AC697" t="s">
        <v>13195</v>
      </c>
      <c r="AD697" t="s">
        <v>13196</v>
      </c>
      <c r="AE697" t="s">
        <v>13197</v>
      </c>
      <c r="AF697" t="s">
        <v>74</v>
      </c>
      <c r="AG697">
        <v>111</v>
      </c>
      <c r="AH697">
        <v>12</v>
      </c>
      <c r="AI697">
        <v>12</v>
      </c>
      <c r="AJ697">
        <v>2</v>
      </c>
      <c r="AK697">
        <v>7</v>
      </c>
      <c r="AL697" t="s">
        <v>123</v>
      </c>
      <c r="AM697" t="s">
        <v>124</v>
      </c>
      <c r="AN697" t="s">
        <v>125</v>
      </c>
      <c r="AO697" t="s">
        <v>152</v>
      </c>
      <c r="AP697" t="s">
        <v>153</v>
      </c>
      <c r="AQ697" t="s">
        <v>74</v>
      </c>
      <c r="AR697" t="s">
        <v>140</v>
      </c>
      <c r="AS697" t="s">
        <v>154</v>
      </c>
      <c r="AT697" t="s">
        <v>13108</v>
      </c>
      <c r="AU697">
        <v>2020</v>
      </c>
      <c r="AV697">
        <v>14</v>
      </c>
      <c r="AW697">
        <v>12</v>
      </c>
      <c r="AX697" t="s">
        <v>74</v>
      </c>
      <c r="AY697" t="s">
        <v>74</v>
      </c>
      <c r="AZ697" t="s">
        <v>74</v>
      </c>
      <c r="BA697" t="s">
        <v>74</v>
      </c>
      <c r="BB697">
        <v>4525</v>
      </c>
      <c r="BC697">
        <v>4551</v>
      </c>
      <c r="BD697" t="s">
        <v>74</v>
      </c>
      <c r="BE697" t="s">
        <v>13198</v>
      </c>
      <c r="BF697" t="str">
        <f>HYPERLINK("http://dx.doi.org/10.5194/tc-14-4525-2020","http://dx.doi.org/10.5194/tc-14-4525-2020")</f>
        <v>http://dx.doi.org/10.5194/tc-14-4525-2020</v>
      </c>
      <c r="BG697" t="s">
        <v>74</v>
      </c>
      <c r="BH697" t="s">
        <v>74</v>
      </c>
      <c r="BI697">
        <v>27</v>
      </c>
      <c r="BJ697" t="s">
        <v>156</v>
      </c>
      <c r="BK697" t="s">
        <v>103</v>
      </c>
      <c r="BL697" t="s">
        <v>157</v>
      </c>
      <c r="BM697" t="s">
        <v>13199</v>
      </c>
      <c r="BN697" t="s">
        <v>74</v>
      </c>
      <c r="BO697" t="s">
        <v>159</v>
      </c>
      <c r="BP697" t="s">
        <v>74</v>
      </c>
      <c r="BQ697" t="s">
        <v>74</v>
      </c>
      <c r="BR697" t="s">
        <v>106</v>
      </c>
      <c r="BS697" t="s">
        <v>13200</v>
      </c>
      <c r="BT697" t="str">
        <f>HYPERLINK("https%3A%2F%2Fwww.webofscience.com%2Fwos%2Fwoscc%2Ffull-record%2FWOS:000599511600001","View Full Record in Web of Science")</f>
        <v>View Full Record in Web of Science</v>
      </c>
    </row>
    <row r="698" spans="1:72" x14ac:dyDescent="0.15">
      <c r="A698" t="s">
        <v>72</v>
      </c>
      <c r="B698" t="s">
        <v>13201</v>
      </c>
      <c r="C698" t="s">
        <v>74</v>
      </c>
      <c r="D698" t="s">
        <v>74</v>
      </c>
      <c r="E698" t="s">
        <v>74</v>
      </c>
      <c r="F698" t="s">
        <v>13202</v>
      </c>
      <c r="G698" t="s">
        <v>74</v>
      </c>
      <c r="H698" t="s">
        <v>74</v>
      </c>
      <c r="I698" t="s">
        <v>13203</v>
      </c>
      <c r="J698" t="s">
        <v>2272</v>
      </c>
      <c r="K698" t="s">
        <v>74</v>
      </c>
      <c r="L698" t="s">
        <v>74</v>
      </c>
      <c r="M698" t="s">
        <v>78</v>
      </c>
      <c r="N698" t="s">
        <v>79</v>
      </c>
      <c r="O698" t="s">
        <v>74</v>
      </c>
      <c r="P698" t="s">
        <v>74</v>
      </c>
      <c r="Q698" t="s">
        <v>74</v>
      </c>
      <c r="R698" t="s">
        <v>74</v>
      </c>
      <c r="S698" t="s">
        <v>74</v>
      </c>
      <c r="T698" t="s">
        <v>74</v>
      </c>
      <c r="U698" t="s">
        <v>13204</v>
      </c>
      <c r="V698" t="s">
        <v>13205</v>
      </c>
      <c r="W698" t="s">
        <v>13206</v>
      </c>
      <c r="X698" t="s">
        <v>13207</v>
      </c>
      <c r="Y698" t="s">
        <v>13208</v>
      </c>
      <c r="Z698" t="s">
        <v>13209</v>
      </c>
      <c r="AA698" t="s">
        <v>13210</v>
      </c>
      <c r="AB698" t="s">
        <v>13211</v>
      </c>
      <c r="AC698" t="s">
        <v>13212</v>
      </c>
      <c r="AD698" t="s">
        <v>13213</v>
      </c>
      <c r="AE698" t="s">
        <v>13214</v>
      </c>
      <c r="AF698" t="s">
        <v>74</v>
      </c>
      <c r="AG698">
        <v>100</v>
      </c>
      <c r="AH698">
        <v>26</v>
      </c>
      <c r="AI698">
        <v>32</v>
      </c>
      <c r="AJ698">
        <v>5</v>
      </c>
      <c r="AK698">
        <v>24</v>
      </c>
      <c r="AL698" t="s">
        <v>123</v>
      </c>
      <c r="AM698" t="s">
        <v>124</v>
      </c>
      <c r="AN698" t="s">
        <v>125</v>
      </c>
      <c r="AO698" t="s">
        <v>2282</v>
      </c>
      <c r="AP698" t="s">
        <v>2283</v>
      </c>
      <c r="AQ698" t="s">
        <v>74</v>
      </c>
      <c r="AR698" t="s">
        <v>2284</v>
      </c>
      <c r="AS698" t="s">
        <v>2285</v>
      </c>
      <c r="AT698" t="s">
        <v>13108</v>
      </c>
      <c r="AU698">
        <v>2020</v>
      </c>
      <c r="AV698">
        <v>12</v>
      </c>
      <c r="AW698">
        <v>4</v>
      </c>
      <c r="AX698" t="s">
        <v>74</v>
      </c>
      <c r="AY698" t="s">
        <v>74</v>
      </c>
      <c r="AZ698" t="s">
        <v>74</v>
      </c>
      <c r="BA698" t="s">
        <v>74</v>
      </c>
      <c r="BB698">
        <v>3341</v>
      </c>
      <c r="BC698">
        <v>3356</v>
      </c>
      <c r="BD698" t="s">
        <v>74</v>
      </c>
      <c r="BE698" t="s">
        <v>13215</v>
      </c>
      <c r="BF698" t="str">
        <f>HYPERLINK("http://dx.doi.org/10.5194/essd-12-3341-2020","http://dx.doi.org/10.5194/essd-12-3341-2020")</f>
        <v>http://dx.doi.org/10.5194/essd-12-3341-2020</v>
      </c>
      <c r="BG698" t="s">
        <v>74</v>
      </c>
      <c r="BH698" t="s">
        <v>74</v>
      </c>
      <c r="BI698">
        <v>16</v>
      </c>
      <c r="BJ698" t="s">
        <v>1570</v>
      </c>
      <c r="BK698" t="s">
        <v>103</v>
      </c>
      <c r="BL698" t="s">
        <v>1571</v>
      </c>
      <c r="BM698" t="s">
        <v>13216</v>
      </c>
      <c r="BN698" t="s">
        <v>74</v>
      </c>
      <c r="BO698" t="s">
        <v>2597</v>
      </c>
      <c r="BP698" t="s">
        <v>74</v>
      </c>
      <c r="BQ698" t="s">
        <v>74</v>
      </c>
      <c r="BR698" t="s">
        <v>106</v>
      </c>
      <c r="BS698" t="s">
        <v>13217</v>
      </c>
      <c r="BT698" t="str">
        <f>HYPERLINK("https%3A%2F%2Fwww.webofscience.com%2Fwos%2Fwoscc%2Ffull-record%2FWOS:000599511000001","View Full Record in Web of Science")</f>
        <v>View Full Record in Web of Science</v>
      </c>
    </row>
    <row r="699" spans="1:72" x14ac:dyDescent="0.15">
      <c r="A699" t="s">
        <v>72</v>
      </c>
      <c r="B699" t="s">
        <v>13218</v>
      </c>
      <c r="C699" t="s">
        <v>74</v>
      </c>
      <c r="D699" t="s">
        <v>74</v>
      </c>
      <c r="E699" t="s">
        <v>74</v>
      </c>
      <c r="F699" t="s">
        <v>13219</v>
      </c>
      <c r="G699" t="s">
        <v>74</v>
      </c>
      <c r="H699" t="s">
        <v>74</v>
      </c>
      <c r="I699" t="s">
        <v>13220</v>
      </c>
      <c r="J699" t="s">
        <v>140</v>
      </c>
      <c r="K699" t="s">
        <v>74</v>
      </c>
      <c r="L699" t="s">
        <v>74</v>
      </c>
      <c r="M699" t="s">
        <v>78</v>
      </c>
      <c r="N699" t="s">
        <v>79</v>
      </c>
      <c r="O699" t="s">
        <v>74</v>
      </c>
      <c r="P699" t="s">
        <v>74</v>
      </c>
      <c r="Q699" t="s">
        <v>74</v>
      </c>
      <c r="R699" t="s">
        <v>74</v>
      </c>
      <c r="S699" t="s">
        <v>74</v>
      </c>
      <c r="T699" t="s">
        <v>74</v>
      </c>
      <c r="U699" t="s">
        <v>13221</v>
      </c>
      <c r="V699" t="s">
        <v>13222</v>
      </c>
      <c r="W699" t="s">
        <v>13223</v>
      </c>
      <c r="X699" t="s">
        <v>13224</v>
      </c>
      <c r="Y699" t="s">
        <v>13225</v>
      </c>
      <c r="Z699" t="s">
        <v>13226</v>
      </c>
      <c r="AA699" t="s">
        <v>13227</v>
      </c>
      <c r="AB699" t="s">
        <v>13228</v>
      </c>
      <c r="AC699" t="s">
        <v>13229</v>
      </c>
      <c r="AD699" t="s">
        <v>13230</v>
      </c>
      <c r="AE699" t="s">
        <v>13231</v>
      </c>
      <c r="AF699" t="s">
        <v>74</v>
      </c>
      <c r="AG699">
        <v>88</v>
      </c>
      <c r="AH699">
        <v>6</v>
      </c>
      <c r="AI699">
        <v>8</v>
      </c>
      <c r="AJ699">
        <v>2</v>
      </c>
      <c r="AK699">
        <v>18</v>
      </c>
      <c r="AL699" t="s">
        <v>123</v>
      </c>
      <c r="AM699" t="s">
        <v>124</v>
      </c>
      <c r="AN699" t="s">
        <v>125</v>
      </c>
      <c r="AO699" t="s">
        <v>152</v>
      </c>
      <c r="AP699" t="s">
        <v>153</v>
      </c>
      <c r="AQ699" t="s">
        <v>74</v>
      </c>
      <c r="AR699" t="s">
        <v>140</v>
      </c>
      <c r="AS699" t="s">
        <v>154</v>
      </c>
      <c r="AT699" t="s">
        <v>13108</v>
      </c>
      <c r="AU699">
        <v>2020</v>
      </c>
      <c r="AV699">
        <v>14</v>
      </c>
      <c r="AW699">
        <v>12</v>
      </c>
      <c r="AX699" t="s">
        <v>74</v>
      </c>
      <c r="AY699" t="s">
        <v>74</v>
      </c>
      <c r="AZ699" t="s">
        <v>74</v>
      </c>
      <c r="BA699" t="s">
        <v>74</v>
      </c>
      <c r="BB699">
        <v>4507</v>
      </c>
      <c r="BC699">
        <v>4524</v>
      </c>
      <c r="BD699" t="s">
        <v>74</v>
      </c>
      <c r="BE699" t="s">
        <v>13232</v>
      </c>
      <c r="BF699" t="str">
        <f>HYPERLINK("http://dx.doi.org/10.5194/tc-14-4507-2020","http://dx.doi.org/10.5194/tc-14-4507-2020")</f>
        <v>http://dx.doi.org/10.5194/tc-14-4507-2020</v>
      </c>
      <c r="BG699" t="s">
        <v>74</v>
      </c>
      <c r="BH699" t="s">
        <v>74</v>
      </c>
      <c r="BI699">
        <v>18</v>
      </c>
      <c r="BJ699" t="s">
        <v>156</v>
      </c>
      <c r="BK699" t="s">
        <v>103</v>
      </c>
      <c r="BL699" t="s">
        <v>157</v>
      </c>
      <c r="BM699" t="s">
        <v>13233</v>
      </c>
      <c r="BN699" t="s">
        <v>74</v>
      </c>
      <c r="BO699" t="s">
        <v>11726</v>
      </c>
      <c r="BP699" t="s">
        <v>74</v>
      </c>
      <c r="BQ699" t="s">
        <v>74</v>
      </c>
      <c r="BR699" t="s">
        <v>106</v>
      </c>
      <c r="BS699" t="s">
        <v>13234</v>
      </c>
      <c r="BT699" t="str">
        <f>HYPERLINK("https%3A%2F%2Fwww.webofscience.com%2Fwos%2Fwoscc%2Ffull-record%2FWOS:000599494900001","View Full Record in Web of Science")</f>
        <v>View Full Record in Web of Science</v>
      </c>
    </row>
    <row r="700" spans="1:72" x14ac:dyDescent="0.15">
      <c r="A700" t="s">
        <v>72</v>
      </c>
      <c r="B700" t="s">
        <v>13235</v>
      </c>
      <c r="C700" t="s">
        <v>74</v>
      </c>
      <c r="D700" t="s">
        <v>74</v>
      </c>
      <c r="E700" t="s">
        <v>74</v>
      </c>
      <c r="F700" t="s">
        <v>13236</v>
      </c>
      <c r="G700" t="s">
        <v>74</v>
      </c>
      <c r="H700" t="s">
        <v>74</v>
      </c>
      <c r="I700" t="s">
        <v>13237</v>
      </c>
      <c r="J700" t="s">
        <v>13238</v>
      </c>
      <c r="K700" t="s">
        <v>74</v>
      </c>
      <c r="L700" t="s">
        <v>74</v>
      </c>
      <c r="M700" t="s">
        <v>78</v>
      </c>
      <c r="N700" t="s">
        <v>79</v>
      </c>
      <c r="O700" t="s">
        <v>74</v>
      </c>
      <c r="P700" t="s">
        <v>74</v>
      </c>
      <c r="Q700" t="s">
        <v>74</v>
      </c>
      <c r="R700" t="s">
        <v>74</v>
      </c>
      <c r="S700" t="s">
        <v>74</v>
      </c>
      <c r="T700" t="s">
        <v>13239</v>
      </c>
      <c r="U700" t="s">
        <v>13240</v>
      </c>
      <c r="V700" t="s">
        <v>13241</v>
      </c>
      <c r="W700" t="s">
        <v>13242</v>
      </c>
      <c r="X700" t="s">
        <v>13243</v>
      </c>
      <c r="Y700" t="s">
        <v>13244</v>
      </c>
      <c r="Z700" t="s">
        <v>13245</v>
      </c>
      <c r="AA700" t="s">
        <v>13246</v>
      </c>
      <c r="AB700" t="s">
        <v>13247</v>
      </c>
      <c r="AC700" t="s">
        <v>13248</v>
      </c>
      <c r="AD700" t="s">
        <v>13249</v>
      </c>
      <c r="AE700" t="s">
        <v>13250</v>
      </c>
      <c r="AF700" t="s">
        <v>74</v>
      </c>
      <c r="AG700">
        <v>29</v>
      </c>
      <c r="AH700">
        <v>3</v>
      </c>
      <c r="AI700">
        <v>3</v>
      </c>
      <c r="AJ700">
        <v>1</v>
      </c>
      <c r="AK700">
        <v>24</v>
      </c>
      <c r="AL700" t="s">
        <v>13251</v>
      </c>
      <c r="AM700" t="s">
        <v>13252</v>
      </c>
      <c r="AN700" t="s">
        <v>13253</v>
      </c>
      <c r="AO700" t="s">
        <v>13254</v>
      </c>
      <c r="AP700" t="s">
        <v>13255</v>
      </c>
      <c r="AQ700" t="s">
        <v>74</v>
      </c>
      <c r="AR700" t="s">
        <v>13256</v>
      </c>
      <c r="AS700" t="s">
        <v>13257</v>
      </c>
      <c r="AT700" t="s">
        <v>130</v>
      </c>
      <c r="AU700">
        <v>2021</v>
      </c>
      <c r="AV700">
        <v>22</v>
      </c>
      <c r="AW700">
        <v>2</v>
      </c>
      <c r="AX700" t="s">
        <v>74</v>
      </c>
      <c r="AY700" t="s">
        <v>74</v>
      </c>
      <c r="AZ700" t="s">
        <v>74</v>
      </c>
      <c r="BA700" t="s">
        <v>74</v>
      </c>
      <c r="BB700">
        <v>363</v>
      </c>
      <c r="BC700">
        <v>379</v>
      </c>
      <c r="BD700" t="s">
        <v>74</v>
      </c>
      <c r="BE700" t="s">
        <v>13258</v>
      </c>
      <c r="BF700" t="str">
        <f>HYPERLINK("http://dx.doi.org/10.1108/IJSHE-04-2020-0119","http://dx.doi.org/10.1108/IJSHE-04-2020-0119")</f>
        <v>http://dx.doi.org/10.1108/IJSHE-04-2020-0119</v>
      </c>
      <c r="BG700" t="s">
        <v>74</v>
      </c>
      <c r="BH700" t="s">
        <v>11309</v>
      </c>
      <c r="BI700">
        <v>17</v>
      </c>
      <c r="BJ700" t="s">
        <v>13259</v>
      </c>
      <c r="BK700" t="s">
        <v>2733</v>
      </c>
      <c r="BL700" t="s">
        <v>13260</v>
      </c>
      <c r="BM700" t="s">
        <v>13261</v>
      </c>
      <c r="BN700" t="s">
        <v>74</v>
      </c>
      <c r="BO700" t="s">
        <v>74</v>
      </c>
      <c r="BP700" t="s">
        <v>74</v>
      </c>
      <c r="BQ700" t="s">
        <v>74</v>
      </c>
      <c r="BR700" t="s">
        <v>106</v>
      </c>
      <c r="BS700" t="s">
        <v>13262</v>
      </c>
      <c r="BT700" t="str">
        <f>HYPERLINK("https%3A%2F%2Fwww.webofscience.com%2Fwos%2Fwoscc%2Ffull-record%2FWOS:000599180700001","View Full Record in Web of Science")</f>
        <v>View Full Record in Web of Science</v>
      </c>
    </row>
    <row r="701" spans="1:72" x14ac:dyDescent="0.15">
      <c r="A701" t="s">
        <v>72</v>
      </c>
      <c r="B701" t="s">
        <v>13263</v>
      </c>
      <c r="C701" t="s">
        <v>74</v>
      </c>
      <c r="D701" t="s">
        <v>74</v>
      </c>
      <c r="E701" t="s">
        <v>74</v>
      </c>
      <c r="F701" t="s">
        <v>13264</v>
      </c>
      <c r="G701" t="s">
        <v>74</v>
      </c>
      <c r="H701" t="s">
        <v>74</v>
      </c>
      <c r="I701" t="s">
        <v>13265</v>
      </c>
      <c r="J701" t="s">
        <v>13266</v>
      </c>
      <c r="K701" t="s">
        <v>74</v>
      </c>
      <c r="L701" t="s">
        <v>74</v>
      </c>
      <c r="M701" t="s">
        <v>78</v>
      </c>
      <c r="N701" t="s">
        <v>1260</v>
      </c>
      <c r="O701" t="s">
        <v>74</v>
      </c>
      <c r="P701" t="s">
        <v>74</v>
      </c>
      <c r="Q701" t="s">
        <v>74</v>
      </c>
      <c r="R701" t="s">
        <v>74</v>
      </c>
      <c r="S701" t="s">
        <v>74</v>
      </c>
      <c r="T701" t="s">
        <v>74</v>
      </c>
      <c r="U701" t="s">
        <v>74</v>
      </c>
      <c r="V701" t="s">
        <v>13267</v>
      </c>
      <c r="W701" t="s">
        <v>74</v>
      </c>
      <c r="X701" t="s">
        <v>74</v>
      </c>
      <c r="Y701" t="s">
        <v>74</v>
      </c>
      <c r="Z701" t="s">
        <v>13268</v>
      </c>
      <c r="AA701" t="s">
        <v>13269</v>
      </c>
      <c r="AB701" t="s">
        <v>13270</v>
      </c>
      <c r="AC701" t="s">
        <v>74</v>
      </c>
      <c r="AD701" t="s">
        <v>74</v>
      </c>
      <c r="AE701" t="s">
        <v>74</v>
      </c>
      <c r="AF701" t="s">
        <v>74</v>
      </c>
      <c r="AG701">
        <v>1</v>
      </c>
      <c r="AH701">
        <v>0</v>
      </c>
      <c r="AI701">
        <v>0</v>
      </c>
      <c r="AJ701">
        <v>0</v>
      </c>
      <c r="AK701">
        <v>9</v>
      </c>
      <c r="AL701" t="s">
        <v>955</v>
      </c>
      <c r="AM701" t="s">
        <v>528</v>
      </c>
      <c r="AN701" t="s">
        <v>529</v>
      </c>
      <c r="AO701" t="s">
        <v>13271</v>
      </c>
      <c r="AP701" t="s">
        <v>13272</v>
      </c>
      <c r="AQ701" t="s">
        <v>74</v>
      </c>
      <c r="AR701" t="s">
        <v>13273</v>
      </c>
      <c r="AS701" t="s">
        <v>13274</v>
      </c>
      <c r="AT701" t="s">
        <v>374</v>
      </c>
      <c r="AU701">
        <v>2021</v>
      </c>
      <c r="AV701">
        <v>11</v>
      </c>
      <c r="AW701">
        <v>1</v>
      </c>
      <c r="AX701" t="s">
        <v>74</v>
      </c>
      <c r="AY701" t="s">
        <v>74</v>
      </c>
      <c r="AZ701" t="s">
        <v>74</v>
      </c>
      <c r="BA701" t="s">
        <v>74</v>
      </c>
      <c r="BB701">
        <v>78</v>
      </c>
      <c r="BC701">
        <v>78</v>
      </c>
      <c r="BD701" t="s">
        <v>74</v>
      </c>
      <c r="BE701" t="s">
        <v>13275</v>
      </c>
      <c r="BF701" t="str">
        <f>HYPERLINK("http://dx.doi.org/10.1038/s41558-020-00978-4","http://dx.doi.org/10.1038/s41558-020-00978-4")</f>
        <v>http://dx.doi.org/10.1038/s41558-020-00978-4</v>
      </c>
      <c r="BG701" t="s">
        <v>74</v>
      </c>
      <c r="BH701" t="s">
        <v>11309</v>
      </c>
      <c r="BI701">
        <v>1</v>
      </c>
      <c r="BJ701" t="s">
        <v>13276</v>
      </c>
      <c r="BK701" t="s">
        <v>271</v>
      </c>
      <c r="BL701" t="s">
        <v>133</v>
      </c>
      <c r="BM701" t="s">
        <v>13277</v>
      </c>
      <c r="BN701" t="s">
        <v>74</v>
      </c>
      <c r="BO701" t="s">
        <v>3283</v>
      </c>
      <c r="BP701" t="s">
        <v>74</v>
      </c>
      <c r="BQ701" t="s">
        <v>74</v>
      </c>
      <c r="BR701" t="s">
        <v>106</v>
      </c>
      <c r="BS701" t="s">
        <v>13278</v>
      </c>
      <c r="BT701" t="str">
        <f>HYPERLINK("https%3A%2F%2Fwww.webofscience.com%2Fwos%2Fwoscc%2Ffull-record%2FWOS:000597433000001","View Full Record in Web of Science")</f>
        <v>View Full Record in Web of Science</v>
      </c>
    </row>
    <row r="702" spans="1:72" x14ac:dyDescent="0.15">
      <c r="A702" t="s">
        <v>72</v>
      </c>
      <c r="B702" t="s">
        <v>13279</v>
      </c>
      <c r="C702" t="s">
        <v>74</v>
      </c>
      <c r="D702" t="s">
        <v>74</v>
      </c>
      <c r="E702" t="s">
        <v>74</v>
      </c>
      <c r="F702" t="s">
        <v>13280</v>
      </c>
      <c r="G702" t="s">
        <v>74</v>
      </c>
      <c r="H702" t="s">
        <v>74</v>
      </c>
      <c r="I702" t="s">
        <v>13281</v>
      </c>
      <c r="J702" t="s">
        <v>12003</v>
      </c>
      <c r="K702" t="s">
        <v>74</v>
      </c>
      <c r="L702" t="s">
        <v>74</v>
      </c>
      <c r="M702" t="s">
        <v>78</v>
      </c>
      <c r="N702" t="s">
        <v>79</v>
      </c>
      <c r="O702" t="s">
        <v>74</v>
      </c>
      <c r="P702" t="s">
        <v>74</v>
      </c>
      <c r="Q702" t="s">
        <v>74</v>
      </c>
      <c r="R702" t="s">
        <v>74</v>
      </c>
      <c r="S702" t="s">
        <v>74</v>
      </c>
      <c r="T702" t="s">
        <v>13282</v>
      </c>
      <c r="U702" t="s">
        <v>13283</v>
      </c>
      <c r="V702" t="s">
        <v>13284</v>
      </c>
      <c r="W702" t="s">
        <v>13285</v>
      </c>
      <c r="X702" t="s">
        <v>13286</v>
      </c>
      <c r="Y702" t="s">
        <v>13287</v>
      </c>
      <c r="Z702" t="s">
        <v>13288</v>
      </c>
      <c r="AA702" t="s">
        <v>13289</v>
      </c>
      <c r="AB702" t="s">
        <v>13290</v>
      </c>
      <c r="AC702" t="s">
        <v>2082</v>
      </c>
      <c r="AD702" t="s">
        <v>2083</v>
      </c>
      <c r="AE702" t="s">
        <v>13291</v>
      </c>
      <c r="AF702" t="s">
        <v>74</v>
      </c>
      <c r="AG702">
        <v>38</v>
      </c>
      <c r="AH702">
        <v>24</v>
      </c>
      <c r="AI702">
        <v>25</v>
      </c>
      <c r="AJ702">
        <v>3</v>
      </c>
      <c r="AK702">
        <v>41</v>
      </c>
      <c r="AL702" t="s">
        <v>552</v>
      </c>
      <c r="AM702" t="s">
        <v>553</v>
      </c>
      <c r="AN702" t="s">
        <v>554</v>
      </c>
      <c r="AO702" t="s">
        <v>12013</v>
      </c>
      <c r="AP702" t="s">
        <v>74</v>
      </c>
      <c r="AQ702" t="s">
        <v>74</v>
      </c>
      <c r="AR702" t="s">
        <v>12014</v>
      </c>
      <c r="AS702" t="s">
        <v>12015</v>
      </c>
      <c r="AT702" t="s">
        <v>12016</v>
      </c>
      <c r="AU702">
        <v>2021</v>
      </c>
      <c r="AV702">
        <v>14</v>
      </c>
      <c r="AW702">
        <v>3</v>
      </c>
      <c r="AX702" t="s">
        <v>74</v>
      </c>
      <c r="AY702" t="s">
        <v>74</v>
      </c>
      <c r="AZ702" t="s">
        <v>74</v>
      </c>
      <c r="BA702" t="s">
        <v>74</v>
      </c>
      <c r="BB702" t="s">
        <v>74</v>
      </c>
      <c r="BC702" t="s">
        <v>74</v>
      </c>
      <c r="BD702" t="s">
        <v>13292</v>
      </c>
      <c r="BE702" t="s">
        <v>13293</v>
      </c>
      <c r="BF702" t="str">
        <f>HYPERLINK("http://dx.doi.org/10.1111/conl.12778","http://dx.doi.org/10.1111/conl.12778")</f>
        <v>http://dx.doi.org/10.1111/conl.12778</v>
      </c>
      <c r="BG702" t="s">
        <v>74</v>
      </c>
      <c r="BH702" t="s">
        <v>11309</v>
      </c>
      <c r="BI702">
        <v>8</v>
      </c>
      <c r="BJ702" t="s">
        <v>5211</v>
      </c>
      <c r="BK702" t="s">
        <v>103</v>
      </c>
      <c r="BL702" t="s">
        <v>5212</v>
      </c>
      <c r="BM702" t="s">
        <v>12019</v>
      </c>
      <c r="BN702" t="s">
        <v>74</v>
      </c>
      <c r="BO702" t="s">
        <v>11791</v>
      </c>
      <c r="BP702" t="s">
        <v>74</v>
      </c>
      <c r="BQ702" t="s">
        <v>74</v>
      </c>
      <c r="BR702" t="s">
        <v>106</v>
      </c>
      <c r="BS702" t="s">
        <v>13294</v>
      </c>
      <c r="BT702" t="str">
        <f>HYPERLINK("https%3A%2F%2Fwww.webofscience.com%2Fwos%2Fwoscc%2Ffull-record%2FWOS:000597059300001","View Full Record in Web of Science")</f>
        <v>View Full Record in Web of Science</v>
      </c>
    </row>
    <row r="703" spans="1:72" x14ac:dyDescent="0.15">
      <c r="A703" t="s">
        <v>72</v>
      </c>
      <c r="B703" t="s">
        <v>13295</v>
      </c>
      <c r="C703" t="s">
        <v>74</v>
      </c>
      <c r="D703" t="s">
        <v>74</v>
      </c>
      <c r="E703" t="s">
        <v>74</v>
      </c>
      <c r="F703" t="s">
        <v>13296</v>
      </c>
      <c r="G703" t="s">
        <v>74</v>
      </c>
      <c r="H703" t="s">
        <v>74</v>
      </c>
      <c r="I703" t="s">
        <v>13297</v>
      </c>
      <c r="J703" t="s">
        <v>223</v>
      </c>
      <c r="K703" t="s">
        <v>74</v>
      </c>
      <c r="L703" t="s">
        <v>74</v>
      </c>
      <c r="M703" t="s">
        <v>78</v>
      </c>
      <c r="N703" t="s">
        <v>79</v>
      </c>
      <c r="O703" t="s">
        <v>74</v>
      </c>
      <c r="P703" t="s">
        <v>74</v>
      </c>
      <c r="Q703" t="s">
        <v>74</v>
      </c>
      <c r="R703" t="s">
        <v>74</v>
      </c>
      <c r="S703" t="s">
        <v>74</v>
      </c>
      <c r="T703" t="s">
        <v>74</v>
      </c>
      <c r="U703" t="s">
        <v>13298</v>
      </c>
      <c r="V703" t="s">
        <v>13299</v>
      </c>
      <c r="W703" t="s">
        <v>13300</v>
      </c>
      <c r="X703" t="s">
        <v>13301</v>
      </c>
      <c r="Y703" t="s">
        <v>13302</v>
      </c>
      <c r="Z703" t="s">
        <v>13303</v>
      </c>
      <c r="AA703" t="s">
        <v>74</v>
      </c>
      <c r="AB703" t="s">
        <v>13304</v>
      </c>
      <c r="AC703" t="s">
        <v>13305</v>
      </c>
      <c r="AD703" t="s">
        <v>13306</v>
      </c>
      <c r="AE703" t="s">
        <v>13307</v>
      </c>
      <c r="AF703" t="s">
        <v>74</v>
      </c>
      <c r="AG703">
        <v>92</v>
      </c>
      <c r="AH703">
        <v>47</v>
      </c>
      <c r="AI703">
        <v>51</v>
      </c>
      <c r="AJ703">
        <v>1</v>
      </c>
      <c r="AK703">
        <v>14</v>
      </c>
      <c r="AL703" t="s">
        <v>235</v>
      </c>
      <c r="AM703" t="s">
        <v>236</v>
      </c>
      <c r="AN703" t="s">
        <v>237</v>
      </c>
      <c r="AO703" t="s">
        <v>74</v>
      </c>
      <c r="AP703" t="s">
        <v>238</v>
      </c>
      <c r="AQ703" t="s">
        <v>74</v>
      </c>
      <c r="AR703" t="s">
        <v>239</v>
      </c>
      <c r="AS703" t="s">
        <v>240</v>
      </c>
      <c r="AT703" t="s">
        <v>13308</v>
      </c>
      <c r="AU703">
        <v>2020</v>
      </c>
      <c r="AV703">
        <v>1</v>
      </c>
      <c r="AW703">
        <v>1</v>
      </c>
      <c r="AX703" t="s">
        <v>74</v>
      </c>
      <c r="AY703" t="s">
        <v>74</v>
      </c>
      <c r="AZ703" t="s">
        <v>74</v>
      </c>
      <c r="BA703" t="s">
        <v>74</v>
      </c>
      <c r="BB703" t="s">
        <v>74</v>
      </c>
      <c r="BC703" t="s">
        <v>74</v>
      </c>
      <c r="BD703">
        <v>58</v>
      </c>
      <c r="BE703" t="s">
        <v>13309</v>
      </c>
      <c r="BF703" t="str">
        <f>HYPERLINK("http://dx.doi.org/10.1038/s43247-020-00059-6","http://dx.doi.org/10.1038/s43247-020-00059-6")</f>
        <v>http://dx.doi.org/10.1038/s43247-020-00059-6</v>
      </c>
      <c r="BG703" t="s">
        <v>74</v>
      </c>
      <c r="BH703" t="s">
        <v>74</v>
      </c>
      <c r="BI703">
        <v>8</v>
      </c>
      <c r="BJ703" t="s">
        <v>243</v>
      </c>
      <c r="BK703" t="s">
        <v>103</v>
      </c>
      <c r="BL703" t="s">
        <v>244</v>
      </c>
      <c r="BM703" t="s">
        <v>13310</v>
      </c>
      <c r="BN703" t="s">
        <v>74</v>
      </c>
      <c r="BO703" t="s">
        <v>660</v>
      </c>
      <c r="BP703" t="s">
        <v>74</v>
      </c>
      <c r="BQ703" t="s">
        <v>74</v>
      </c>
      <c r="BR703" t="s">
        <v>106</v>
      </c>
      <c r="BS703" t="s">
        <v>13311</v>
      </c>
      <c r="BT703" t="str">
        <f>HYPERLINK("https%3A%2F%2Fwww.webofscience.com%2Fwos%2Fwoscc%2Ffull-record%2FWOS:000693644700001","View Full Record in Web of Science")</f>
        <v>View Full Record in Web of Science</v>
      </c>
    </row>
    <row r="704" spans="1:72" x14ac:dyDescent="0.15">
      <c r="A704" t="s">
        <v>72</v>
      </c>
      <c r="B704" t="s">
        <v>13312</v>
      </c>
      <c r="C704" t="s">
        <v>74</v>
      </c>
      <c r="D704" t="s">
        <v>74</v>
      </c>
      <c r="E704" t="s">
        <v>74</v>
      </c>
      <c r="F704" t="s">
        <v>13313</v>
      </c>
      <c r="G704" t="s">
        <v>74</v>
      </c>
      <c r="H704" t="s">
        <v>74</v>
      </c>
      <c r="I704" t="s">
        <v>13314</v>
      </c>
      <c r="J704" t="s">
        <v>13315</v>
      </c>
      <c r="K704" t="s">
        <v>74</v>
      </c>
      <c r="L704" t="s">
        <v>74</v>
      </c>
      <c r="M704" t="s">
        <v>78</v>
      </c>
      <c r="N704" t="s">
        <v>79</v>
      </c>
      <c r="O704" t="s">
        <v>74</v>
      </c>
      <c r="P704" t="s">
        <v>74</v>
      </c>
      <c r="Q704" t="s">
        <v>74</v>
      </c>
      <c r="R704" t="s">
        <v>74</v>
      </c>
      <c r="S704" t="s">
        <v>74</v>
      </c>
      <c r="T704" t="s">
        <v>13316</v>
      </c>
      <c r="U704" t="s">
        <v>13317</v>
      </c>
      <c r="V704" t="s">
        <v>13318</v>
      </c>
      <c r="W704" t="s">
        <v>13319</v>
      </c>
      <c r="X704" t="s">
        <v>13320</v>
      </c>
      <c r="Y704" t="s">
        <v>13321</v>
      </c>
      <c r="Z704" t="s">
        <v>13322</v>
      </c>
      <c r="AA704" t="s">
        <v>13323</v>
      </c>
      <c r="AB704" t="s">
        <v>13324</v>
      </c>
      <c r="AC704" t="s">
        <v>13325</v>
      </c>
      <c r="AD704" t="s">
        <v>13326</v>
      </c>
      <c r="AE704" t="s">
        <v>13327</v>
      </c>
      <c r="AF704" t="s">
        <v>74</v>
      </c>
      <c r="AG704">
        <v>36</v>
      </c>
      <c r="AH704">
        <v>1</v>
      </c>
      <c r="AI704">
        <v>2</v>
      </c>
      <c r="AJ704">
        <v>0</v>
      </c>
      <c r="AK704">
        <v>9</v>
      </c>
      <c r="AL704" t="s">
        <v>2630</v>
      </c>
      <c r="AM704" t="s">
        <v>2631</v>
      </c>
      <c r="AN704" t="s">
        <v>2632</v>
      </c>
      <c r="AO704" t="s">
        <v>13328</v>
      </c>
      <c r="AP704" t="s">
        <v>74</v>
      </c>
      <c r="AQ704" t="s">
        <v>74</v>
      </c>
      <c r="AR704" t="s">
        <v>13329</v>
      </c>
      <c r="AS704" t="s">
        <v>13330</v>
      </c>
      <c r="AT704" t="s">
        <v>13308</v>
      </c>
      <c r="AU704">
        <v>2020</v>
      </c>
      <c r="AV704">
        <v>16</v>
      </c>
      <c r="AW704">
        <v>2</v>
      </c>
      <c r="AX704" t="s">
        <v>74</v>
      </c>
      <c r="AY704" t="s">
        <v>74</v>
      </c>
      <c r="AZ704" t="s">
        <v>74</v>
      </c>
      <c r="BA704" t="s">
        <v>74</v>
      </c>
      <c r="BB704">
        <v>702</v>
      </c>
      <c r="BC704">
        <v>709</v>
      </c>
      <c r="BD704" t="s">
        <v>74</v>
      </c>
      <c r="BE704" t="s">
        <v>13331</v>
      </c>
      <c r="BF704" t="str">
        <f>HYPERLINK("http://dx.doi.org/10.1080/17445647.2020.1822218","http://dx.doi.org/10.1080/17445647.2020.1822218")</f>
        <v>http://dx.doi.org/10.1080/17445647.2020.1822218</v>
      </c>
      <c r="BG704" t="s">
        <v>74</v>
      </c>
      <c r="BH704" t="s">
        <v>74</v>
      </c>
      <c r="BI704">
        <v>8</v>
      </c>
      <c r="BJ704" t="s">
        <v>13332</v>
      </c>
      <c r="BK704" t="s">
        <v>271</v>
      </c>
      <c r="BL704" t="s">
        <v>13333</v>
      </c>
      <c r="BM704" t="s">
        <v>13334</v>
      </c>
      <c r="BN704" t="s">
        <v>74</v>
      </c>
      <c r="BO704" t="s">
        <v>958</v>
      </c>
      <c r="BP704" t="s">
        <v>74</v>
      </c>
      <c r="BQ704" t="s">
        <v>74</v>
      </c>
      <c r="BR704" t="s">
        <v>106</v>
      </c>
      <c r="BS704" t="s">
        <v>13335</v>
      </c>
      <c r="BT704" t="str">
        <f>HYPERLINK("https%3A%2F%2Fwww.webofscience.com%2Fwos%2Fwoscc%2Ffull-record%2FWOS:000576873600001","View Full Record in Web of Science")</f>
        <v>View Full Record in Web of Science</v>
      </c>
    </row>
    <row r="705" spans="1:72" x14ac:dyDescent="0.15">
      <c r="A705" t="s">
        <v>72</v>
      </c>
      <c r="B705" t="s">
        <v>13336</v>
      </c>
      <c r="C705" t="s">
        <v>74</v>
      </c>
      <c r="D705" t="s">
        <v>74</v>
      </c>
      <c r="E705" t="s">
        <v>74</v>
      </c>
      <c r="F705" t="s">
        <v>13337</v>
      </c>
      <c r="G705" t="s">
        <v>74</v>
      </c>
      <c r="H705" t="s">
        <v>74</v>
      </c>
      <c r="I705" t="s">
        <v>13338</v>
      </c>
      <c r="J705" t="s">
        <v>2075</v>
      </c>
      <c r="K705" t="s">
        <v>74</v>
      </c>
      <c r="L705" t="s">
        <v>74</v>
      </c>
      <c r="M705" t="s">
        <v>78</v>
      </c>
      <c r="N705" t="s">
        <v>1260</v>
      </c>
      <c r="O705" t="s">
        <v>74</v>
      </c>
      <c r="P705" t="s">
        <v>74</v>
      </c>
      <c r="Q705" t="s">
        <v>74</v>
      </c>
      <c r="R705" t="s">
        <v>74</v>
      </c>
      <c r="S705" t="s">
        <v>74</v>
      </c>
      <c r="T705" t="s">
        <v>74</v>
      </c>
      <c r="U705" t="s">
        <v>74</v>
      </c>
      <c r="V705" t="s">
        <v>74</v>
      </c>
      <c r="W705" t="s">
        <v>74</v>
      </c>
      <c r="X705" t="s">
        <v>74</v>
      </c>
      <c r="Y705" t="s">
        <v>74</v>
      </c>
      <c r="Z705" t="s">
        <v>13339</v>
      </c>
      <c r="AA705" t="s">
        <v>13340</v>
      </c>
      <c r="AB705" t="s">
        <v>13341</v>
      </c>
      <c r="AC705" t="s">
        <v>74</v>
      </c>
      <c r="AD705" t="s">
        <v>74</v>
      </c>
      <c r="AE705" t="s">
        <v>74</v>
      </c>
      <c r="AF705" t="s">
        <v>74</v>
      </c>
      <c r="AG705">
        <v>1</v>
      </c>
      <c r="AH705">
        <v>0</v>
      </c>
      <c r="AI705">
        <v>0</v>
      </c>
      <c r="AJ705">
        <v>1</v>
      </c>
      <c r="AK705">
        <v>5</v>
      </c>
      <c r="AL705" t="s">
        <v>955</v>
      </c>
      <c r="AM705" t="s">
        <v>528</v>
      </c>
      <c r="AN705" t="s">
        <v>529</v>
      </c>
      <c r="AO705" t="s">
        <v>2085</v>
      </c>
      <c r="AP705" t="s">
        <v>74</v>
      </c>
      <c r="AQ705" t="s">
        <v>74</v>
      </c>
      <c r="AR705" t="s">
        <v>2086</v>
      </c>
      <c r="AS705" t="s">
        <v>2087</v>
      </c>
      <c r="AT705" t="s">
        <v>13308</v>
      </c>
      <c r="AU705">
        <v>2020</v>
      </c>
      <c r="AV705">
        <v>10</v>
      </c>
      <c r="AW705">
        <v>1</v>
      </c>
      <c r="AX705" t="s">
        <v>74</v>
      </c>
      <c r="AY705" t="s">
        <v>74</v>
      </c>
      <c r="AZ705" t="s">
        <v>74</v>
      </c>
      <c r="BA705" t="s">
        <v>74</v>
      </c>
      <c r="BB705" t="s">
        <v>74</v>
      </c>
      <c r="BC705" t="s">
        <v>74</v>
      </c>
      <c r="BD705">
        <v>21901</v>
      </c>
      <c r="BE705" t="s">
        <v>13342</v>
      </c>
      <c r="BF705" t="str">
        <f>HYPERLINK("http://dx.doi.org/10.1038/s41598-020-79111-6","http://dx.doi.org/10.1038/s41598-020-79111-6")</f>
        <v>http://dx.doi.org/10.1038/s41598-020-79111-6</v>
      </c>
      <c r="BG705" t="s">
        <v>74</v>
      </c>
      <c r="BH705" t="s">
        <v>74</v>
      </c>
      <c r="BI705">
        <v>2</v>
      </c>
      <c r="BJ705" t="s">
        <v>534</v>
      </c>
      <c r="BK705" t="s">
        <v>103</v>
      </c>
      <c r="BL705" t="s">
        <v>535</v>
      </c>
      <c r="BM705" t="s">
        <v>13343</v>
      </c>
      <c r="BN705">
        <v>33299074</v>
      </c>
      <c r="BO705" t="s">
        <v>246</v>
      </c>
      <c r="BP705" t="s">
        <v>74</v>
      </c>
      <c r="BQ705" t="s">
        <v>74</v>
      </c>
      <c r="BR705" t="s">
        <v>106</v>
      </c>
      <c r="BS705" t="s">
        <v>13344</v>
      </c>
      <c r="BT705" t="str">
        <f>HYPERLINK("https%3A%2F%2Fwww.webofscience.com%2Fwos%2Fwoscc%2Ffull-record%2FWOS:000608957900001","View Full Record in Web of Science")</f>
        <v>View Full Record in Web of Science</v>
      </c>
    </row>
    <row r="706" spans="1:72" x14ac:dyDescent="0.15">
      <c r="A706" t="s">
        <v>72</v>
      </c>
      <c r="B706" t="s">
        <v>13345</v>
      </c>
      <c r="C706" t="s">
        <v>74</v>
      </c>
      <c r="D706" t="s">
        <v>74</v>
      </c>
      <c r="E706" t="s">
        <v>74</v>
      </c>
      <c r="F706" t="s">
        <v>13346</v>
      </c>
      <c r="G706" t="s">
        <v>74</v>
      </c>
      <c r="H706" t="s">
        <v>74</v>
      </c>
      <c r="I706" t="s">
        <v>13347</v>
      </c>
      <c r="J706" t="s">
        <v>11731</v>
      </c>
      <c r="K706" t="s">
        <v>74</v>
      </c>
      <c r="L706" t="s">
        <v>74</v>
      </c>
      <c r="M706" t="s">
        <v>78</v>
      </c>
      <c r="N706" t="s">
        <v>79</v>
      </c>
      <c r="O706" t="s">
        <v>74</v>
      </c>
      <c r="P706" t="s">
        <v>74</v>
      </c>
      <c r="Q706" t="s">
        <v>74</v>
      </c>
      <c r="R706" t="s">
        <v>74</v>
      </c>
      <c r="S706" t="s">
        <v>74</v>
      </c>
      <c r="T706" t="s">
        <v>13348</v>
      </c>
      <c r="U706" t="s">
        <v>13349</v>
      </c>
      <c r="V706" t="s">
        <v>13350</v>
      </c>
      <c r="W706" t="s">
        <v>13351</v>
      </c>
      <c r="X706" t="s">
        <v>13352</v>
      </c>
      <c r="Y706" t="s">
        <v>13353</v>
      </c>
      <c r="Z706" t="s">
        <v>13354</v>
      </c>
      <c r="AA706" t="s">
        <v>13355</v>
      </c>
      <c r="AB706" t="s">
        <v>13356</v>
      </c>
      <c r="AC706" t="s">
        <v>13357</v>
      </c>
      <c r="AD706" t="s">
        <v>13357</v>
      </c>
      <c r="AE706" t="s">
        <v>13358</v>
      </c>
      <c r="AF706" t="s">
        <v>74</v>
      </c>
      <c r="AG706">
        <v>96</v>
      </c>
      <c r="AH706">
        <v>22</v>
      </c>
      <c r="AI706">
        <v>22</v>
      </c>
      <c r="AJ706">
        <v>0</v>
      </c>
      <c r="AK706">
        <v>14</v>
      </c>
      <c r="AL706" t="s">
        <v>11744</v>
      </c>
      <c r="AM706" t="s">
        <v>236</v>
      </c>
      <c r="AN706" t="s">
        <v>11745</v>
      </c>
      <c r="AO706" t="s">
        <v>11746</v>
      </c>
      <c r="AP706" t="s">
        <v>11747</v>
      </c>
      <c r="AQ706" t="s">
        <v>74</v>
      </c>
      <c r="AR706" t="s">
        <v>11748</v>
      </c>
      <c r="AS706" t="s">
        <v>11749</v>
      </c>
      <c r="AT706" t="s">
        <v>13308</v>
      </c>
      <c r="AU706">
        <v>2020</v>
      </c>
      <c r="AV706">
        <v>287</v>
      </c>
      <c r="AW706">
        <v>1940</v>
      </c>
      <c r="AX706" t="s">
        <v>74</v>
      </c>
      <c r="AY706" t="s">
        <v>74</v>
      </c>
      <c r="AZ706" t="s">
        <v>74</v>
      </c>
      <c r="BA706" t="s">
        <v>74</v>
      </c>
      <c r="BB706" t="s">
        <v>74</v>
      </c>
      <c r="BC706" t="s">
        <v>74</v>
      </c>
      <c r="BD706">
        <v>20202121</v>
      </c>
      <c r="BE706" t="s">
        <v>13359</v>
      </c>
      <c r="BF706" t="str">
        <f>HYPERLINK("http://dx.doi.org/10.1098/rspb.2020.2121","http://dx.doi.org/10.1098/rspb.2020.2121")</f>
        <v>http://dx.doi.org/10.1098/rspb.2020.2121</v>
      </c>
      <c r="BG706" t="s">
        <v>74</v>
      </c>
      <c r="BH706" t="s">
        <v>74</v>
      </c>
      <c r="BI706">
        <v>10</v>
      </c>
      <c r="BJ706" t="s">
        <v>11751</v>
      </c>
      <c r="BK706" t="s">
        <v>103</v>
      </c>
      <c r="BL706" t="s">
        <v>11752</v>
      </c>
      <c r="BM706" t="s">
        <v>13360</v>
      </c>
      <c r="BN706">
        <v>33290676</v>
      </c>
      <c r="BO706" t="s">
        <v>7176</v>
      </c>
      <c r="BP706" t="s">
        <v>74</v>
      </c>
      <c r="BQ706" t="s">
        <v>74</v>
      </c>
      <c r="BR706" t="s">
        <v>106</v>
      </c>
      <c r="BS706" t="s">
        <v>13361</v>
      </c>
      <c r="BT706" t="str">
        <f>HYPERLINK("https%3A%2F%2Fwww.webofscience.com%2Fwos%2Fwoscc%2Ffull-record%2FWOS:000598832500005","View Full Record in Web of Science")</f>
        <v>View Full Record in Web of Science</v>
      </c>
    </row>
    <row r="707" spans="1:72" x14ac:dyDescent="0.15">
      <c r="A707" t="s">
        <v>72</v>
      </c>
      <c r="B707" t="s">
        <v>13362</v>
      </c>
      <c r="C707" t="s">
        <v>74</v>
      </c>
      <c r="D707" t="s">
        <v>74</v>
      </c>
      <c r="E707" t="s">
        <v>74</v>
      </c>
      <c r="F707" t="s">
        <v>13363</v>
      </c>
      <c r="G707" t="s">
        <v>74</v>
      </c>
      <c r="H707" t="s">
        <v>74</v>
      </c>
      <c r="I707" t="s">
        <v>13364</v>
      </c>
      <c r="J707" t="s">
        <v>11292</v>
      </c>
      <c r="K707" t="s">
        <v>74</v>
      </c>
      <c r="L707" t="s">
        <v>74</v>
      </c>
      <c r="M707" t="s">
        <v>78</v>
      </c>
      <c r="N707" t="s">
        <v>79</v>
      </c>
      <c r="O707" t="s">
        <v>74</v>
      </c>
      <c r="P707" t="s">
        <v>74</v>
      </c>
      <c r="Q707" t="s">
        <v>74</v>
      </c>
      <c r="R707" t="s">
        <v>74</v>
      </c>
      <c r="S707" t="s">
        <v>74</v>
      </c>
      <c r="T707" t="s">
        <v>13365</v>
      </c>
      <c r="U707" t="s">
        <v>13366</v>
      </c>
      <c r="V707" t="s">
        <v>13367</v>
      </c>
      <c r="W707" t="s">
        <v>13368</v>
      </c>
      <c r="X707" t="s">
        <v>13369</v>
      </c>
      <c r="Y707" t="s">
        <v>13370</v>
      </c>
      <c r="Z707" t="s">
        <v>13371</v>
      </c>
      <c r="AA707" t="s">
        <v>13372</v>
      </c>
      <c r="AB707" t="s">
        <v>13373</v>
      </c>
      <c r="AC707" t="s">
        <v>13374</v>
      </c>
      <c r="AD707" t="s">
        <v>13375</v>
      </c>
      <c r="AE707" t="s">
        <v>13376</v>
      </c>
      <c r="AF707" t="s">
        <v>74</v>
      </c>
      <c r="AG707">
        <v>63</v>
      </c>
      <c r="AH707">
        <v>17</v>
      </c>
      <c r="AI707">
        <v>17</v>
      </c>
      <c r="AJ707">
        <v>6</v>
      </c>
      <c r="AK707">
        <v>34</v>
      </c>
      <c r="AL707" t="s">
        <v>552</v>
      </c>
      <c r="AM707" t="s">
        <v>553</v>
      </c>
      <c r="AN707" t="s">
        <v>554</v>
      </c>
      <c r="AO707" t="s">
        <v>11305</v>
      </c>
      <c r="AP707" t="s">
        <v>74</v>
      </c>
      <c r="AQ707" t="s">
        <v>74</v>
      </c>
      <c r="AR707" t="s">
        <v>11306</v>
      </c>
      <c r="AS707" t="s">
        <v>11307</v>
      </c>
      <c r="AT707" t="s">
        <v>374</v>
      </c>
      <c r="AU707">
        <v>2021</v>
      </c>
      <c r="AV707">
        <v>11</v>
      </c>
      <c r="AW707">
        <v>1</v>
      </c>
      <c r="AX707" t="s">
        <v>74</v>
      </c>
      <c r="AY707" t="s">
        <v>74</v>
      </c>
      <c r="AZ707" t="s">
        <v>74</v>
      </c>
      <c r="BA707" t="s">
        <v>74</v>
      </c>
      <c r="BB707">
        <v>227</v>
      </c>
      <c r="BC707">
        <v>241</v>
      </c>
      <c r="BD707" t="s">
        <v>74</v>
      </c>
      <c r="BE707" t="s">
        <v>13377</v>
      </c>
      <c r="BF707" t="str">
        <f>HYPERLINK("http://dx.doi.org/10.1002/ece3.7017","http://dx.doi.org/10.1002/ece3.7017")</f>
        <v>http://dx.doi.org/10.1002/ece3.7017</v>
      </c>
      <c r="BG707" t="s">
        <v>74</v>
      </c>
      <c r="BH707" t="s">
        <v>11309</v>
      </c>
      <c r="BI707">
        <v>15</v>
      </c>
      <c r="BJ707" t="s">
        <v>11310</v>
      </c>
      <c r="BK707" t="s">
        <v>271</v>
      </c>
      <c r="BL707" t="s">
        <v>5971</v>
      </c>
      <c r="BM707" t="s">
        <v>12447</v>
      </c>
      <c r="BN707">
        <v>33437425</v>
      </c>
      <c r="BO707" t="s">
        <v>246</v>
      </c>
      <c r="BP707" t="s">
        <v>74</v>
      </c>
      <c r="BQ707" t="s">
        <v>74</v>
      </c>
      <c r="BR707" t="s">
        <v>106</v>
      </c>
      <c r="BS707" t="s">
        <v>13378</v>
      </c>
      <c r="BT707" t="str">
        <f>HYPERLINK("https%3A%2F%2Fwww.webofscience.com%2Fwos%2Fwoscc%2Ffull-record%2FWOS:000596571900001","View Full Record in Web of Science")</f>
        <v>View Full Record in Web of Science</v>
      </c>
    </row>
    <row r="708" spans="1:72" x14ac:dyDescent="0.15">
      <c r="A708" t="s">
        <v>72</v>
      </c>
      <c r="B708" t="s">
        <v>13379</v>
      </c>
      <c r="C708" t="s">
        <v>74</v>
      </c>
      <c r="D708" t="s">
        <v>74</v>
      </c>
      <c r="E708" t="s">
        <v>74</v>
      </c>
      <c r="F708" t="s">
        <v>13380</v>
      </c>
      <c r="G708" t="s">
        <v>74</v>
      </c>
      <c r="H708" t="s">
        <v>74</v>
      </c>
      <c r="I708" t="s">
        <v>13381</v>
      </c>
      <c r="J708" t="s">
        <v>2075</v>
      </c>
      <c r="K708" t="s">
        <v>74</v>
      </c>
      <c r="L708" t="s">
        <v>74</v>
      </c>
      <c r="M708" t="s">
        <v>78</v>
      </c>
      <c r="N708" t="s">
        <v>79</v>
      </c>
      <c r="O708" t="s">
        <v>74</v>
      </c>
      <c r="P708" t="s">
        <v>74</v>
      </c>
      <c r="Q708" t="s">
        <v>74</v>
      </c>
      <c r="R708" t="s">
        <v>74</v>
      </c>
      <c r="S708" t="s">
        <v>74</v>
      </c>
      <c r="T708" t="s">
        <v>74</v>
      </c>
      <c r="U708" t="s">
        <v>13382</v>
      </c>
      <c r="V708" t="s">
        <v>13383</v>
      </c>
      <c r="W708" t="s">
        <v>13384</v>
      </c>
      <c r="X708" t="s">
        <v>13385</v>
      </c>
      <c r="Y708" t="s">
        <v>13386</v>
      </c>
      <c r="Z708" t="s">
        <v>13387</v>
      </c>
      <c r="AA708" t="s">
        <v>13388</v>
      </c>
      <c r="AB708" t="s">
        <v>13389</v>
      </c>
      <c r="AC708" t="s">
        <v>13390</v>
      </c>
      <c r="AD708" t="s">
        <v>13391</v>
      </c>
      <c r="AE708" t="s">
        <v>13392</v>
      </c>
      <c r="AF708" t="s">
        <v>74</v>
      </c>
      <c r="AG708">
        <v>86</v>
      </c>
      <c r="AH708">
        <v>10</v>
      </c>
      <c r="AI708">
        <v>11</v>
      </c>
      <c r="AJ708">
        <v>1</v>
      </c>
      <c r="AK708">
        <v>18</v>
      </c>
      <c r="AL708" t="s">
        <v>955</v>
      </c>
      <c r="AM708" t="s">
        <v>528</v>
      </c>
      <c r="AN708" t="s">
        <v>529</v>
      </c>
      <c r="AO708" t="s">
        <v>2085</v>
      </c>
      <c r="AP708" t="s">
        <v>74</v>
      </c>
      <c r="AQ708" t="s">
        <v>74</v>
      </c>
      <c r="AR708" t="s">
        <v>2086</v>
      </c>
      <c r="AS708" t="s">
        <v>2087</v>
      </c>
      <c r="AT708" t="s">
        <v>13308</v>
      </c>
      <c r="AU708">
        <v>2020</v>
      </c>
      <c r="AV708">
        <v>10</v>
      </c>
      <c r="AW708">
        <v>1</v>
      </c>
      <c r="AX708" t="s">
        <v>74</v>
      </c>
      <c r="AY708" t="s">
        <v>74</v>
      </c>
      <c r="AZ708" t="s">
        <v>74</v>
      </c>
      <c r="BA708" t="s">
        <v>74</v>
      </c>
      <c r="BB708" t="s">
        <v>74</v>
      </c>
      <c r="BC708" t="s">
        <v>74</v>
      </c>
      <c r="BD708">
        <v>21506</v>
      </c>
      <c r="BE708" t="s">
        <v>13393</v>
      </c>
      <c r="BF708" t="str">
        <f>HYPERLINK("http://dx.doi.org/10.1038/s41598-020-78645-z","http://dx.doi.org/10.1038/s41598-020-78645-z")</f>
        <v>http://dx.doi.org/10.1038/s41598-020-78645-z</v>
      </c>
      <c r="BG708" t="s">
        <v>74</v>
      </c>
      <c r="BH708" t="s">
        <v>74</v>
      </c>
      <c r="BI708">
        <v>11</v>
      </c>
      <c r="BJ708" t="s">
        <v>534</v>
      </c>
      <c r="BK708" t="s">
        <v>103</v>
      </c>
      <c r="BL708" t="s">
        <v>535</v>
      </c>
      <c r="BM708" t="s">
        <v>13394</v>
      </c>
      <c r="BN708">
        <v>33299075</v>
      </c>
      <c r="BO708" t="s">
        <v>3030</v>
      </c>
      <c r="BP708" t="s">
        <v>74</v>
      </c>
      <c r="BQ708" t="s">
        <v>74</v>
      </c>
      <c r="BR708" t="s">
        <v>106</v>
      </c>
      <c r="BS708" t="s">
        <v>13395</v>
      </c>
      <c r="BT708" t="str">
        <f>HYPERLINK("https%3A%2F%2Fwww.webofscience.com%2Fwos%2Fwoscc%2Ffull-record%2FWOS:000608953600015","View Full Record in Web of Science")</f>
        <v>View Full Record in Web of Science</v>
      </c>
    </row>
    <row r="709" spans="1:72" x14ac:dyDescent="0.15">
      <c r="A709" t="s">
        <v>72</v>
      </c>
      <c r="B709" t="s">
        <v>13396</v>
      </c>
      <c r="C709" t="s">
        <v>74</v>
      </c>
      <c r="D709" t="s">
        <v>74</v>
      </c>
      <c r="E709" t="s">
        <v>74</v>
      </c>
      <c r="F709" t="s">
        <v>13397</v>
      </c>
      <c r="G709" t="s">
        <v>74</v>
      </c>
      <c r="H709" t="s">
        <v>74</v>
      </c>
      <c r="I709" t="s">
        <v>13398</v>
      </c>
      <c r="J709" t="s">
        <v>13315</v>
      </c>
      <c r="K709" t="s">
        <v>74</v>
      </c>
      <c r="L709" t="s">
        <v>74</v>
      </c>
      <c r="M709" t="s">
        <v>78</v>
      </c>
      <c r="N709" t="s">
        <v>79</v>
      </c>
      <c r="O709" t="s">
        <v>74</v>
      </c>
      <c r="P709" t="s">
        <v>74</v>
      </c>
      <c r="Q709" t="s">
        <v>74</v>
      </c>
      <c r="R709" t="s">
        <v>74</v>
      </c>
      <c r="S709" t="s">
        <v>74</v>
      </c>
      <c r="T709" t="s">
        <v>13399</v>
      </c>
      <c r="U709" t="s">
        <v>13400</v>
      </c>
      <c r="V709" t="s">
        <v>13401</v>
      </c>
      <c r="W709" t="s">
        <v>13402</v>
      </c>
      <c r="X709" t="s">
        <v>13403</v>
      </c>
      <c r="Y709" t="s">
        <v>13404</v>
      </c>
      <c r="Z709" t="s">
        <v>13405</v>
      </c>
      <c r="AA709" t="s">
        <v>13406</v>
      </c>
      <c r="AB709" t="s">
        <v>13407</v>
      </c>
      <c r="AC709" t="s">
        <v>13408</v>
      </c>
      <c r="AD709" t="s">
        <v>13409</v>
      </c>
      <c r="AE709" t="s">
        <v>13410</v>
      </c>
      <c r="AF709" t="s">
        <v>74</v>
      </c>
      <c r="AG709">
        <v>42</v>
      </c>
      <c r="AH709">
        <v>3</v>
      </c>
      <c r="AI709">
        <v>4</v>
      </c>
      <c r="AJ709">
        <v>0</v>
      </c>
      <c r="AK709">
        <v>27</v>
      </c>
      <c r="AL709" t="s">
        <v>2630</v>
      </c>
      <c r="AM709" t="s">
        <v>2631</v>
      </c>
      <c r="AN709" t="s">
        <v>2632</v>
      </c>
      <c r="AO709" t="s">
        <v>13328</v>
      </c>
      <c r="AP709" t="s">
        <v>74</v>
      </c>
      <c r="AQ709" t="s">
        <v>74</v>
      </c>
      <c r="AR709" t="s">
        <v>13329</v>
      </c>
      <c r="AS709" t="s">
        <v>13330</v>
      </c>
      <c r="AT709" t="s">
        <v>13308</v>
      </c>
      <c r="AU709">
        <v>2020</v>
      </c>
      <c r="AV709">
        <v>16</v>
      </c>
      <c r="AW709">
        <v>2</v>
      </c>
      <c r="AX709" t="s">
        <v>74</v>
      </c>
      <c r="AY709" t="s">
        <v>74</v>
      </c>
      <c r="AZ709" t="s">
        <v>74</v>
      </c>
      <c r="BA709" t="s">
        <v>74</v>
      </c>
      <c r="BB709">
        <v>468</v>
      </c>
      <c r="BC709">
        <v>478</v>
      </c>
      <c r="BD709" t="s">
        <v>74</v>
      </c>
      <c r="BE709" t="s">
        <v>13411</v>
      </c>
      <c r="BF709" t="str">
        <f>HYPERLINK("http://dx.doi.org/10.1080/17445647.2020.1761464","http://dx.doi.org/10.1080/17445647.2020.1761464")</f>
        <v>http://dx.doi.org/10.1080/17445647.2020.1761464</v>
      </c>
      <c r="BG709" t="s">
        <v>74</v>
      </c>
      <c r="BH709" t="s">
        <v>74</v>
      </c>
      <c r="BI709">
        <v>11</v>
      </c>
      <c r="BJ709" t="s">
        <v>13332</v>
      </c>
      <c r="BK709" t="s">
        <v>271</v>
      </c>
      <c r="BL709" t="s">
        <v>13333</v>
      </c>
      <c r="BM709" t="s">
        <v>13412</v>
      </c>
      <c r="BN709" t="s">
        <v>74</v>
      </c>
      <c r="BO709" t="s">
        <v>2107</v>
      </c>
      <c r="BP709" t="s">
        <v>74</v>
      </c>
      <c r="BQ709" t="s">
        <v>74</v>
      </c>
      <c r="BR709" t="s">
        <v>106</v>
      </c>
      <c r="BS709" t="s">
        <v>13413</v>
      </c>
      <c r="BT709" t="str">
        <f>HYPERLINK("https%3A%2F%2Fwww.webofscience.com%2Fwos%2Fwoscc%2Ffull-record%2FWOS:000544456100001","View Full Record in Web of Science")</f>
        <v>View Full Record in Web of Science</v>
      </c>
    </row>
    <row r="710" spans="1:72" x14ac:dyDescent="0.15">
      <c r="A710" t="s">
        <v>72</v>
      </c>
      <c r="B710" t="s">
        <v>13414</v>
      </c>
      <c r="C710" t="s">
        <v>74</v>
      </c>
      <c r="D710" t="s">
        <v>74</v>
      </c>
      <c r="E710" t="s">
        <v>74</v>
      </c>
      <c r="F710" t="s">
        <v>13415</v>
      </c>
      <c r="G710" t="s">
        <v>74</v>
      </c>
      <c r="H710" t="s">
        <v>74</v>
      </c>
      <c r="I710" t="s">
        <v>13416</v>
      </c>
      <c r="J710" t="s">
        <v>13315</v>
      </c>
      <c r="K710" t="s">
        <v>74</v>
      </c>
      <c r="L710" t="s">
        <v>74</v>
      </c>
      <c r="M710" t="s">
        <v>78</v>
      </c>
      <c r="N710" t="s">
        <v>79</v>
      </c>
      <c r="O710" t="s">
        <v>74</v>
      </c>
      <c r="P710" t="s">
        <v>74</v>
      </c>
      <c r="Q710" t="s">
        <v>74</v>
      </c>
      <c r="R710" t="s">
        <v>74</v>
      </c>
      <c r="S710" t="s">
        <v>74</v>
      </c>
      <c r="T710" t="s">
        <v>13417</v>
      </c>
      <c r="U710" t="s">
        <v>13418</v>
      </c>
      <c r="V710" t="s">
        <v>13419</v>
      </c>
      <c r="W710" t="s">
        <v>13420</v>
      </c>
      <c r="X710" t="s">
        <v>13421</v>
      </c>
      <c r="Y710" t="s">
        <v>13422</v>
      </c>
      <c r="Z710" t="s">
        <v>13423</v>
      </c>
      <c r="AA710" t="s">
        <v>13424</v>
      </c>
      <c r="AB710" t="s">
        <v>13425</v>
      </c>
      <c r="AC710" t="s">
        <v>13426</v>
      </c>
      <c r="AD710" t="s">
        <v>13427</v>
      </c>
      <c r="AE710" t="s">
        <v>13428</v>
      </c>
      <c r="AF710" t="s">
        <v>74</v>
      </c>
      <c r="AG710">
        <v>63</v>
      </c>
      <c r="AH710">
        <v>23</v>
      </c>
      <c r="AI710">
        <v>24</v>
      </c>
      <c r="AJ710">
        <v>0</v>
      </c>
      <c r="AK710">
        <v>102</v>
      </c>
      <c r="AL710" t="s">
        <v>2630</v>
      </c>
      <c r="AM710" t="s">
        <v>2631</v>
      </c>
      <c r="AN710" t="s">
        <v>2632</v>
      </c>
      <c r="AO710" t="s">
        <v>13328</v>
      </c>
      <c r="AP710" t="s">
        <v>74</v>
      </c>
      <c r="AQ710" t="s">
        <v>74</v>
      </c>
      <c r="AR710" t="s">
        <v>13329</v>
      </c>
      <c r="AS710" t="s">
        <v>13330</v>
      </c>
      <c r="AT710" t="s">
        <v>13308</v>
      </c>
      <c r="AU710">
        <v>2020</v>
      </c>
      <c r="AV710">
        <v>16</v>
      </c>
      <c r="AW710">
        <v>2</v>
      </c>
      <c r="AX710" t="s">
        <v>74</v>
      </c>
      <c r="AY710" t="s">
        <v>74</v>
      </c>
      <c r="AZ710" t="s">
        <v>74</v>
      </c>
      <c r="BA710" t="s">
        <v>74</v>
      </c>
      <c r="BB710">
        <v>335</v>
      </c>
      <c r="BC710">
        <v>347</v>
      </c>
      <c r="BD710" t="s">
        <v>74</v>
      </c>
      <c r="BE710" t="s">
        <v>13429</v>
      </c>
      <c r="BF710" t="str">
        <f>HYPERLINK("http://dx.doi.org/10.1080/17445647.2020.1748130","http://dx.doi.org/10.1080/17445647.2020.1748130")</f>
        <v>http://dx.doi.org/10.1080/17445647.2020.1748130</v>
      </c>
      <c r="BG710" t="s">
        <v>74</v>
      </c>
      <c r="BH710" t="s">
        <v>74</v>
      </c>
      <c r="BI710">
        <v>13</v>
      </c>
      <c r="BJ710" t="s">
        <v>13332</v>
      </c>
      <c r="BK710" t="s">
        <v>271</v>
      </c>
      <c r="BL710" t="s">
        <v>13333</v>
      </c>
      <c r="BM710" t="s">
        <v>13430</v>
      </c>
      <c r="BN710" t="s">
        <v>74</v>
      </c>
      <c r="BO710" t="s">
        <v>326</v>
      </c>
      <c r="BP710" t="s">
        <v>74</v>
      </c>
      <c r="BQ710" t="s">
        <v>74</v>
      </c>
      <c r="BR710" t="s">
        <v>106</v>
      </c>
      <c r="BS710" t="s">
        <v>13431</v>
      </c>
      <c r="BT710" t="str">
        <f>HYPERLINK("https%3A%2F%2Fwww.webofscience.com%2Fwos%2Fwoscc%2Ffull-record%2FWOS:000526437800001","View Full Record in Web of Science")</f>
        <v>View Full Record in Web of Science</v>
      </c>
    </row>
    <row r="711" spans="1:72" x14ac:dyDescent="0.15">
      <c r="A711" t="s">
        <v>72</v>
      </c>
      <c r="B711" t="s">
        <v>13432</v>
      </c>
      <c r="C711" t="s">
        <v>74</v>
      </c>
      <c r="D711" t="s">
        <v>74</v>
      </c>
      <c r="E711" t="s">
        <v>74</v>
      </c>
      <c r="F711" t="s">
        <v>13433</v>
      </c>
      <c r="G711" t="s">
        <v>74</v>
      </c>
      <c r="H711" t="s">
        <v>74</v>
      </c>
      <c r="I711" t="s">
        <v>13434</v>
      </c>
      <c r="J711" t="s">
        <v>13435</v>
      </c>
      <c r="K711" t="s">
        <v>74</v>
      </c>
      <c r="L711" t="s">
        <v>74</v>
      </c>
      <c r="M711" t="s">
        <v>78</v>
      </c>
      <c r="N711" t="s">
        <v>141</v>
      </c>
      <c r="O711" t="s">
        <v>74</v>
      </c>
      <c r="P711" t="s">
        <v>74</v>
      </c>
      <c r="Q711" t="s">
        <v>74</v>
      </c>
      <c r="R711" t="s">
        <v>74</v>
      </c>
      <c r="S711" t="s">
        <v>74</v>
      </c>
      <c r="T711" t="s">
        <v>13436</v>
      </c>
      <c r="U711" t="s">
        <v>13437</v>
      </c>
      <c r="V711" t="s">
        <v>13438</v>
      </c>
      <c r="W711" t="s">
        <v>13439</v>
      </c>
      <c r="X711" t="s">
        <v>6796</v>
      </c>
      <c r="Y711" t="s">
        <v>13440</v>
      </c>
      <c r="Z711" t="s">
        <v>13441</v>
      </c>
      <c r="AA711" t="s">
        <v>13442</v>
      </c>
      <c r="AB711" t="s">
        <v>13443</v>
      </c>
      <c r="AC711" t="s">
        <v>74</v>
      </c>
      <c r="AD711" t="s">
        <v>74</v>
      </c>
      <c r="AE711" t="s">
        <v>74</v>
      </c>
      <c r="AF711" t="s">
        <v>74</v>
      </c>
      <c r="AG711">
        <v>231</v>
      </c>
      <c r="AH711">
        <v>15</v>
      </c>
      <c r="AI711">
        <v>18</v>
      </c>
      <c r="AJ711">
        <v>3</v>
      </c>
      <c r="AK711">
        <v>22</v>
      </c>
      <c r="AL711" t="s">
        <v>1183</v>
      </c>
      <c r="AM711" t="s">
        <v>1184</v>
      </c>
      <c r="AN711" t="s">
        <v>1185</v>
      </c>
      <c r="AO711" t="s">
        <v>13444</v>
      </c>
      <c r="AP711" t="s">
        <v>13445</v>
      </c>
      <c r="AQ711" t="s">
        <v>74</v>
      </c>
      <c r="AR711" t="s">
        <v>13446</v>
      </c>
      <c r="AS711" t="s">
        <v>13447</v>
      </c>
      <c r="AT711" t="s">
        <v>13448</v>
      </c>
      <c r="AU711">
        <v>2021</v>
      </c>
      <c r="AV711">
        <v>63</v>
      </c>
      <c r="AW711">
        <v>5</v>
      </c>
      <c r="AX711" t="s">
        <v>74</v>
      </c>
      <c r="AY711" t="s">
        <v>74</v>
      </c>
      <c r="AZ711" t="s">
        <v>74</v>
      </c>
      <c r="BA711" t="s">
        <v>74</v>
      </c>
      <c r="BB711">
        <v>601</v>
      </c>
      <c r="BC711">
        <v>629</v>
      </c>
      <c r="BD711" t="s">
        <v>74</v>
      </c>
      <c r="BE711" t="s">
        <v>13449</v>
      </c>
      <c r="BF711" t="str">
        <f>HYPERLINK("http://dx.doi.org/10.1080/00206814.2020.1848646","http://dx.doi.org/10.1080/00206814.2020.1848646")</f>
        <v>http://dx.doi.org/10.1080/00206814.2020.1848646</v>
      </c>
      <c r="BG711" t="s">
        <v>74</v>
      </c>
      <c r="BH711" t="s">
        <v>11309</v>
      </c>
      <c r="BI711">
        <v>29</v>
      </c>
      <c r="BJ711" t="s">
        <v>402</v>
      </c>
      <c r="BK711" t="s">
        <v>103</v>
      </c>
      <c r="BL711" t="s">
        <v>402</v>
      </c>
      <c r="BM711" t="s">
        <v>13450</v>
      </c>
      <c r="BN711" t="s">
        <v>74</v>
      </c>
      <c r="BO711" t="s">
        <v>74</v>
      </c>
      <c r="BP711" t="s">
        <v>74</v>
      </c>
      <c r="BQ711" t="s">
        <v>74</v>
      </c>
      <c r="BR711" t="s">
        <v>106</v>
      </c>
      <c r="BS711" t="s">
        <v>13451</v>
      </c>
      <c r="BT711" t="str">
        <f>HYPERLINK("https%3A%2F%2Fwww.webofscience.com%2Fwos%2Fwoscc%2Ffull-record%2FWOS:000597731700001","View Full Record in Web of Science")</f>
        <v>View Full Record in Web of Science</v>
      </c>
    </row>
    <row r="712" spans="1:72" x14ac:dyDescent="0.15">
      <c r="A712" t="s">
        <v>72</v>
      </c>
      <c r="B712" t="s">
        <v>13452</v>
      </c>
      <c r="C712" t="s">
        <v>74</v>
      </c>
      <c r="D712" t="s">
        <v>74</v>
      </c>
      <c r="E712" t="s">
        <v>74</v>
      </c>
      <c r="F712" t="s">
        <v>13453</v>
      </c>
      <c r="G712" t="s">
        <v>74</v>
      </c>
      <c r="H712" t="s">
        <v>74</v>
      </c>
      <c r="I712" t="s">
        <v>13454</v>
      </c>
      <c r="J712" t="s">
        <v>111</v>
      </c>
      <c r="K712" t="s">
        <v>74</v>
      </c>
      <c r="L712" t="s">
        <v>74</v>
      </c>
      <c r="M712" t="s">
        <v>78</v>
      </c>
      <c r="N712" t="s">
        <v>79</v>
      </c>
      <c r="O712" t="s">
        <v>74</v>
      </c>
      <c r="P712" t="s">
        <v>74</v>
      </c>
      <c r="Q712" t="s">
        <v>74</v>
      </c>
      <c r="R712" t="s">
        <v>74</v>
      </c>
      <c r="S712" t="s">
        <v>74</v>
      </c>
      <c r="T712" t="s">
        <v>74</v>
      </c>
      <c r="U712" t="s">
        <v>13455</v>
      </c>
      <c r="V712" t="s">
        <v>13456</v>
      </c>
      <c r="W712" t="s">
        <v>13457</v>
      </c>
      <c r="X712" t="s">
        <v>13458</v>
      </c>
      <c r="Y712" t="s">
        <v>13459</v>
      </c>
      <c r="Z712" t="s">
        <v>13460</v>
      </c>
      <c r="AA712" t="s">
        <v>13461</v>
      </c>
      <c r="AB712" t="s">
        <v>13462</v>
      </c>
      <c r="AC712" t="s">
        <v>13463</v>
      </c>
      <c r="AD712" t="s">
        <v>13464</v>
      </c>
      <c r="AE712" t="s">
        <v>13465</v>
      </c>
      <c r="AF712" t="s">
        <v>74</v>
      </c>
      <c r="AG712">
        <v>64</v>
      </c>
      <c r="AH712">
        <v>34</v>
      </c>
      <c r="AI712">
        <v>35</v>
      </c>
      <c r="AJ712">
        <v>4</v>
      </c>
      <c r="AK712">
        <v>43</v>
      </c>
      <c r="AL712" t="s">
        <v>123</v>
      </c>
      <c r="AM712" t="s">
        <v>124</v>
      </c>
      <c r="AN712" t="s">
        <v>125</v>
      </c>
      <c r="AO712" t="s">
        <v>126</v>
      </c>
      <c r="AP712" t="s">
        <v>127</v>
      </c>
      <c r="AQ712" t="s">
        <v>74</v>
      </c>
      <c r="AR712" t="s">
        <v>128</v>
      </c>
      <c r="AS712" t="s">
        <v>129</v>
      </c>
      <c r="AT712" t="s">
        <v>13466</v>
      </c>
      <c r="AU712">
        <v>2020</v>
      </c>
      <c r="AV712">
        <v>20</v>
      </c>
      <c r="AW712">
        <v>23</v>
      </c>
      <c r="AX712" t="s">
        <v>74</v>
      </c>
      <c r="AY712" t="s">
        <v>74</v>
      </c>
      <c r="AZ712" t="s">
        <v>74</v>
      </c>
      <c r="BA712" t="s">
        <v>74</v>
      </c>
      <c r="BB712">
        <v>15191</v>
      </c>
      <c r="BC712">
        <v>15206</v>
      </c>
      <c r="BD712" t="s">
        <v>74</v>
      </c>
      <c r="BE712" t="s">
        <v>13467</v>
      </c>
      <c r="BF712" t="str">
        <f>HYPERLINK("http://dx.doi.org/10.5194/acp-20-15191-2020","http://dx.doi.org/10.5194/acp-20-15191-2020")</f>
        <v>http://dx.doi.org/10.5194/acp-20-15191-2020</v>
      </c>
      <c r="BG712" t="s">
        <v>74</v>
      </c>
      <c r="BH712" t="s">
        <v>74</v>
      </c>
      <c r="BI712">
        <v>16</v>
      </c>
      <c r="BJ712" t="s">
        <v>132</v>
      </c>
      <c r="BK712" t="s">
        <v>103</v>
      </c>
      <c r="BL712" t="s">
        <v>133</v>
      </c>
      <c r="BM712" t="s">
        <v>13468</v>
      </c>
      <c r="BN712" t="s">
        <v>74</v>
      </c>
      <c r="BO712" t="s">
        <v>13469</v>
      </c>
      <c r="BP712" t="s">
        <v>74</v>
      </c>
      <c r="BQ712" t="s">
        <v>74</v>
      </c>
      <c r="BR712" t="s">
        <v>106</v>
      </c>
      <c r="BS712" t="s">
        <v>13470</v>
      </c>
      <c r="BT712" t="str">
        <f>HYPERLINK("https%3A%2F%2Fwww.webofscience.com%2Fwos%2Fwoscc%2Ffull-record%2FWOS:000599174200002","View Full Record in Web of Science")</f>
        <v>View Full Record in Web of Science</v>
      </c>
    </row>
    <row r="713" spans="1:72" x14ac:dyDescent="0.15">
      <c r="A713" t="s">
        <v>72</v>
      </c>
      <c r="B713" t="s">
        <v>13471</v>
      </c>
      <c r="C713" t="s">
        <v>74</v>
      </c>
      <c r="D713" t="s">
        <v>74</v>
      </c>
      <c r="E713" t="s">
        <v>74</v>
      </c>
      <c r="F713" t="s">
        <v>13472</v>
      </c>
      <c r="G713" t="s">
        <v>74</v>
      </c>
      <c r="H713" t="s">
        <v>74</v>
      </c>
      <c r="I713" t="s">
        <v>13473</v>
      </c>
      <c r="J713" t="s">
        <v>963</v>
      </c>
      <c r="K713" t="s">
        <v>74</v>
      </c>
      <c r="L713" t="s">
        <v>74</v>
      </c>
      <c r="M713" t="s">
        <v>78</v>
      </c>
      <c r="N713" t="s">
        <v>79</v>
      </c>
      <c r="O713" t="s">
        <v>74</v>
      </c>
      <c r="P713" t="s">
        <v>74</v>
      </c>
      <c r="Q713" t="s">
        <v>74</v>
      </c>
      <c r="R713" t="s">
        <v>74</v>
      </c>
      <c r="S713" t="s">
        <v>74</v>
      </c>
      <c r="T713" t="s">
        <v>13474</v>
      </c>
      <c r="U713" t="s">
        <v>13475</v>
      </c>
      <c r="V713" t="s">
        <v>13476</v>
      </c>
      <c r="W713" t="s">
        <v>13477</v>
      </c>
      <c r="X713" t="s">
        <v>13478</v>
      </c>
      <c r="Y713" t="s">
        <v>13479</v>
      </c>
      <c r="Z713" t="s">
        <v>13480</v>
      </c>
      <c r="AA713" t="s">
        <v>74</v>
      </c>
      <c r="AB713" t="s">
        <v>13481</v>
      </c>
      <c r="AC713" t="s">
        <v>13482</v>
      </c>
      <c r="AD713" t="s">
        <v>13483</v>
      </c>
      <c r="AE713" t="s">
        <v>13484</v>
      </c>
      <c r="AF713" t="s">
        <v>74</v>
      </c>
      <c r="AG713">
        <v>71</v>
      </c>
      <c r="AH713">
        <v>11</v>
      </c>
      <c r="AI713">
        <v>11</v>
      </c>
      <c r="AJ713">
        <v>1</v>
      </c>
      <c r="AK713">
        <v>30</v>
      </c>
      <c r="AL713" t="s">
        <v>976</v>
      </c>
      <c r="AM713" t="s">
        <v>629</v>
      </c>
      <c r="AN713" t="s">
        <v>977</v>
      </c>
      <c r="AO713" t="s">
        <v>978</v>
      </c>
      <c r="AP713" t="s">
        <v>74</v>
      </c>
      <c r="AQ713" t="s">
        <v>74</v>
      </c>
      <c r="AR713" t="s">
        <v>980</v>
      </c>
      <c r="AS713" t="s">
        <v>981</v>
      </c>
      <c r="AT713" t="s">
        <v>13466</v>
      </c>
      <c r="AU713">
        <v>2020</v>
      </c>
      <c r="AV713">
        <v>117</v>
      </c>
      <c r="AW713">
        <v>49</v>
      </c>
      <c r="AX713" t="s">
        <v>74</v>
      </c>
      <c r="AY713" t="s">
        <v>74</v>
      </c>
      <c r="AZ713" t="s">
        <v>74</v>
      </c>
      <c r="BA713" t="s">
        <v>74</v>
      </c>
      <c r="BB713">
        <v>30980</v>
      </c>
      <c r="BC713">
        <v>30987</v>
      </c>
      <c r="BD713" t="s">
        <v>74</v>
      </c>
      <c r="BE713" t="s">
        <v>13485</v>
      </c>
      <c r="BF713" t="str">
        <f>HYPERLINK("http://dx.doi.org/10.1073/pnas.2004209117","http://dx.doi.org/10.1073/pnas.2004209117")</f>
        <v>http://dx.doi.org/10.1073/pnas.2004209117</v>
      </c>
      <c r="BG713" t="s">
        <v>74</v>
      </c>
      <c r="BH713" t="s">
        <v>74</v>
      </c>
      <c r="BI713">
        <v>8</v>
      </c>
      <c r="BJ713" t="s">
        <v>534</v>
      </c>
      <c r="BK713" t="s">
        <v>103</v>
      </c>
      <c r="BL713" t="s">
        <v>535</v>
      </c>
      <c r="BM713" t="s">
        <v>13486</v>
      </c>
      <c r="BN713">
        <v>33229561</v>
      </c>
      <c r="BO713" t="s">
        <v>13487</v>
      </c>
      <c r="BP713" t="s">
        <v>74</v>
      </c>
      <c r="BQ713" t="s">
        <v>74</v>
      </c>
      <c r="BR713" t="s">
        <v>106</v>
      </c>
      <c r="BS713" t="s">
        <v>13488</v>
      </c>
      <c r="BT713" t="str">
        <f>HYPERLINK("https%3A%2F%2Fwww.webofscience.com%2Fwos%2Fwoscc%2Ffull-record%2FWOS:000598977500022","View Full Record in Web of Science")</f>
        <v>View Full Record in Web of Science</v>
      </c>
    </row>
    <row r="714" spans="1:72" x14ac:dyDescent="0.15">
      <c r="A714" t="s">
        <v>72</v>
      </c>
      <c r="B714" t="s">
        <v>13489</v>
      </c>
      <c r="C714" t="s">
        <v>74</v>
      </c>
      <c r="D714" t="s">
        <v>74</v>
      </c>
      <c r="E714" t="s">
        <v>74</v>
      </c>
      <c r="F714" t="s">
        <v>13490</v>
      </c>
      <c r="G714" t="s">
        <v>74</v>
      </c>
      <c r="H714" t="s">
        <v>74</v>
      </c>
      <c r="I714" t="s">
        <v>13491</v>
      </c>
      <c r="J714" t="s">
        <v>963</v>
      </c>
      <c r="K714" t="s">
        <v>74</v>
      </c>
      <c r="L714" t="s">
        <v>74</v>
      </c>
      <c r="M714" t="s">
        <v>78</v>
      </c>
      <c r="N714" t="s">
        <v>79</v>
      </c>
      <c r="O714" t="s">
        <v>74</v>
      </c>
      <c r="P714" t="s">
        <v>74</v>
      </c>
      <c r="Q714" t="s">
        <v>74</v>
      </c>
      <c r="R714" t="s">
        <v>74</v>
      </c>
      <c r="S714" t="s">
        <v>74</v>
      </c>
      <c r="T714" t="s">
        <v>13492</v>
      </c>
      <c r="U714" t="s">
        <v>13493</v>
      </c>
      <c r="V714" t="s">
        <v>13494</v>
      </c>
      <c r="W714" t="s">
        <v>13495</v>
      </c>
      <c r="X714" t="s">
        <v>13496</v>
      </c>
      <c r="Y714" t="s">
        <v>13497</v>
      </c>
      <c r="Z714" t="s">
        <v>13498</v>
      </c>
      <c r="AA714" t="s">
        <v>13499</v>
      </c>
      <c r="AB714" t="s">
        <v>13500</v>
      </c>
      <c r="AC714" t="s">
        <v>13501</v>
      </c>
      <c r="AD714" t="s">
        <v>13502</v>
      </c>
      <c r="AE714" t="s">
        <v>13503</v>
      </c>
      <c r="AF714" t="s">
        <v>74</v>
      </c>
      <c r="AG714">
        <v>46</v>
      </c>
      <c r="AH714">
        <v>19</v>
      </c>
      <c r="AI714">
        <v>20</v>
      </c>
      <c r="AJ714">
        <v>5</v>
      </c>
      <c r="AK714">
        <v>31</v>
      </c>
      <c r="AL714" t="s">
        <v>976</v>
      </c>
      <c r="AM714" t="s">
        <v>629</v>
      </c>
      <c r="AN714" t="s">
        <v>977</v>
      </c>
      <c r="AO714" t="s">
        <v>978</v>
      </c>
      <c r="AP714" t="s">
        <v>979</v>
      </c>
      <c r="AQ714" t="s">
        <v>74</v>
      </c>
      <c r="AR714" t="s">
        <v>980</v>
      </c>
      <c r="AS714" t="s">
        <v>981</v>
      </c>
      <c r="AT714" t="s">
        <v>13466</v>
      </c>
      <c r="AU714">
        <v>2020</v>
      </c>
      <c r="AV714">
        <v>117</v>
      </c>
      <c r="AW714">
        <v>49</v>
      </c>
      <c r="AX714" t="s">
        <v>74</v>
      </c>
      <c r="AY714" t="s">
        <v>74</v>
      </c>
      <c r="AZ714" t="s">
        <v>74</v>
      </c>
      <c r="BA714" t="s">
        <v>74</v>
      </c>
      <c r="BB714">
        <v>31249</v>
      </c>
      <c r="BC714">
        <v>31258</v>
      </c>
      <c r="BD714" t="s">
        <v>74</v>
      </c>
      <c r="BE714" t="s">
        <v>13504</v>
      </c>
      <c r="BF714" t="str">
        <f>HYPERLINK("http://dx.doi.org/10.1073/pnas.2002713117","http://dx.doi.org/10.1073/pnas.2002713117")</f>
        <v>http://dx.doi.org/10.1073/pnas.2002713117</v>
      </c>
      <c r="BG714" t="s">
        <v>74</v>
      </c>
      <c r="BH714" t="s">
        <v>74</v>
      </c>
      <c r="BI714">
        <v>10</v>
      </c>
      <c r="BJ714" t="s">
        <v>534</v>
      </c>
      <c r="BK714" t="s">
        <v>103</v>
      </c>
      <c r="BL714" t="s">
        <v>535</v>
      </c>
      <c r="BM714" t="s">
        <v>13505</v>
      </c>
      <c r="BN714">
        <v>33229550</v>
      </c>
      <c r="BO714" t="s">
        <v>759</v>
      </c>
      <c r="BP714" t="s">
        <v>74</v>
      </c>
      <c r="BQ714" t="s">
        <v>74</v>
      </c>
      <c r="BR714" t="s">
        <v>106</v>
      </c>
      <c r="BS714" t="s">
        <v>13506</v>
      </c>
      <c r="BT714" t="str">
        <f>HYPERLINK("https%3A%2F%2Fwww.webofscience.com%2Fwos%2Fwoscc%2Ffull-record%2FWOS:000598990900008","View Full Record in Web of Science")</f>
        <v>View Full Record in Web of Science</v>
      </c>
    </row>
    <row r="715" spans="1:72" x14ac:dyDescent="0.15">
      <c r="A715" t="s">
        <v>72</v>
      </c>
      <c r="B715" t="s">
        <v>13507</v>
      </c>
      <c r="C715" t="s">
        <v>74</v>
      </c>
      <c r="D715" t="s">
        <v>74</v>
      </c>
      <c r="E715" t="s">
        <v>74</v>
      </c>
      <c r="F715" t="s">
        <v>13508</v>
      </c>
      <c r="G715" t="s">
        <v>74</v>
      </c>
      <c r="H715" t="s">
        <v>74</v>
      </c>
      <c r="I715" t="s">
        <v>13509</v>
      </c>
      <c r="J715" t="s">
        <v>140</v>
      </c>
      <c r="K715" t="s">
        <v>74</v>
      </c>
      <c r="L715" t="s">
        <v>74</v>
      </c>
      <c r="M715" t="s">
        <v>78</v>
      </c>
      <c r="N715" t="s">
        <v>79</v>
      </c>
      <c r="O715" t="s">
        <v>74</v>
      </c>
      <c r="P715" t="s">
        <v>74</v>
      </c>
      <c r="Q715" t="s">
        <v>74</v>
      </c>
      <c r="R715" t="s">
        <v>74</v>
      </c>
      <c r="S715" t="s">
        <v>74</v>
      </c>
      <c r="T715" t="s">
        <v>74</v>
      </c>
      <c r="U715" t="s">
        <v>13510</v>
      </c>
      <c r="V715" t="s">
        <v>13511</v>
      </c>
      <c r="W715" t="s">
        <v>13512</v>
      </c>
      <c r="X715" t="s">
        <v>13513</v>
      </c>
      <c r="Y715" t="s">
        <v>13514</v>
      </c>
      <c r="Z715" t="s">
        <v>13515</v>
      </c>
      <c r="AA715" t="s">
        <v>13516</v>
      </c>
      <c r="AB715" t="s">
        <v>13517</v>
      </c>
      <c r="AC715" t="s">
        <v>13518</v>
      </c>
      <c r="AD715" t="s">
        <v>13519</v>
      </c>
      <c r="AE715" t="s">
        <v>13520</v>
      </c>
      <c r="AF715" t="s">
        <v>74</v>
      </c>
      <c r="AG715">
        <v>60</v>
      </c>
      <c r="AH715">
        <v>20</v>
      </c>
      <c r="AI715">
        <v>21</v>
      </c>
      <c r="AJ715">
        <v>2</v>
      </c>
      <c r="AK715">
        <v>7</v>
      </c>
      <c r="AL715" t="s">
        <v>123</v>
      </c>
      <c r="AM715" t="s">
        <v>124</v>
      </c>
      <c r="AN715" t="s">
        <v>125</v>
      </c>
      <c r="AO715" t="s">
        <v>152</v>
      </c>
      <c r="AP715" t="s">
        <v>153</v>
      </c>
      <c r="AQ715" t="s">
        <v>74</v>
      </c>
      <c r="AR715" t="s">
        <v>140</v>
      </c>
      <c r="AS715" t="s">
        <v>154</v>
      </c>
      <c r="AT715" t="s">
        <v>13466</v>
      </c>
      <c r="AU715">
        <v>2020</v>
      </c>
      <c r="AV715">
        <v>14</v>
      </c>
      <c r="AW715">
        <v>12</v>
      </c>
      <c r="AX715" t="s">
        <v>74</v>
      </c>
      <c r="AY715" t="s">
        <v>74</v>
      </c>
      <c r="AZ715" t="s">
        <v>74</v>
      </c>
      <c r="BA715" t="s">
        <v>74</v>
      </c>
      <c r="BB715">
        <v>4495</v>
      </c>
      <c r="BC715">
        <v>4506</v>
      </c>
      <c r="BD715" t="s">
        <v>74</v>
      </c>
      <c r="BE715" t="s">
        <v>13521</v>
      </c>
      <c r="BF715" t="str">
        <f>HYPERLINK("http://dx.doi.org/10.5194/tc-14-4495-2020","http://dx.doi.org/10.5194/tc-14-4495-2020")</f>
        <v>http://dx.doi.org/10.5194/tc-14-4495-2020</v>
      </c>
      <c r="BG715" t="s">
        <v>74</v>
      </c>
      <c r="BH715" t="s">
        <v>74</v>
      </c>
      <c r="BI715">
        <v>12</v>
      </c>
      <c r="BJ715" t="s">
        <v>156</v>
      </c>
      <c r="BK715" t="s">
        <v>103</v>
      </c>
      <c r="BL715" t="s">
        <v>157</v>
      </c>
      <c r="BM715" t="s">
        <v>13522</v>
      </c>
      <c r="BN715" t="s">
        <v>74</v>
      </c>
      <c r="BO715" t="s">
        <v>917</v>
      </c>
      <c r="BP715" t="s">
        <v>74</v>
      </c>
      <c r="BQ715" t="s">
        <v>74</v>
      </c>
      <c r="BR715" t="s">
        <v>106</v>
      </c>
      <c r="BS715" t="s">
        <v>13523</v>
      </c>
      <c r="BT715" t="str">
        <f>HYPERLINK("https%3A%2F%2Fwww.webofscience.com%2Fwos%2Fwoscc%2Ffull-record%2FWOS:000599177500001","View Full Record in Web of Science")</f>
        <v>View Full Record in Web of Science</v>
      </c>
    </row>
    <row r="716" spans="1:72" x14ac:dyDescent="0.15">
      <c r="A716" t="s">
        <v>72</v>
      </c>
      <c r="B716" t="s">
        <v>13524</v>
      </c>
      <c r="C716" t="s">
        <v>74</v>
      </c>
      <c r="D716" t="s">
        <v>74</v>
      </c>
      <c r="E716" t="s">
        <v>74</v>
      </c>
      <c r="F716" t="s">
        <v>13525</v>
      </c>
      <c r="G716" t="s">
        <v>74</v>
      </c>
      <c r="H716" t="s">
        <v>74</v>
      </c>
      <c r="I716" t="s">
        <v>13526</v>
      </c>
      <c r="J716" t="s">
        <v>3602</v>
      </c>
      <c r="K716" t="s">
        <v>74</v>
      </c>
      <c r="L716" t="s">
        <v>74</v>
      </c>
      <c r="M716" t="s">
        <v>78</v>
      </c>
      <c r="N716" t="s">
        <v>79</v>
      </c>
      <c r="O716" t="s">
        <v>74</v>
      </c>
      <c r="P716" t="s">
        <v>74</v>
      </c>
      <c r="Q716" t="s">
        <v>74</v>
      </c>
      <c r="R716" t="s">
        <v>74</v>
      </c>
      <c r="S716" t="s">
        <v>74</v>
      </c>
      <c r="T716" t="s">
        <v>74</v>
      </c>
      <c r="U716" t="s">
        <v>13527</v>
      </c>
      <c r="V716" t="s">
        <v>13528</v>
      </c>
      <c r="W716" t="s">
        <v>13529</v>
      </c>
      <c r="X716" t="s">
        <v>13530</v>
      </c>
      <c r="Y716" t="s">
        <v>13531</v>
      </c>
      <c r="Z716" t="s">
        <v>13532</v>
      </c>
      <c r="AA716" t="s">
        <v>13533</v>
      </c>
      <c r="AB716" t="s">
        <v>13534</v>
      </c>
      <c r="AC716" t="s">
        <v>13535</v>
      </c>
      <c r="AD716" t="s">
        <v>13536</v>
      </c>
      <c r="AE716" t="s">
        <v>13537</v>
      </c>
      <c r="AF716" t="s">
        <v>74</v>
      </c>
      <c r="AG716">
        <v>52</v>
      </c>
      <c r="AH716">
        <v>12</v>
      </c>
      <c r="AI716">
        <v>13</v>
      </c>
      <c r="AJ716">
        <v>1</v>
      </c>
      <c r="AK716">
        <v>15</v>
      </c>
      <c r="AL716" t="s">
        <v>123</v>
      </c>
      <c r="AM716" t="s">
        <v>124</v>
      </c>
      <c r="AN716" t="s">
        <v>125</v>
      </c>
      <c r="AO716" t="s">
        <v>3614</v>
      </c>
      <c r="AP716" t="s">
        <v>3615</v>
      </c>
      <c r="AQ716" t="s">
        <v>74</v>
      </c>
      <c r="AR716" t="s">
        <v>3616</v>
      </c>
      <c r="AS716" t="s">
        <v>3617</v>
      </c>
      <c r="AT716" t="s">
        <v>13538</v>
      </c>
      <c r="AU716">
        <v>2020</v>
      </c>
      <c r="AV716">
        <v>13</v>
      </c>
      <c r="AW716">
        <v>12</v>
      </c>
      <c r="AX716" t="s">
        <v>74</v>
      </c>
      <c r="AY716" t="s">
        <v>74</v>
      </c>
      <c r="AZ716" t="s">
        <v>74</v>
      </c>
      <c r="BA716" t="s">
        <v>74</v>
      </c>
      <c r="BB716">
        <v>6613</v>
      </c>
      <c r="BC716">
        <v>6630</v>
      </c>
      <c r="BD716" t="s">
        <v>74</v>
      </c>
      <c r="BE716" t="s">
        <v>13539</v>
      </c>
      <c r="BF716" t="str">
        <f>HYPERLINK("http://dx.doi.org/10.5194/amt-13-6613-2020","http://dx.doi.org/10.5194/amt-13-6613-2020")</f>
        <v>http://dx.doi.org/10.5194/amt-13-6613-2020</v>
      </c>
      <c r="BG716" t="s">
        <v>74</v>
      </c>
      <c r="BH716" t="s">
        <v>74</v>
      </c>
      <c r="BI716">
        <v>18</v>
      </c>
      <c r="BJ716" t="s">
        <v>687</v>
      </c>
      <c r="BK716" t="s">
        <v>103</v>
      </c>
      <c r="BL716" t="s">
        <v>687</v>
      </c>
      <c r="BM716" t="s">
        <v>13540</v>
      </c>
      <c r="BN716" t="s">
        <v>74</v>
      </c>
      <c r="BO716" t="s">
        <v>2597</v>
      </c>
      <c r="BP716" t="s">
        <v>74</v>
      </c>
      <c r="BQ716" t="s">
        <v>74</v>
      </c>
      <c r="BR716" t="s">
        <v>106</v>
      </c>
      <c r="BS716" t="s">
        <v>13541</v>
      </c>
      <c r="BT716" t="str">
        <f>HYPERLINK("https%3A%2F%2Fwww.webofscience.com%2Fwos%2Fwoscc%2Ffull-record%2FWOS:000599161700002","View Full Record in Web of Science")</f>
        <v>View Full Record in Web of Science</v>
      </c>
    </row>
    <row r="717" spans="1:72" x14ac:dyDescent="0.15">
      <c r="A717" t="s">
        <v>72</v>
      </c>
      <c r="B717" t="s">
        <v>13542</v>
      </c>
      <c r="C717" t="s">
        <v>74</v>
      </c>
      <c r="D717" t="s">
        <v>74</v>
      </c>
      <c r="E717" t="s">
        <v>74</v>
      </c>
      <c r="F717" t="s">
        <v>13543</v>
      </c>
      <c r="G717" t="s">
        <v>74</v>
      </c>
      <c r="H717" t="s">
        <v>74</v>
      </c>
      <c r="I717" t="s">
        <v>13544</v>
      </c>
      <c r="J717" t="s">
        <v>11292</v>
      </c>
      <c r="K717" t="s">
        <v>74</v>
      </c>
      <c r="L717" t="s">
        <v>74</v>
      </c>
      <c r="M717" t="s">
        <v>78</v>
      </c>
      <c r="N717" t="s">
        <v>79</v>
      </c>
      <c r="O717" t="s">
        <v>74</v>
      </c>
      <c r="P717" t="s">
        <v>74</v>
      </c>
      <c r="Q717" t="s">
        <v>74</v>
      </c>
      <c r="R717" t="s">
        <v>74</v>
      </c>
      <c r="S717" t="s">
        <v>74</v>
      </c>
      <c r="T717" t="s">
        <v>13545</v>
      </c>
      <c r="U717" t="s">
        <v>13546</v>
      </c>
      <c r="V717" t="s">
        <v>13547</v>
      </c>
      <c r="W717" t="s">
        <v>13548</v>
      </c>
      <c r="X717" t="s">
        <v>12280</v>
      </c>
      <c r="Y717" t="s">
        <v>13549</v>
      </c>
      <c r="Z717" t="s">
        <v>13550</v>
      </c>
      <c r="AA717" t="s">
        <v>13551</v>
      </c>
      <c r="AB717" t="s">
        <v>13552</v>
      </c>
      <c r="AC717" t="s">
        <v>13553</v>
      </c>
      <c r="AD717" t="s">
        <v>10880</v>
      </c>
      <c r="AE717" t="s">
        <v>13554</v>
      </c>
      <c r="AF717" t="s">
        <v>74</v>
      </c>
      <c r="AG717">
        <v>69</v>
      </c>
      <c r="AH717">
        <v>6</v>
      </c>
      <c r="AI717">
        <v>6</v>
      </c>
      <c r="AJ717">
        <v>0</v>
      </c>
      <c r="AK717">
        <v>9</v>
      </c>
      <c r="AL717" t="s">
        <v>552</v>
      </c>
      <c r="AM717" t="s">
        <v>553</v>
      </c>
      <c r="AN717" t="s">
        <v>554</v>
      </c>
      <c r="AO717" t="s">
        <v>11305</v>
      </c>
      <c r="AP717" t="s">
        <v>74</v>
      </c>
      <c r="AQ717" t="s">
        <v>74</v>
      </c>
      <c r="AR717" t="s">
        <v>11306</v>
      </c>
      <c r="AS717" t="s">
        <v>11307</v>
      </c>
      <c r="AT717" t="s">
        <v>12678</v>
      </c>
      <c r="AU717">
        <v>2020</v>
      </c>
      <c r="AV717">
        <v>10</v>
      </c>
      <c r="AW717">
        <v>24</v>
      </c>
      <c r="AX717" t="s">
        <v>74</v>
      </c>
      <c r="AY717" t="s">
        <v>74</v>
      </c>
      <c r="AZ717" t="s">
        <v>74</v>
      </c>
      <c r="BA717" t="s">
        <v>74</v>
      </c>
      <c r="BB717">
        <v>14033</v>
      </c>
      <c r="BC717">
        <v>14051</v>
      </c>
      <c r="BD717" t="s">
        <v>74</v>
      </c>
      <c r="BE717" t="s">
        <v>13555</v>
      </c>
      <c r="BF717" t="str">
        <f>HYPERLINK("http://dx.doi.org/10.1002/ece3.6995","http://dx.doi.org/10.1002/ece3.6995")</f>
        <v>http://dx.doi.org/10.1002/ece3.6995</v>
      </c>
      <c r="BG717" t="s">
        <v>74</v>
      </c>
      <c r="BH717" t="s">
        <v>11309</v>
      </c>
      <c r="BI717">
        <v>19</v>
      </c>
      <c r="BJ717" t="s">
        <v>11310</v>
      </c>
      <c r="BK717" t="s">
        <v>103</v>
      </c>
      <c r="BL717" t="s">
        <v>5971</v>
      </c>
      <c r="BM717" t="s">
        <v>13556</v>
      </c>
      <c r="BN717">
        <v>33391700</v>
      </c>
      <c r="BO717" t="s">
        <v>2107</v>
      </c>
      <c r="BP717" t="s">
        <v>74</v>
      </c>
      <c r="BQ717" t="s">
        <v>74</v>
      </c>
      <c r="BR717" t="s">
        <v>106</v>
      </c>
      <c r="BS717" t="s">
        <v>13557</v>
      </c>
      <c r="BT717" t="str">
        <f>HYPERLINK("https%3A%2F%2Fwww.webofscience.com%2Fwos%2Fwoscc%2Ffull-record%2FWOS:000595619300001","View Full Record in Web of Science")</f>
        <v>View Full Record in Web of Science</v>
      </c>
    </row>
    <row r="718" spans="1:72" x14ac:dyDescent="0.15">
      <c r="A718" t="s">
        <v>72</v>
      </c>
      <c r="B718" t="s">
        <v>13558</v>
      </c>
      <c r="C718" t="s">
        <v>74</v>
      </c>
      <c r="D718" t="s">
        <v>74</v>
      </c>
      <c r="E718" t="s">
        <v>74</v>
      </c>
      <c r="F718" t="s">
        <v>13559</v>
      </c>
      <c r="G718" t="s">
        <v>74</v>
      </c>
      <c r="H718" t="s">
        <v>74</v>
      </c>
      <c r="I718" t="s">
        <v>13560</v>
      </c>
      <c r="J718" t="s">
        <v>2075</v>
      </c>
      <c r="K718" t="s">
        <v>74</v>
      </c>
      <c r="L718" t="s">
        <v>74</v>
      </c>
      <c r="M718" t="s">
        <v>78</v>
      </c>
      <c r="N718" t="s">
        <v>79</v>
      </c>
      <c r="O718" t="s">
        <v>74</v>
      </c>
      <c r="P718" t="s">
        <v>74</v>
      </c>
      <c r="Q718" t="s">
        <v>74</v>
      </c>
      <c r="R718" t="s">
        <v>74</v>
      </c>
      <c r="S718" t="s">
        <v>74</v>
      </c>
      <c r="T718" t="s">
        <v>74</v>
      </c>
      <c r="U718" t="s">
        <v>13561</v>
      </c>
      <c r="V718" t="s">
        <v>13562</v>
      </c>
      <c r="W718" t="s">
        <v>13563</v>
      </c>
      <c r="X718" t="s">
        <v>13564</v>
      </c>
      <c r="Y718" t="s">
        <v>13565</v>
      </c>
      <c r="Z718" t="s">
        <v>13566</v>
      </c>
      <c r="AA718" t="s">
        <v>13567</v>
      </c>
      <c r="AB718" t="s">
        <v>13568</v>
      </c>
      <c r="AC718" t="s">
        <v>13569</v>
      </c>
      <c r="AD718" t="s">
        <v>13570</v>
      </c>
      <c r="AE718" t="s">
        <v>13571</v>
      </c>
      <c r="AF718" t="s">
        <v>74</v>
      </c>
      <c r="AG718">
        <v>79</v>
      </c>
      <c r="AH718">
        <v>7</v>
      </c>
      <c r="AI718">
        <v>8</v>
      </c>
      <c r="AJ718">
        <v>0</v>
      </c>
      <c r="AK718">
        <v>9</v>
      </c>
      <c r="AL718" t="s">
        <v>527</v>
      </c>
      <c r="AM718" t="s">
        <v>528</v>
      </c>
      <c r="AN718" t="s">
        <v>529</v>
      </c>
      <c r="AO718" t="s">
        <v>2085</v>
      </c>
      <c r="AP718" t="s">
        <v>74</v>
      </c>
      <c r="AQ718" t="s">
        <v>74</v>
      </c>
      <c r="AR718" t="s">
        <v>2086</v>
      </c>
      <c r="AS718" t="s">
        <v>2087</v>
      </c>
      <c r="AT718" t="s">
        <v>13572</v>
      </c>
      <c r="AU718">
        <v>2020</v>
      </c>
      <c r="AV718">
        <v>10</v>
      </c>
      <c r="AW718">
        <v>1</v>
      </c>
      <c r="AX718" t="s">
        <v>74</v>
      </c>
      <c r="AY718" t="s">
        <v>74</v>
      </c>
      <c r="AZ718" t="s">
        <v>74</v>
      </c>
      <c r="BA718" t="s">
        <v>74</v>
      </c>
      <c r="BB718" t="s">
        <v>74</v>
      </c>
      <c r="BC718" t="s">
        <v>74</v>
      </c>
      <c r="BD718">
        <v>21235</v>
      </c>
      <c r="BE718" t="s">
        <v>13573</v>
      </c>
      <c r="BF718" t="str">
        <f>HYPERLINK("http://dx.doi.org/10.1038/s41598-020-78052-4","http://dx.doi.org/10.1038/s41598-020-78052-4")</f>
        <v>http://dx.doi.org/10.1038/s41598-020-78052-4</v>
      </c>
      <c r="BG718" t="s">
        <v>74</v>
      </c>
      <c r="BH718" t="s">
        <v>74</v>
      </c>
      <c r="BI718">
        <v>15</v>
      </c>
      <c r="BJ718" t="s">
        <v>534</v>
      </c>
      <c r="BK718" t="s">
        <v>103</v>
      </c>
      <c r="BL718" t="s">
        <v>535</v>
      </c>
      <c r="BM718" t="s">
        <v>13574</v>
      </c>
      <c r="BN718">
        <v>33277537</v>
      </c>
      <c r="BO718" t="s">
        <v>246</v>
      </c>
      <c r="BP718" t="s">
        <v>74</v>
      </c>
      <c r="BQ718" t="s">
        <v>74</v>
      </c>
      <c r="BR718" t="s">
        <v>106</v>
      </c>
      <c r="BS718" t="s">
        <v>13575</v>
      </c>
      <c r="BT718" t="str">
        <f>HYPERLINK("https%3A%2F%2Fwww.webofscience.com%2Fwos%2Fwoscc%2Ffull-record%2FWOS:000608855400003","View Full Record in Web of Science")</f>
        <v>View Full Record in Web of Science</v>
      </c>
    </row>
    <row r="719" spans="1:72" x14ac:dyDescent="0.15">
      <c r="A719" t="s">
        <v>72</v>
      </c>
      <c r="B719" t="s">
        <v>13576</v>
      </c>
      <c r="C719" t="s">
        <v>74</v>
      </c>
      <c r="D719" t="s">
        <v>74</v>
      </c>
      <c r="E719" t="s">
        <v>74</v>
      </c>
      <c r="F719" t="s">
        <v>13577</v>
      </c>
      <c r="G719" t="s">
        <v>74</v>
      </c>
      <c r="H719" t="s">
        <v>74</v>
      </c>
      <c r="I719" t="s">
        <v>13578</v>
      </c>
      <c r="J719" t="s">
        <v>140</v>
      </c>
      <c r="K719" t="s">
        <v>74</v>
      </c>
      <c r="L719" t="s">
        <v>74</v>
      </c>
      <c r="M719" t="s">
        <v>78</v>
      </c>
      <c r="N719" t="s">
        <v>79</v>
      </c>
      <c r="O719" t="s">
        <v>74</v>
      </c>
      <c r="P719" t="s">
        <v>74</v>
      </c>
      <c r="Q719" t="s">
        <v>74</v>
      </c>
      <c r="R719" t="s">
        <v>74</v>
      </c>
      <c r="S719" t="s">
        <v>74</v>
      </c>
      <c r="T719" t="s">
        <v>74</v>
      </c>
      <c r="U719" t="s">
        <v>13579</v>
      </c>
      <c r="V719" t="s">
        <v>13580</v>
      </c>
      <c r="W719" t="s">
        <v>13581</v>
      </c>
      <c r="X719" t="s">
        <v>13582</v>
      </c>
      <c r="Y719" t="s">
        <v>13583</v>
      </c>
      <c r="Z719" t="s">
        <v>13584</v>
      </c>
      <c r="AA719" t="s">
        <v>13585</v>
      </c>
      <c r="AB719" t="s">
        <v>13586</v>
      </c>
      <c r="AC719" t="s">
        <v>13587</v>
      </c>
      <c r="AD719" t="s">
        <v>13588</v>
      </c>
      <c r="AE719" t="s">
        <v>13589</v>
      </c>
      <c r="AF719" t="s">
        <v>74</v>
      </c>
      <c r="AG719">
        <v>70</v>
      </c>
      <c r="AH719">
        <v>18</v>
      </c>
      <c r="AI719">
        <v>21</v>
      </c>
      <c r="AJ719">
        <v>0</v>
      </c>
      <c r="AK719">
        <v>7</v>
      </c>
      <c r="AL719" t="s">
        <v>123</v>
      </c>
      <c r="AM719" t="s">
        <v>124</v>
      </c>
      <c r="AN719" t="s">
        <v>125</v>
      </c>
      <c r="AO719" t="s">
        <v>152</v>
      </c>
      <c r="AP719" t="s">
        <v>153</v>
      </c>
      <c r="AQ719" t="s">
        <v>74</v>
      </c>
      <c r="AR719" t="s">
        <v>140</v>
      </c>
      <c r="AS719" t="s">
        <v>154</v>
      </c>
      <c r="AT719" t="s">
        <v>13572</v>
      </c>
      <c r="AU719">
        <v>2020</v>
      </c>
      <c r="AV719">
        <v>14</v>
      </c>
      <c r="AW719">
        <v>12</v>
      </c>
      <c r="AX719" t="s">
        <v>74</v>
      </c>
      <c r="AY719" t="s">
        <v>74</v>
      </c>
      <c r="AZ719" t="s">
        <v>74</v>
      </c>
      <c r="BA719" t="s">
        <v>74</v>
      </c>
      <c r="BB719">
        <v>4405</v>
      </c>
      <c r="BC719">
        <v>4426</v>
      </c>
      <c r="BD719" t="s">
        <v>74</v>
      </c>
      <c r="BE719" t="s">
        <v>13590</v>
      </c>
      <c r="BF719" t="str">
        <f>HYPERLINK("http://dx.doi.org/10.5194/tc-14-4405-2020","http://dx.doi.org/10.5194/tc-14-4405-2020")</f>
        <v>http://dx.doi.org/10.5194/tc-14-4405-2020</v>
      </c>
      <c r="BG719" t="s">
        <v>74</v>
      </c>
      <c r="BH719" t="s">
        <v>74</v>
      </c>
      <c r="BI719">
        <v>22</v>
      </c>
      <c r="BJ719" t="s">
        <v>156</v>
      </c>
      <c r="BK719" t="s">
        <v>103</v>
      </c>
      <c r="BL719" t="s">
        <v>157</v>
      </c>
      <c r="BM719" t="s">
        <v>13591</v>
      </c>
      <c r="BN719" t="s">
        <v>74</v>
      </c>
      <c r="BO719" t="s">
        <v>13592</v>
      </c>
      <c r="BP719" t="s">
        <v>74</v>
      </c>
      <c r="BQ719" t="s">
        <v>74</v>
      </c>
      <c r="BR719" t="s">
        <v>106</v>
      </c>
      <c r="BS719" t="s">
        <v>13593</v>
      </c>
      <c r="BT719" t="str">
        <f>HYPERLINK("https%3A%2F%2Fwww.webofscience.com%2Fwos%2Fwoscc%2Ffull-record%2FWOS:000598104800002","View Full Record in Web of Science")</f>
        <v>View Full Record in Web of Science</v>
      </c>
    </row>
    <row r="720" spans="1:72" x14ac:dyDescent="0.15">
      <c r="A720" t="s">
        <v>72</v>
      </c>
      <c r="B720" t="s">
        <v>13594</v>
      </c>
      <c r="C720" t="s">
        <v>74</v>
      </c>
      <c r="D720" t="s">
        <v>74</v>
      </c>
      <c r="E720" t="s">
        <v>74</v>
      </c>
      <c r="F720" t="s">
        <v>13595</v>
      </c>
      <c r="G720" t="s">
        <v>74</v>
      </c>
      <c r="H720" t="s">
        <v>74</v>
      </c>
      <c r="I720" t="s">
        <v>13596</v>
      </c>
      <c r="J720" t="s">
        <v>140</v>
      </c>
      <c r="K720" t="s">
        <v>74</v>
      </c>
      <c r="L720" t="s">
        <v>74</v>
      </c>
      <c r="M720" t="s">
        <v>78</v>
      </c>
      <c r="N720" t="s">
        <v>79</v>
      </c>
      <c r="O720" t="s">
        <v>74</v>
      </c>
      <c r="P720" t="s">
        <v>74</v>
      </c>
      <c r="Q720" t="s">
        <v>74</v>
      </c>
      <c r="R720" t="s">
        <v>74</v>
      </c>
      <c r="S720" t="s">
        <v>74</v>
      </c>
      <c r="T720" t="s">
        <v>74</v>
      </c>
      <c r="U720" t="s">
        <v>13597</v>
      </c>
      <c r="V720" t="s">
        <v>13598</v>
      </c>
      <c r="W720" t="s">
        <v>13599</v>
      </c>
      <c r="X720" t="s">
        <v>13600</v>
      </c>
      <c r="Y720" t="s">
        <v>13601</v>
      </c>
      <c r="Z720" t="s">
        <v>13602</v>
      </c>
      <c r="AA720" t="s">
        <v>13603</v>
      </c>
      <c r="AB720" t="s">
        <v>13604</v>
      </c>
      <c r="AC720" t="s">
        <v>13605</v>
      </c>
      <c r="AD720" t="s">
        <v>13606</v>
      </c>
      <c r="AE720" t="s">
        <v>13607</v>
      </c>
      <c r="AF720" t="s">
        <v>74</v>
      </c>
      <c r="AG720">
        <v>49</v>
      </c>
      <c r="AH720">
        <v>43</v>
      </c>
      <c r="AI720">
        <v>44</v>
      </c>
      <c r="AJ720">
        <v>3</v>
      </c>
      <c r="AK720">
        <v>28</v>
      </c>
      <c r="AL720" t="s">
        <v>123</v>
      </c>
      <c r="AM720" t="s">
        <v>124</v>
      </c>
      <c r="AN720" t="s">
        <v>125</v>
      </c>
      <c r="AO720" t="s">
        <v>152</v>
      </c>
      <c r="AP720" t="s">
        <v>153</v>
      </c>
      <c r="AQ720" t="s">
        <v>74</v>
      </c>
      <c r="AR720" t="s">
        <v>140</v>
      </c>
      <c r="AS720" t="s">
        <v>154</v>
      </c>
      <c r="AT720" t="s">
        <v>13572</v>
      </c>
      <c r="AU720">
        <v>2020</v>
      </c>
      <c r="AV720">
        <v>14</v>
      </c>
      <c r="AW720">
        <v>12</v>
      </c>
      <c r="AX720" t="s">
        <v>74</v>
      </c>
      <c r="AY720" t="s">
        <v>74</v>
      </c>
      <c r="AZ720" t="s">
        <v>74</v>
      </c>
      <c r="BA720" t="s">
        <v>74</v>
      </c>
      <c r="BB720">
        <v>4453</v>
      </c>
      <c r="BC720">
        <v>4474</v>
      </c>
      <c r="BD720" t="s">
        <v>74</v>
      </c>
      <c r="BE720" t="s">
        <v>13608</v>
      </c>
      <c r="BF720" t="str">
        <f>HYPERLINK("http://dx.doi.org/10.5194/tc-14-4453-2020","http://dx.doi.org/10.5194/tc-14-4453-2020")</f>
        <v>http://dx.doi.org/10.5194/tc-14-4453-2020</v>
      </c>
      <c r="BG720" t="s">
        <v>74</v>
      </c>
      <c r="BH720" t="s">
        <v>74</v>
      </c>
      <c r="BI720">
        <v>22</v>
      </c>
      <c r="BJ720" t="s">
        <v>156</v>
      </c>
      <c r="BK720" t="s">
        <v>103</v>
      </c>
      <c r="BL720" t="s">
        <v>157</v>
      </c>
      <c r="BM720" t="s">
        <v>13591</v>
      </c>
      <c r="BN720" t="s">
        <v>74</v>
      </c>
      <c r="BO720" t="s">
        <v>159</v>
      </c>
      <c r="BP720" t="s">
        <v>74</v>
      </c>
      <c r="BQ720" t="s">
        <v>74</v>
      </c>
      <c r="BR720" t="s">
        <v>106</v>
      </c>
      <c r="BS720" t="s">
        <v>13609</v>
      </c>
      <c r="BT720" t="str">
        <f>HYPERLINK("https%3A%2F%2Fwww.webofscience.com%2Fwos%2Fwoscc%2Ffull-record%2FWOS:000598104800004","View Full Record in Web of Science")</f>
        <v>View Full Record in Web of Science</v>
      </c>
    </row>
    <row r="721" spans="1:72" x14ac:dyDescent="0.15">
      <c r="A721" t="s">
        <v>72</v>
      </c>
      <c r="B721" t="s">
        <v>13610</v>
      </c>
      <c r="C721" t="s">
        <v>74</v>
      </c>
      <c r="D721" t="s">
        <v>74</v>
      </c>
      <c r="E721" t="s">
        <v>74</v>
      </c>
      <c r="F721" t="s">
        <v>13611</v>
      </c>
      <c r="G721" t="s">
        <v>74</v>
      </c>
      <c r="H721" t="s">
        <v>74</v>
      </c>
      <c r="I721" t="s">
        <v>13612</v>
      </c>
      <c r="J721" t="s">
        <v>2075</v>
      </c>
      <c r="K721" t="s">
        <v>74</v>
      </c>
      <c r="L721" t="s">
        <v>74</v>
      </c>
      <c r="M721" t="s">
        <v>78</v>
      </c>
      <c r="N721" t="s">
        <v>79</v>
      </c>
      <c r="O721" t="s">
        <v>74</v>
      </c>
      <c r="P721" t="s">
        <v>74</v>
      </c>
      <c r="Q721" t="s">
        <v>74</v>
      </c>
      <c r="R721" t="s">
        <v>74</v>
      </c>
      <c r="S721" t="s">
        <v>74</v>
      </c>
      <c r="T721" t="s">
        <v>74</v>
      </c>
      <c r="U721" t="s">
        <v>13613</v>
      </c>
      <c r="V721" t="s">
        <v>13614</v>
      </c>
      <c r="W721" t="s">
        <v>13615</v>
      </c>
      <c r="X721" t="s">
        <v>13616</v>
      </c>
      <c r="Y721" t="s">
        <v>13617</v>
      </c>
      <c r="Z721" t="s">
        <v>13618</v>
      </c>
      <c r="AA721" t="s">
        <v>74</v>
      </c>
      <c r="AB721" t="s">
        <v>13619</v>
      </c>
      <c r="AC721" t="s">
        <v>13620</v>
      </c>
      <c r="AD721" t="s">
        <v>13620</v>
      </c>
      <c r="AE721" t="s">
        <v>13621</v>
      </c>
      <c r="AF721" t="s">
        <v>74</v>
      </c>
      <c r="AG721">
        <v>81</v>
      </c>
      <c r="AH721">
        <v>22</v>
      </c>
      <c r="AI721">
        <v>23</v>
      </c>
      <c r="AJ721">
        <v>3</v>
      </c>
      <c r="AK721">
        <v>15</v>
      </c>
      <c r="AL721" t="s">
        <v>527</v>
      </c>
      <c r="AM721" t="s">
        <v>528</v>
      </c>
      <c r="AN721" t="s">
        <v>529</v>
      </c>
      <c r="AO721" t="s">
        <v>2085</v>
      </c>
      <c r="AP721" t="s">
        <v>74</v>
      </c>
      <c r="AQ721" t="s">
        <v>74</v>
      </c>
      <c r="AR721" t="s">
        <v>2086</v>
      </c>
      <c r="AS721" t="s">
        <v>2087</v>
      </c>
      <c r="AT721" t="s">
        <v>13622</v>
      </c>
      <c r="AU721">
        <v>2020</v>
      </c>
      <c r="AV721">
        <v>10</v>
      </c>
      <c r="AW721">
        <v>1</v>
      </c>
      <c r="AX721" t="s">
        <v>74</v>
      </c>
      <c r="AY721" t="s">
        <v>74</v>
      </c>
      <c r="AZ721" t="s">
        <v>74</v>
      </c>
      <c r="BA721" t="s">
        <v>74</v>
      </c>
      <c r="BB721" t="s">
        <v>74</v>
      </c>
      <c r="BC721" t="s">
        <v>74</v>
      </c>
      <c r="BD721">
        <v>21165</v>
      </c>
      <c r="BE721" t="s">
        <v>13623</v>
      </c>
      <c r="BF721" t="str">
        <f>HYPERLINK("http://dx.doi.org/10.1038/s41598-020-78143-2","http://dx.doi.org/10.1038/s41598-020-78143-2")</f>
        <v>http://dx.doi.org/10.1038/s41598-020-78143-2</v>
      </c>
      <c r="BG721" t="s">
        <v>74</v>
      </c>
      <c r="BH721" t="s">
        <v>74</v>
      </c>
      <c r="BI721">
        <v>19</v>
      </c>
      <c r="BJ721" t="s">
        <v>534</v>
      </c>
      <c r="BK721" t="s">
        <v>103</v>
      </c>
      <c r="BL721" t="s">
        <v>535</v>
      </c>
      <c r="BM721" t="s">
        <v>13624</v>
      </c>
      <c r="BN721">
        <v>33273533</v>
      </c>
      <c r="BO721" t="s">
        <v>1105</v>
      </c>
      <c r="BP721" t="s">
        <v>74</v>
      </c>
      <c r="BQ721" t="s">
        <v>74</v>
      </c>
      <c r="BR721" t="s">
        <v>106</v>
      </c>
      <c r="BS721" t="s">
        <v>13625</v>
      </c>
      <c r="BT721" t="str">
        <f>HYPERLINK("https%3A%2F%2Fwww.webofscience.com%2Fwos%2Fwoscc%2Ffull-record%2FWOS:000615394300165","View Full Record in Web of Science")</f>
        <v>View Full Record in Web of Science</v>
      </c>
    </row>
    <row r="722" spans="1:72" x14ac:dyDescent="0.15">
      <c r="A722" t="s">
        <v>72</v>
      </c>
      <c r="B722" t="s">
        <v>13626</v>
      </c>
      <c r="C722" t="s">
        <v>74</v>
      </c>
      <c r="D722" t="s">
        <v>74</v>
      </c>
      <c r="E722" t="s">
        <v>74</v>
      </c>
      <c r="F722" t="s">
        <v>13627</v>
      </c>
      <c r="G722" t="s">
        <v>74</v>
      </c>
      <c r="H722" t="s">
        <v>74</v>
      </c>
      <c r="I722" t="s">
        <v>13628</v>
      </c>
      <c r="J722" t="s">
        <v>1556</v>
      </c>
      <c r="K722" t="s">
        <v>74</v>
      </c>
      <c r="L722" t="s">
        <v>74</v>
      </c>
      <c r="M722" t="s">
        <v>78</v>
      </c>
      <c r="N722" t="s">
        <v>79</v>
      </c>
      <c r="O722" t="s">
        <v>74</v>
      </c>
      <c r="P722" t="s">
        <v>74</v>
      </c>
      <c r="Q722" t="s">
        <v>74</v>
      </c>
      <c r="R722" t="s">
        <v>74</v>
      </c>
      <c r="S722" t="s">
        <v>74</v>
      </c>
      <c r="T722" t="s">
        <v>74</v>
      </c>
      <c r="U722" t="s">
        <v>13629</v>
      </c>
      <c r="V722" t="s">
        <v>13630</v>
      </c>
      <c r="W722" t="s">
        <v>13631</v>
      </c>
      <c r="X722" t="s">
        <v>13632</v>
      </c>
      <c r="Y722" t="s">
        <v>13633</v>
      </c>
      <c r="Z722" t="s">
        <v>13634</v>
      </c>
      <c r="AA722" t="s">
        <v>13635</v>
      </c>
      <c r="AB722" t="s">
        <v>13636</v>
      </c>
      <c r="AC722" t="s">
        <v>13637</v>
      </c>
      <c r="AD722" t="s">
        <v>13638</v>
      </c>
      <c r="AE722" t="s">
        <v>13639</v>
      </c>
      <c r="AF722" t="s">
        <v>74</v>
      </c>
      <c r="AG722">
        <v>72</v>
      </c>
      <c r="AH722">
        <v>15</v>
      </c>
      <c r="AI722">
        <v>16</v>
      </c>
      <c r="AJ722">
        <v>1</v>
      </c>
      <c r="AK722">
        <v>13</v>
      </c>
      <c r="AL722" t="s">
        <v>123</v>
      </c>
      <c r="AM722" t="s">
        <v>124</v>
      </c>
      <c r="AN722" t="s">
        <v>125</v>
      </c>
      <c r="AO722" t="s">
        <v>1565</v>
      </c>
      <c r="AP722" t="s">
        <v>1566</v>
      </c>
      <c r="AQ722" t="s">
        <v>74</v>
      </c>
      <c r="AR722" t="s">
        <v>1567</v>
      </c>
      <c r="AS722" t="s">
        <v>1568</v>
      </c>
      <c r="AT722" t="s">
        <v>13622</v>
      </c>
      <c r="AU722">
        <v>2020</v>
      </c>
      <c r="AV722">
        <v>16</v>
      </c>
      <c r="AW722">
        <v>6</v>
      </c>
      <c r="AX722" t="s">
        <v>74</v>
      </c>
      <c r="AY722" t="s">
        <v>74</v>
      </c>
      <c r="AZ722" t="s">
        <v>74</v>
      </c>
      <c r="BA722" t="s">
        <v>74</v>
      </c>
      <c r="BB722">
        <v>2431</v>
      </c>
      <c r="BC722">
        <v>2444</v>
      </c>
      <c r="BD722" t="s">
        <v>74</v>
      </c>
      <c r="BE722" t="s">
        <v>13640</v>
      </c>
      <c r="BF722" t="str">
        <f>HYPERLINK("http://dx.doi.org/10.5194/cp-16-2431-2020","http://dx.doi.org/10.5194/cp-16-2431-2020")</f>
        <v>http://dx.doi.org/10.5194/cp-16-2431-2020</v>
      </c>
      <c r="BG722" t="s">
        <v>74</v>
      </c>
      <c r="BH722" t="s">
        <v>74</v>
      </c>
      <c r="BI722">
        <v>14</v>
      </c>
      <c r="BJ722" t="s">
        <v>1570</v>
      </c>
      <c r="BK722" t="s">
        <v>103</v>
      </c>
      <c r="BL722" t="s">
        <v>1571</v>
      </c>
      <c r="BM722" t="s">
        <v>13641</v>
      </c>
      <c r="BN722" t="s">
        <v>74</v>
      </c>
      <c r="BO722" t="s">
        <v>159</v>
      </c>
      <c r="BP722" t="s">
        <v>74</v>
      </c>
      <c r="BQ722" t="s">
        <v>74</v>
      </c>
      <c r="BR722" t="s">
        <v>106</v>
      </c>
      <c r="BS722" t="s">
        <v>13642</v>
      </c>
      <c r="BT722" t="str">
        <f>HYPERLINK("https%3A%2F%2Fwww.webofscience.com%2Fwos%2Fwoscc%2Ffull-record%2FWOS:000596835500001","View Full Record in Web of Science")</f>
        <v>View Full Record in Web of Science</v>
      </c>
    </row>
    <row r="723" spans="1:72" x14ac:dyDescent="0.15">
      <c r="A723" t="s">
        <v>72</v>
      </c>
      <c r="B723" t="s">
        <v>13643</v>
      </c>
      <c r="C723" t="s">
        <v>74</v>
      </c>
      <c r="D723" t="s">
        <v>74</v>
      </c>
      <c r="E723" t="s">
        <v>74</v>
      </c>
      <c r="F723" t="s">
        <v>13644</v>
      </c>
      <c r="G723" t="s">
        <v>74</v>
      </c>
      <c r="H723" t="s">
        <v>74</v>
      </c>
      <c r="I723" t="s">
        <v>13645</v>
      </c>
      <c r="J723" t="s">
        <v>13646</v>
      </c>
      <c r="K723" t="s">
        <v>74</v>
      </c>
      <c r="L723" t="s">
        <v>74</v>
      </c>
      <c r="M723" t="s">
        <v>78</v>
      </c>
      <c r="N723" t="s">
        <v>79</v>
      </c>
      <c r="O723" t="s">
        <v>74</v>
      </c>
      <c r="P723" t="s">
        <v>74</v>
      </c>
      <c r="Q723" t="s">
        <v>74</v>
      </c>
      <c r="R723" t="s">
        <v>74</v>
      </c>
      <c r="S723" t="s">
        <v>74</v>
      </c>
      <c r="T723" t="s">
        <v>13647</v>
      </c>
      <c r="U723" t="s">
        <v>74</v>
      </c>
      <c r="V723" t="s">
        <v>13648</v>
      </c>
      <c r="W723" t="s">
        <v>13649</v>
      </c>
      <c r="X723" t="s">
        <v>995</v>
      </c>
      <c r="Y723" t="s">
        <v>996</v>
      </c>
      <c r="Z723" t="s">
        <v>997</v>
      </c>
      <c r="AA723" t="s">
        <v>13650</v>
      </c>
      <c r="AB723" t="s">
        <v>13651</v>
      </c>
      <c r="AC723" t="s">
        <v>13652</v>
      </c>
      <c r="AD723" t="s">
        <v>13653</v>
      </c>
      <c r="AE723" t="s">
        <v>13654</v>
      </c>
      <c r="AF723" t="s">
        <v>74</v>
      </c>
      <c r="AG723">
        <v>74</v>
      </c>
      <c r="AH723">
        <v>4</v>
      </c>
      <c r="AI723">
        <v>4</v>
      </c>
      <c r="AJ723">
        <v>0</v>
      </c>
      <c r="AK723">
        <v>6</v>
      </c>
      <c r="AL723" t="s">
        <v>2630</v>
      </c>
      <c r="AM723" t="s">
        <v>2631</v>
      </c>
      <c r="AN723" t="s">
        <v>2632</v>
      </c>
      <c r="AO723" t="s">
        <v>13655</v>
      </c>
      <c r="AP723" t="s">
        <v>13656</v>
      </c>
      <c r="AQ723" t="s">
        <v>74</v>
      </c>
      <c r="AR723" t="s">
        <v>13657</v>
      </c>
      <c r="AS723" t="s">
        <v>13658</v>
      </c>
      <c r="AT723" t="s">
        <v>13659</v>
      </c>
      <c r="AU723">
        <v>2022</v>
      </c>
      <c r="AV723">
        <v>37</v>
      </c>
      <c r="AW723">
        <v>11</v>
      </c>
      <c r="AX723" t="s">
        <v>74</v>
      </c>
      <c r="AY723" t="s">
        <v>74</v>
      </c>
      <c r="AZ723" t="s">
        <v>74</v>
      </c>
      <c r="BA723" t="s">
        <v>74</v>
      </c>
      <c r="BB723">
        <v>3141</v>
      </c>
      <c r="BC723">
        <v>3166</v>
      </c>
      <c r="BD723" t="s">
        <v>74</v>
      </c>
      <c r="BE723" t="s">
        <v>13660</v>
      </c>
      <c r="BF723" t="str">
        <f>HYPERLINK("http://dx.doi.org/10.1080/10106049.2020.1856194","http://dx.doi.org/10.1080/10106049.2020.1856194")</f>
        <v>http://dx.doi.org/10.1080/10106049.2020.1856194</v>
      </c>
      <c r="BG723" t="s">
        <v>74</v>
      </c>
      <c r="BH723" t="s">
        <v>11309</v>
      </c>
      <c r="BI723">
        <v>26</v>
      </c>
      <c r="BJ723" t="s">
        <v>8532</v>
      </c>
      <c r="BK723" t="s">
        <v>103</v>
      </c>
      <c r="BL723" t="s">
        <v>8533</v>
      </c>
      <c r="BM723" t="s">
        <v>13661</v>
      </c>
      <c r="BN723" t="s">
        <v>74</v>
      </c>
      <c r="BO723" t="s">
        <v>74</v>
      </c>
      <c r="BP723" t="s">
        <v>74</v>
      </c>
      <c r="BQ723" t="s">
        <v>74</v>
      </c>
      <c r="BR723" t="s">
        <v>106</v>
      </c>
      <c r="BS723" t="s">
        <v>13662</v>
      </c>
      <c r="BT723" t="str">
        <f>HYPERLINK("https%3A%2F%2Fwww.webofscience.com%2Fwos%2Fwoscc%2Ffull-record%2FWOS:000605713300001","View Full Record in Web of Science")</f>
        <v>View Full Record in Web of Science</v>
      </c>
    </row>
    <row r="724" spans="1:72" x14ac:dyDescent="0.15">
      <c r="A724" t="s">
        <v>72</v>
      </c>
      <c r="B724" t="s">
        <v>13663</v>
      </c>
      <c r="C724" t="s">
        <v>74</v>
      </c>
      <c r="D724" t="s">
        <v>74</v>
      </c>
      <c r="E724" t="s">
        <v>74</v>
      </c>
      <c r="F724" t="s">
        <v>13664</v>
      </c>
      <c r="G724" t="s">
        <v>74</v>
      </c>
      <c r="H724" t="s">
        <v>74</v>
      </c>
      <c r="I724" t="s">
        <v>13665</v>
      </c>
      <c r="J724" t="s">
        <v>111</v>
      </c>
      <c r="K724" t="s">
        <v>74</v>
      </c>
      <c r="L724" t="s">
        <v>74</v>
      </c>
      <c r="M724" t="s">
        <v>78</v>
      </c>
      <c r="N724" t="s">
        <v>79</v>
      </c>
      <c r="O724" t="s">
        <v>74</v>
      </c>
      <c r="P724" t="s">
        <v>74</v>
      </c>
      <c r="Q724" t="s">
        <v>74</v>
      </c>
      <c r="R724" t="s">
        <v>74</v>
      </c>
      <c r="S724" t="s">
        <v>74</v>
      </c>
      <c r="T724" t="s">
        <v>74</v>
      </c>
      <c r="U724" t="s">
        <v>13666</v>
      </c>
      <c r="V724" t="s">
        <v>13667</v>
      </c>
      <c r="W724" t="s">
        <v>13668</v>
      </c>
      <c r="X724" t="s">
        <v>13669</v>
      </c>
      <c r="Y724" t="s">
        <v>13670</v>
      </c>
      <c r="Z724" t="s">
        <v>13671</v>
      </c>
      <c r="AA724" t="s">
        <v>13672</v>
      </c>
      <c r="AB724" t="s">
        <v>13673</v>
      </c>
      <c r="AC724" t="s">
        <v>13674</v>
      </c>
      <c r="AD724" t="s">
        <v>13675</v>
      </c>
      <c r="AE724" t="s">
        <v>13676</v>
      </c>
      <c r="AF724" t="s">
        <v>74</v>
      </c>
      <c r="AG724">
        <v>54</v>
      </c>
      <c r="AH724">
        <v>10</v>
      </c>
      <c r="AI724">
        <v>10</v>
      </c>
      <c r="AJ724">
        <v>1</v>
      </c>
      <c r="AK724">
        <v>1</v>
      </c>
      <c r="AL724" t="s">
        <v>123</v>
      </c>
      <c r="AM724" t="s">
        <v>124</v>
      </c>
      <c r="AN724" t="s">
        <v>125</v>
      </c>
      <c r="AO724" t="s">
        <v>126</v>
      </c>
      <c r="AP724" t="s">
        <v>127</v>
      </c>
      <c r="AQ724" t="s">
        <v>74</v>
      </c>
      <c r="AR724" t="s">
        <v>128</v>
      </c>
      <c r="AS724" t="s">
        <v>129</v>
      </c>
      <c r="AT724" t="s">
        <v>13677</v>
      </c>
      <c r="AU724">
        <v>2020</v>
      </c>
      <c r="AV724">
        <v>20</v>
      </c>
      <c r="AW724">
        <v>23</v>
      </c>
      <c r="AX724" t="s">
        <v>74</v>
      </c>
      <c r="AY724" t="s">
        <v>74</v>
      </c>
      <c r="AZ724" t="s">
        <v>74</v>
      </c>
      <c r="BA724" t="s">
        <v>74</v>
      </c>
      <c r="BB724">
        <v>14757</v>
      </c>
      <c r="BC724">
        <v>14768</v>
      </c>
      <c r="BD724" t="s">
        <v>74</v>
      </c>
      <c r="BE724" t="s">
        <v>13678</v>
      </c>
      <c r="BF724" t="str">
        <f>HYPERLINK("http://dx.doi.org/10.5194/acp-20-14757-2020","http://dx.doi.org/10.5194/acp-20-14757-2020")</f>
        <v>http://dx.doi.org/10.5194/acp-20-14757-2020</v>
      </c>
      <c r="BG724" t="s">
        <v>74</v>
      </c>
      <c r="BH724" t="s">
        <v>74</v>
      </c>
      <c r="BI724">
        <v>12</v>
      </c>
      <c r="BJ724" t="s">
        <v>132</v>
      </c>
      <c r="BK724" t="s">
        <v>103</v>
      </c>
      <c r="BL724" t="s">
        <v>133</v>
      </c>
      <c r="BM724" t="s">
        <v>13679</v>
      </c>
      <c r="BN724" t="s">
        <v>74</v>
      </c>
      <c r="BO724" t="s">
        <v>159</v>
      </c>
      <c r="BP724" t="s">
        <v>74</v>
      </c>
      <c r="BQ724" t="s">
        <v>74</v>
      </c>
      <c r="BR724" t="s">
        <v>106</v>
      </c>
      <c r="BS724" t="s">
        <v>13680</v>
      </c>
      <c r="BT724" t="str">
        <f>HYPERLINK("https%3A%2F%2Fwww.webofscience.com%2Fwos%2Fwoscc%2Ffull-record%2FWOS:000595075400004","View Full Record in Web of Science")</f>
        <v>View Full Record in Web of Science</v>
      </c>
    </row>
    <row r="725" spans="1:72" x14ac:dyDescent="0.15">
      <c r="A725" t="s">
        <v>72</v>
      </c>
      <c r="B725" t="s">
        <v>13681</v>
      </c>
      <c r="C725" t="s">
        <v>74</v>
      </c>
      <c r="D725" t="s">
        <v>74</v>
      </c>
      <c r="E725" t="s">
        <v>74</v>
      </c>
      <c r="F725" t="s">
        <v>13682</v>
      </c>
      <c r="G725" t="s">
        <v>74</v>
      </c>
      <c r="H725" t="s">
        <v>74</v>
      </c>
      <c r="I725" t="s">
        <v>13683</v>
      </c>
      <c r="J725" t="s">
        <v>140</v>
      </c>
      <c r="K725" t="s">
        <v>74</v>
      </c>
      <c r="L725" t="s">
        <v>74</v>
      </c>
      <c r="M725" t="s">
        <v>78</v>
      </c>
      <c r="N725" t="s">
        <v>79</v>
      </c>
      <c r="O725" t="s">
        <v>74</v>
      </c>
      <c r="P725" t="s">
        <v>74</v>
      </c>
      <c r="Q725" t="s">
        <v>74</v>
      </c>
      <c r="R725" t="s">
        <v>74</v>
      </c>
      <c r="S725" t="s">
        <v>74</v>
      </c>
      <c r="T725" t="s">
        <v>74</v>
      </c>
      <c r="U725" t="s">
        <v>13684</v>
      </c>
      <c r="V725" t="s">
        <v>13685</v>
      </c>
      <c r="W725" t="s">
        <v>13686</v>
      </c>
      <c r="X725" t="s">
        <v>13687</v>
      </c>
      <c r="Y725" t="s">
        <v>13688</v>
      </c>
      <c r="Z725" t="s">
        <v>13689</v>
      </c>
      <c r="AA725" t="s">
        <v>13690</v>
      </c>
      <c r="AB725" t="s">
        <v>13691</v>
      </c>
      <c r="AC725" t="s">
        <v>13692</v>
      </c>
      <c r="AD725" t="s">
        <v>13693</v>
      </c>
      <c r="AE725" t="s">
        <v>13694</v>
      </c>
      <c r="AF725" t="s">
        <v>74</v>
      </c>
      <c r="AG725">
        <v>40</v>
      </c>
      <c r="AH725">
        <v>12</v>
      </c>
      <c r="AI725">
        <v>12</v>
      </c>
      <c r="AJ725">
        <v>1</v>
      </c>
      <c r="AK725">
        <v>11</v>
      </c>
      <c r="AL725" t="s">
        <v>123</v>
      </c>
      <c r="AM725" t="s">
        <v>124</v>
      </c>
      <c r="AN725" t="s">
        <v>125</v>
      </c>
      <c r="AO725" t="s">
        <v>152</v>
      </c>
      <c r="AP725" t="s">
        <v>153</v>
      </c>
      <c r="AQ725" t="s">
        <v>74</v>
      </c>
      <c r="AR725" t="s">
        <v>140</v>
      </c>
      <c r="AS725" t="s">
        <v>154</v>
      </c>
      <c r="AT725" t="s">
        <v>13677</v>
      </c>
      <c r="AU725">
        <v>2020</v>
      </c>
      <c r="AV725">
        <v>14</v>
      </c>
      <c r="AW725">
        <v>12</v>
      </c>
      <c r="AX725" t="s">
        <v>74</v>
      </c>
      <c r="AY725" t="s">
        <v>74</v>
      </c>
      <c r="AZ725" t="s">
        <v>74</v>
      </c>
      <c r="BA725" t="s">
        <v>74</v>
      </c>
      <c r="BB725">
        <v>4365</v>
      </c>
      <c r="BC725">
        <v>4378</v>
      </c>
      <c r="BD725" t="s">
        <v>74</v>
      </c>
      <c r="BE725" t="s">
        <v>13695</v>
      </c>
      <c r="BF725" t="str">
        <f>HYPERLINK("http://dx.doi.org/10.5194/tc-14-4365-2020","http://dx.doi.org/10.5194/tc-14-4365-2020")</f>
        <v>http://dx.doi.org/10.5194/tc-14-4365-2020</v>
      </c>
      <c r="BG725" t="s">
        <v>74</v>
      </c>
      <c r="BH725" t="s">
        <v>74</v>
      </c>
      <c r="BI725">
        <v>14</v>
      </c>
      <c r="BJ725" t="s">
        <v>156</v>
      </c>
      <c r="BK725" t="s">
        <v>103</v>
      </c>
      <c r="BL725" t="s">
        <v>157</v>
      </c>
      <c r="BM725" t="s">
        <v>13696</v>
      </c>
      <c r="BN725" t="s">
        <v>74</v>
      </c>
      <c r="BO725" t="s">
        <v>159</v>
      </c>
      <c r="BP725" t="s">
        <v>74</v>
      </c>
      <c r="BQ725" t="s">
        <v>74</v>
      </c>
      <c r="BR725" t="s">
        <v>106</v>
      </c>
      <c r="BS725" t="s">
        <v>13697</v>
      </c>
      <c r="BT725" t="str">
        <f>HYPERLINK("https%3A%2F%2Fwww.webofscience.com%2Fwos%2Fwoscc%2Ffull-record%2FWOS:000596735500001","View Full Record in Web of Science")</f>
        <v>View Full Record in Web of Science</v>
      </c>
    </row>
    <row r="726" spans="1:72" x14ac:dyDescent="0.15">
      <c r="A726" t="s">
        <v>72</v>
      </c>
      <c r="B726" t="s">
        <v>13698</v>
      </c>
      <c r="C726" t="s">
        <v>74</v>
      </c>
      <c r="D726" t="s">
        <v>74</v>
      </c>
      <c r="E726" t="s">
        <v>74</v>
      </c>
      <c r="F726" t="s">
        <v>13699</v>
      </c>
      <c r="G726" t="s">
        <v>74</v>
      </c>
      <c r="H726" t="s">
        <v>74</v>
      </c>
      <c r="I726" t="s">
        <v>13700</v>
      </c>
      <c r="J726" t="s">
        <v>13701</v>
      </c>
      <c r="K726" t="s">
        <v>74</v>
      </c>
      <c r="L726" t="s">
        <v>74</v>
      </c>
      <c r="M726" t="s">
        <v>78</v>
      </c>
      <c r="N726" t="s">
        <v>79</v>
      </c>
      <c r="O726" t="s">
        <v>74</v>
      </c>
      <c r="P726" t="s">
        <v>74</v>
      </c>
      <c r="Q726" t="s">
        <v>74</v>
      </c>
      <c r="R726" t="s">
        <v>74</v>
      </c>
      <c r="S726" t="s">
        <v>74</v>
      </c>
      <c r="T726" t="s">
        <v>13702</v>
      </c>
      <c r="U726" t="s">
        <v>74</v>
      </c>
      <c r="V726" t="s">
        <v>13703</v>
      </c>
      <c r="W726" t="s">
        <v>13704</v>
      </c>
      <c r="X726" t="s">
        <v>13705</v>
      </c>
      <c r="Y726" t="s">
        <v>13706</v>
      </c>
      <c r="Z726" t="s">
        <v>13707</v>
      </c>
      <c r="AA726" t="s">
        <v>13708</v>
      </c>
      <c r="AB726" t="s">
        <v>13709</v>
      </c>
      <c r="AC726" t="s">
        <v>74</v>
      </c>
      <c r="AD726" t="s">
        <v>74</v>
      </c>
      <c r="AE726" t="s">
        <v>74</v>
      </c>
      <c r="AF726" t="s">
        <v>74</v>
      </c>
      <c r="AG726">
        <v>18</v>
      </c>
      <c r="AH726">
        <v>0</v>
      </c>
      <c r="AI726">
        <v>0</v>
      </c>
      <c r="AJ726">
        <v>2</v>
      </c>
      <c r="AK726">
        <v>9</v>
      </c>
      <c r="AL726" t="s">
        <v>1183</v>
      </c>
      <c r="AM726" t="s">
        <v>1184</v>
      </c>
      <c r="AN726" t="s">
        <v>1185</v>
      </c>
      <c r="AO726" t="s">
        <v>13710</v>
      </c>
      <c r="AP726" t="s">
        <v>13711</v>
      </c>
      <c r="AQ726" t="s">
        <v>74</v>
      </c>
      <c r="AR726" t="s">
        <v>13712</v>
      </c>
      <c r="AS726" t="s">
        <v>13713</v>
      </c>
      <c r="AT726" t="s">
        <v>3896</v>
      </c>
      <c r="AU726">
        <v>2021</v>
      </c>
      <c r="AV726">
        <v>30</v>
      </c>
      <c r="AW726">
        <v>1</v>
      </c>
      <c r="AX726" t="s">
        <v>74</v>
      </c>
      <c r="AY726" t="s">
        <v>74</v>
      </c>
      <c r="AZ726" t="s">
        <v>74</v>
      </c>
      <c r="BA726" t="s">
        <v>74</v>
      </c>
      <c r="BB726">
        <v>133</v>
      </c>
      <c r="BC726">
        <v>137</v>
      </c>
      <c r="BD726" t="s">
        <v>74</v>
      </c>
      <c r="BE726" t="s">
        <v>13714</v>
      </c>
      <c r="BF726" t="str">
        <f>HYPERLINK("http://dx.doi.org/10.1080/10498850.2020.1854408","http://dx.doi.org/10.1080/10498850.2020.1854408")</f>
        <v>http://dx.doi.org/10.1080/10498850.2020.1854408</v>
      </c>
      <c r="BG726" t="s">
        <v>74</v>
      </c>
      <c r="BH726" t="s">
        <v>11309</v>
      </c>
      <c r="BI726">
        <v>5</v>
      </c>
      <c r="BJ726" t="s">
        <v>5390</v>
      </c>
      <c r="BK726" t="s">
        <v>103</v>
      </c>
      <c r="BL726" t="s">
        <v>5390</v>
      </c>
      <c r="BM726" t="s">
        <v>13715</v>
      </c>
      <c r="BN726" t="s">
        <v>74</v>
      </c>
      <c r="BO726" t="s">
        <v>74</v>
      </c>
      <c r="BP726" t="s">
        <v>74</v>
      </c>
      <c r="BQ726" t="s">
        <v>74</v>
      </c>
      <c r="BR726" t="s">
        <v>106</v>
      </c>
      <c r="BS726" t="s">
        <v>13716</v>
      </c>
      <c r="BT726" t="str">
        <f>HYPERLINK("https%3A%2F%2Fwww.webofscience.com%2Fwos%2Fwoscc%2Ffull-record%2FWOS:000596920500001","View Full Record in Web of Science")</f>
        <v>View Full Record in Web of Science</v>
      </c>
    </row>
    <row r="727" spans="1:72" x14ac:dyDescent="0.15">
      <c r="A727" t="s">
        <v>72</v>
      </c>
      <c r="B727" t="s">
        <v>13717</v>
      </c>
      <c r="C727" t="s">
        <v>74</v>
      </c>
      <c r="D727" t="s">
        <v>74</v>
      </c>
      <c r="E727" t="s">
        <v>74</v>
      </c>
      <c r="F727" t="s">
        <v>13718</v>
      </c>
      <c r="G727" t="s">
        <v>74</v>
      </c>
      <c r="H727" t="s">
        <v>74</v>
      </c>
      <c r="I727" t="s">
        <v>13719</v>
      </c>
      <c r="J727" t="s">
        <v>1200</v>
      </c>
      <c r="K727" t="s">
        <v>74</v>
      </c>
      <c r="L727" t="s">
        <v>74</v>
      </c>
      <c r="M727" t="s">
        <v>78</v>
      </c>
      <c r="N727" t="s">
        <v>79</v>
      </c>
      <c r="O727" t="s">
        <v>74</v>
      </c>
      <c r="P727" t="s">
        <v>74</v>
      </c>
      <c r="Q727" t="s">
        <v>74</v>
      </c>
      <c r="R727" t="s">
        <v>74</v>
      </c>
      <c r="S727" t="s">
        <v>74</v>
      </c>
      <c r="T727" t="s">
        <v>13720</v>
      </c>
      <c r="U727" t="s">
        <v>13721</v>
      </c>
      <c r="V727" t="s">
        <v>13722</v>
      </c>
      <c r="W727" t="s">
        <v>13723</v>
      </c>
      <c r="X727" t="s">
        <v>4500</v>
      </c>
      <c r="Y727" t="s">
        <v>13724</v>
      </c>
      <c r="Z727" t="s">
        <v>13725</v>
      </c>
      <c r="AA727" t="s">
        <v>13726</v>
      </c>
      <c r="AB727" t="s">
        <v>13727</v>
      </c>
      <c r="AC727" t="s">
        <v>13728</v>
      </c>
      <c r="AD727" t="s">
        <v>10880</v>
      </c>
      <c r="AE727" t="s">
        <v>13729</v>
      </c>
      <c r="AF727" t="s">
        <v>74</v>
      </c>
      <c r="AG727">
        <v>60</v>
      </c>
      <c r="AH727">
        <v>3</v>
      </c>
      <c r="AI727">
        <v>3</v>
      </c>
      <c r="AJ727">
        <v>0</v>
      </c>
      <c r="AK727">
        <v>16</v>
      </c>
      <c r="AL727" t="s">
        <v>1210</v>
      </c>
      <c r="AM727" t="s">
        <v>473</v>
      </c>
      <c r="AN727" t="s">
        <v>1211</v>
      </c>
      <c r="AO727" t="s">
        <v>1212</v>
      </c>
      <c r="AP727" t="s">
        <v>1213</v>
      </c>
      <c r="AQ727" t="s">
        <v>74</v>
      </c>
      <c r="AR727" t="s">
        <v>1214</v>
      </c>
      <c r="AS727" t="s">
        <v>1215</v>
      </c>
      <c r="AT727" t="s">
        <v>13677</v>
      </c>
      <c r="AU727">
        <v>2020</v>
      </c>
      <c r="AV727">
        <v>56</v>
      </c>
      <c r="AW727" t="s">
        <v>74</v>
      </c>
      <c r="AX727" t="s">
        <v>74</v>
      </c>
      <c r="AY727" t="s">
        <v>74</v>
      </c>
      <c r="AZ727" t="s">
        <v>74</v>
      </c>
      <c r="BA727" t="s">
        <v>74</v>
      </c>
      <c r="BB727" t="s">
        <v>74</v>
      </c>
      <c r="BC727" t="s">
        <v>74</v>
      </c>
      <c r="BD727" t="s">
        <v>13730</v>
      </c>
      <c r="BE727" t="s">
        <v>13731</v>
      </c>
      <c r="BF727" t="str">
        <f>HYPERLINK("http://dx.doi.org/10.1017/S003224742000039X","http://dx.doi.org/10.1017/S003224742000039X")</f>
        <v>http://dx.doi.org/10.1017/S003224742000039X</v>
      </c>
      <c r="BG727" t="s">
        <v>74</v>
      </c>
      <c r="BH727" t="s">
        <v>74</v>
      </c>
      <c r="BI727">
        <v>11</v>
      </c>
      <c r="BJ727" t="s">
        <v>1218</v>
      </c>
      <c r="BK727" t="s">
        <v>271</v>
      </c>
      <c r="BL727" t="s">
        <v>104</v>
      </c>
      <c r="BM727" t="s">
        <v>13732</v>
      </c>
      <c r="BN727" t="s">
        <v>74</v>
      </c>
      <c r="BO727" t="s">
        <v>352</v>
      </c>
      <c r="BP727" t="s">
        <v>74</v>
      </c>
      <c r="BQ727" t="s">
        <v>74</v>
      </c>
      <c r="BR727" t="s">
        <v>106</v>
      </c>
      <c r="BS727" t="s">
        <v>13733</v>
      </c>
      <c r="BT727" t="str">
        <f>HYPERLINK("https%3A%2F%2Fwww.webofscience.com%2Fwos%2Fwoscc%2Ffull-record%2FWOS:000595081300001","View Full Record in Web of Science")</f>
        <v>View Full Record in Web of Science</v>
      </c>
    </row>
    <row r="728" spans="1:72" x14ac:dyDescent="0.15">
      <c r="A728" t="s">
        <v>72</v>
      </c>
      <c r="B728" t="s">
        <v>13734</v>
      </c>
      <c r="C728" t="s">
        <v>74</v>
      </c>
      <c r="D728" t="s">
        <v>74</v>
      </c>
      <c r="E728" t="s">
        <v>74</v>
      </c>
      <c r="F728" t="s">
        <v>13735</v>
      </c>
      <c r="G728" t="s">
        <v>74</v>
      </c>
      <c r="H728" t="s">
        <v>74</v>
      </c>
      <c r="I728" t="s">
        <v>13736</v>
      </c>
      <c r="J728" t="s">
        <v>13737</v>
      </c>
      <c r="K728" t="s">
        <v>74</v>
      </c>
      <c r="L728" t="s">
        <v>74</v>
      </c>
      <c r="M728" t="s">
        <v>78</v>
      </c>
      <c r="N728" t="s">
        <v>79</v>
      </c>
      <c r="O728" t="s">
        <v>74</v>
      </c>
      <c r="P728" t="s">
        <v>74</v>
      </c>
      <c r="Q728" t="s">
        <v>74</v>
      </c>
      <c r="R728" t="s">
        <v>74</v>
      </c>
      <c r="S728" t="s">
        <v>74</v>
      </c>
      <c r="T728" t="s">
        <v>13738</v>
      </c>
      <c r="U728" t="s">
        <v>13739</v>
      </c>
      <c r="V728" t="s">
        <v>13740</v>
      </c>
      <c r="W728" t="s">
        <v>13741</v>
      </c>
      <c r="X728" t="s">
        <v>3394</v>
      </c>
      <c r="Y728" t="s">
        <v>13742</v>
      </c>
      <c r="Z728" t="s">
        <v>13743</v>
      </c>
      <c r="AA728" t="s">
        <v>13744</v>
      </c>
      <c r="AB728" t="s">
        <v>74</v>
      </c>
      <c r="AC728" t="s">
        <v>74</v>
      </c>
      <c r="AD728" t="s">
        <v>74</v>
      </c>
      <c r="AE728" t="s">
        <v>74</v>
      </c>
      <c r="AF728" t="s">
        <v>74</v>
      </c>
      <c r="AG728">
        <v>32</v>
      </c>
      <c r="AH728">
        <v>1</v>
      </c>
      <c r="AI728">
        <v>1</v>
      </c>
      <c r="AJ728">
        <v>1</v>
      </c>
      <c r="AK728">
        <v>7</v>
      </c>
      <c r="AL728" t="s">
        <v>207</v>
      </c>
      <c r="AM728" t="s">
        <v>473</v>
      </c>
      <c r="AN728" t="s">
        <v>474</v>
      </c>
      <c r="AO728" t="s">
        <v>13745</v>
      </c>
      <c r="AP728" t="s">
        <v>13746</v>
      </c>
      <c r="AQ728" t="s">
        <v>74</v>
      </c>
      <c r="AR728" t="s">
        <v>13747</v>
      </c>
      <c r="AS728" t="s">
        <v>13748</v>
      </c>
      <c r="AT728" t="s">
        <v>12678</v>
      </c>
      <c r="AU728">
        <v>2020</v>
      </c>
      <c r="AV728">
        <v>17</v>
      </c>
      <c r="AW728" t="s">
        <v>13749</v>
      </c>
      <c r="AX728" t="s">
        <v>74</v>
      </c>
      <c r="AY728" t="s">
        <v>74</v>
      </c>
      <c r="AZ728" t="s">
        <v>74</v>
      </c>
      <c r="BA728" t="s">
        <v>74</v>
      </c>
      <c r="BB728">
        <v>870</v>
      </c>
      <c r="BC728">
        <v>878</v>
      </c>
      <c r="BD728" t="s">
        <v>74</v>
      </c>
      <c r="BE728" t="s">
        <v>13750</v>
      </c>
      <c r="BF728" t="str">
        <f>HYPERLINK("http://dx.doi.org/10.1007/s11770-020-0866-y","http://dx.doi.org/10.1007/s11770-020-0866-y")</f>
        <v>http://dx.doi.org/10.1007/s11770-020-0866-y</v>
      </c>
      <c r="BG728" t="s">
        <v>74</v>
      </c>
      <c r="BH728" t="s">
        <v>74</v>
      </c>
      <c r="BI728">
        <v>9</v>
      </c>
      <c r="BJ728" t="s">
        <v>426</v>
      </c>
      <c r="BK728" t="s">
        <v>103</v>
      </c>
      <c r="BL728" t="s">
        <v>426</v>
      </c>
      <c r="BM728" t="s">
        <v>13751</v>
      </c>
      <c r="BN728" t="s">
        <v>74</v>
      </c>
      <c r="BO728" t="s">
        <v>74</v>
      </c>
      <c r="BP728" t="s">
        <v>74</v>
      </c>
      <c r="BQ728" t="s">
        <v>74</v>
      </c>
      <c r="BR728" t="s">
        <v>106</v>
      </c>
      <c r="BS728" t="s">
        <v>13752</v>
      </c>
      <c r="BT728" t="str">
        <f>HYPERLINK("https%3A%2F%2Fwww.webofscience.com%2Fwos%2Fwoscc%2Ffull-record%2FWOS:000701830000022","View Full Record in Web of Science")</f>
        <v>View Full Record in Web of Science</v>
      </c>
    </row>
    <row r="729" spans="1:72" x14ac:dyDescent="0.15">
      <c r="A729" t="s">
        <v>72</v>
      </c>
      <c r="B729" t="s">
        <v>13753</v>
      </c>
      <c r="C729" t="s">
        <v>74</v>
      </c>
      <c r="D729" t="s">
        <v>74</v>
      </c>
      <c r="E729" t="s">
        <v>74</v>
      </c>
      <c r="F729" t="s">
        <v>13754</v>
      </c>
      <c r="G729" t="s">
        <v>74</v>
      </c>
      <c r="H729" t="s">
        <v>74</v>
      </c>
      <c r="I729" t="s">
        <v>13755</v>
      </c>
      <c r="J729" t="s">
        <v>13756</v>
      </c>
      <c r="K729" t="s">
        <v>74</v>
      </c>
      <c r="L729" t="s">
        <v>74</v>
      </c>
      <c r="M729" t="s">
        <v>78</v>
      </c>
      <c r="N729" t="s">
        <v>79</v>
      </c>
      <c r="O729" t="s">
        <v>74</v>
      </c>
      <c r="P729" t="s">
        <v>74</v>
      </c>
      <c r="Q729" t="s">
        <v>74</v>
      </c>
      <c r="R729" t="s">
        <v>74</v>
      </c>
      <c r="S729" t="s">
        <v>74</v>
      </c>
      <c r="T729" t="s">
        <v>13757</v>
      </c>
      <c r="U729" t="s">
        <v>13758</v>
      </c>
      <c r="V729" t="s">
        <v>13759</v>
      </c>
      <c r="W729" t="s">
        <v>13760</v>
      </c>
      <c r="X729" t="s">
        <v>9206</v>
      </c>
      <c r="Y729" t="s">
        <v>13761</v>
      </c>
      <c r="Z729" t="s">
        <v>13762</v>
      </c>
      <c r="AA729" t="s">
        <v>74</v>
      </c>
      <c r="AB729" t="s">
        <v>13763</v>
      </c>
      <c r="AC729" t="s">
        <v>13764</v>
      </c>
      <c r="AD729" t="s">
        <v>13765</v>
      </c>
      <c r="AE729" t="s">
        <v>13766</v>
      </c>
      <c r="AF729" t="s">
        <v>74</v>
      </c>
      <c r="AG729">
        <v>42</v>
      </c>
      <c r="AH729">
        <v>7</v>
      </c>
      <c r="AI729">
        <v>7</v>
      </c>
      <c r="AJ729">
        <v>1</v>
      </c>
      <c r="AK729">
        <v>11</v>
      </c>
      <c r="AL729" t="s">
        <v>8526</v>
      </c>
      <c r="AM729" t="s">
        <v>2921</v>
      </c>
      <c r="AN729" t="s">
        <v>8527</v>
      </c>
      <c r="AO729" t="s">
        <v>74</v>
      </c>
      <c r="AP729" t="s">
        <v>13767</v>
      </c>
      <c r="AQ729" t="s">
        <v>74</v>
      </c>
      <c r="AR729" t="s">
        <v>13756</v>
      </c>
      <c r="AS729" t="s">
        <v>13768</v>
      </c>
      <c r="AT729" t="s">
        <v>12678</v>
      </c>
      <c r="AU729">
        <v>2020</v>
      </c>
      <c r="AV729">
        <v>9</v>
      </c>
      <c r="AW729">
        <v>4</v>
      </c>
      <c r="AX729" t="s">
        <v>74</v>
      </c>
      <c r="AY729" t="s">
        <v>74</v>
      </c>
      <c r="AZ729" t="s">
        <v>74</v>
      </c>
      <c r="BA729" t="s">
        <v>74</v>
      </c>
      <c r="BB729" t="s">
        <v>74</v>
      </c>
      <c r="BC729" t="s">
        <v>74</v>
      </c>
      <c r="BD729">
        <v>126</v>
      </c>
      <c r="BE729" t="s">
        <v>13769</v>
      </c>
      <c r="BF729" t="str">
        <f>HYPERLINK("http://dx.doi.org/10.3390/h9040126","http://dx.doi.org/10.3390/h9040126")</f>
        <v>http://dx.doi.org/10.3390/h9040126</v>
      </c>
      <c r="BG729" t="s">
        <v>74</v>
      </c>
      <c r="BH729" t="s">
        <v>74</v>
      </c>
      <c r="BI729">
        <v>17</v>
      </c>
      <c r="BJ729" t="s">
        <v>7605</v>
      </c>
      <c r="BK729" t="s">
        <v>3050</v>
      </c>
      <c r="BL729" t="s">
        <v>7606</v>
      </c>
      <c r="BM729" t="s">
        <v>13770</v>
      </c>
      <c r="BN729" t="s">
        <v>74</v>
      </c>
      <c r="BO729" t="s">
        <v>1105</v>
      </c>
      <c r="BP729" t="s">
        <v>74</v>
      </c>
      <c r="BQ729" t="s">
        <v>74</v>
      </c>
      <c r="BR729" t="s">
        <v>106</v>
      </c>
      <c r="BS729" t="s">
        <v>13771</v>
      </c>
      <c r="BT729" t="str">
        <f>HYPERLINK("https%3A%2F%2Fwww.webofscience.com%2Fwos%2Fwoscc%2Ffull-record%2FWOS:000683353100012","View Full Record in Web of Science")</f>
        <v>View Full Record in Web of Science</v>
      </c>
    </row>
    <row r="730" spans="1:72" x14ac:dyDescent="0.15">
      <c r="A730" t="s">
        <v>72</v>
      </c>
      <c r="B730" t="s">
        <v>13772</v>
      </c>
      <c r="C730" t="s">
        <v>74</v>
      </c>
      <c r="D730" t="s">
        <v>74</v>
      </c>
      <c r="E730" t="s">
        <v>74</v>
      </c>
      <c r="F730" t="s">
        <v>13773</v>
      </c>
      <c r="G730" t="s">
        <v>74</v>
      </c>
      <c r="H730" t="s">
        <v>74</v>
      </c>
      <c r="I730" t="s">
        <v>13774</v>
      </c>
      <c r="J730" t="s">
        <v>13775</v>
      </c>
      <c r="K730" t="s">
        <v>74</v>
      </c>
      <c r="L730" t="s">
        <v>74</v>
      </c>
      <c r="M730" t="s">
        <v>78</v>
      </c>
      <c r="N730" t="s">
        <v>141</v>
      </c>
      <c r="O730" t="s">
        <v>74</v>
      </c>
      <c r="P730" t="s">
        <v>74</v>
      </c>
      <c r="Q730" t="s">
        <v>74</v>
      </c>
      <c r="R730" t="s">
        <v>74</v>
      </c>
      <c r="S730" t="s">
        <v>74</v>
      </c>
      <c r="T730" t="s">
        <v>13776</v>
      </c>
      <c r="U730" t="s">
        <v>13777</v>
      </c>
      <c r="V730" t="s">
        <v>13778</v>
      </c>
      <c r="W730" t="s">
        <v>13779</v>
      </c>
      <c r="X730" t="s">
        <v>13780</v>
      </c>
      <c r="Y730" t="s">
        <v>13781</v>
      </c>
      <c r="Z730" t="s">
        <v>13782</v>
      </c>
      <c r="AA730" t="s">
        <v>13783</v>
      </c>
      <c r="AB730" t="s">
        <v>13784</v>
      </c>
      <c r="AC730" t="s">
        <v>13785</v>
      </c>
      <c r="AD730" t="s">
        <v>13786</v>
      </c>
      <c r="AE730" t="s">
        <v>13787</v>
      </c>
      <c r="AF730" t="s">
        <v>74</v>
      </c>
      <c r="AG730">
        <v>114</v>
      </c>
      <c r="AH730">
        <v>9</v>
      </c>
      <c r="AI730">
        <v>9</v>
      </c>
      <c r="AJ730">
        <v>3</v>
      </c>
      <c r="AK730">
        <v>14</v>
      </c>
      <c r="AL730" t="s">
        <v>92</v>
      </c>
      <c r="AM730" t="s">
        <v>93</v>
      </c>
      <c r="AN730" t="s">
        <v>94</v>
      </c>
      <c r="AO730" t="s">
        <v>13788</v>
      </c>
      <c r="AP730" t="s">
        <v>74</v>
      </c>
      <c r="AQ730" t="s">
        <v>74</v>
      </c>
      <c r="AR730" t="s">
        <v>13789</v>
      </c>
      <c r="AS730" t="s">
        <v>13790</v>
      </c>
      <c r="AT730" t="s">
        <v>12678</v>
      </c>
      <c r="AU730">
        <v>2020</v>
      </c>
      <c r="AV730">
        <v>8</v>
      </c>
      <c r="AW730" t="s">
        <v>74</v>
      </c>
      <c r="AX730" t="s">
        <v>74</v>
      </c>
      <c r="AY730" t="s">
        <v>74</v>
      </c>
      <c r="AZ730" t="s">
        <v>74</v>
      </c>
      <c r="BA730" t="s">
        <v>74</v>
      </c>
      <c r="BB730" t="s">
        <v>74</v>
      </c>
      <c r="BC730" t="s">
        <v>74</v>
      </c>
      <c r="BD730">
        <v>100183</v>
      </c>
      <c r="BE730" t="s">
        <v>13791</v>
      </c>
      <c r="BF730" t="str">
        <f>HYPERLINK("http://dx.doi.org/10.1016/j.rineng.2020.100183","http://dx.doi.org/10.1016/j.rineng.2020.100183")</f>
        <v>http://dx.doi.org/10.1016/j.rineng.2020.100183</v>
      </c>
      <c r="BG730" t="s">
        <v>74</v>
      </c>
      <c r="BH730" t="s">
        <v>74</v>
      </c>
      <c r="BI730">
        <v>19</v>
      </c>
      <c r="BJ730" t="s">
        <v>13792</v>
      </c>
      <c r="BK730" t="s">
        <v>3050</v>
      </c>
      <c r="BL730" t="s">
        <v>187</v>
      </c>
      <c r="BM730" t="s">
        <v>13793</v>
      </c>
      <c r="BN730" t="s">
        <v>74</v>
      </c>
      <c r="BO730" t="s">
        <v>326</v>
      </c>
      <c r="BP730" t="s">
        <v>74</v>
      </c>
      <c r="BQ730" t="s">
        <v>74</v>
      </c>
      <c r="BR730" t="s">
        <v>106</v>
      </c>
      <c r="BS730" t="s">
        <v>13794</v>
      </c>
      <c r="BT730" t="str">
        <f>HYPERLINK("https%3A%2F%2Fwww.webofscience.com%2Fwos%2Fwoscc%2Ffull-record%2FWOS:000659387500052","View Full Record in Web of Science")</f>
        <v>View Full Record in Web of Science</v>
      </c>
    </row>
    <row r="731" spans="1:72" x14ac:dyDescent="0.15">
      <c r="A731" t="s">
        <v>72</v>
      </c>
      <c r="B731" t="s">
        <v>13795</v>
      </c>
      <c r="C731" t="s">
        <v>74</v>
      </c>
      <c r="D731" t="s">
        <v>74</v>
      </c>
      <c r="E731" t="s">
        <v>74</v>
      </c>
      <c r="F731" t="s">
        <v>13796</v>
      </c>
      <c r="G731" t="s">
        <v>74</v>
      </c>
      <c r="H731" t="s">
        <v>74</v>
      </c>
      <c r="I731" t="s">
        <v>13797</v>
      </c>
      <c r="J731" t="s">
        <v>13798</v>
      </c>
      <c r="K731" t="s">
        <v>74</v>
      </c>
      <c r="L731" t="s">
        <v>74</v>
      </c>
      <c r="M731" t="s">
        <v>78</v>
      </c>
      <c r="N731" t="s">
        <v>79</v>
      </c>
      <c r="O731" t="s">
        <v>74</v>
      </c>
      <c r="P731" t="s">
        <v>74</v>
      </c>
      <c r="Q731" t="s">
        <v>74</v>
      </c>
      <c r="R731" t="s">
        <v>74</v>
      </c>
      <c r="S731" t="s">
        <v>74</v>
      </c>
      <c r="T731" t="s">
        <v>13799</v>
      </c>
      <c r="U731" t="s">
        <v>13800</v>
      </c>
      <c r="V731" t="s">
        <v>13801</v>
      </c>
      <c r="W731" t="s">
        <v>13802</v>
      </c>
      <c r="X731" t="s">
        <v>13803</v>
      </c>
      <c r="Y731" t="s">
        <v>13804</v>
      </c>
      <c r="Z731" t="s">
        <v>13805</v>
      </c>
      <c r="AA731" t="s">
        <v>13806</v>
      </c>
      <c r="AB731" t="s">
        <v>13807</v>
      </c>
      <c r="AC731" t="s">
        <v>13808</v>
      </c>
      <c r="AD731" t="s">
        <v>13809</v>
      </c>
      <c r="AE731" t="s">
        <v>13810</v>
      </c>
      <c r="AF731" t="s">
        <v>74</v>
      </c>
      <c r="AG731">
        <v>66</v>
      </c>
      <c r="AH731">
        <v>10</v>
      </c>
      <c r="AI731">
        <v>11</v>
      </c>
      <c r="AJ731">
        <v>1</v>
      </c>
      <c r="AK731">
        <v>11</v>
      </c>
      <c r="AL731" t="s">
        <v>1210</v>
      </c>
      <c r="AM731" t="s">
        <v>264</v>
      </c>
      <c r="AN731" t="s">
        <v>8391</v>
      </c>
      <c r="AO731" t="s">
        <v>13811</v>
      </c>
      <c r="AP731" t="s">
        <v>13812</v>
      </c>
      <c r="AQ731" t="s">
        <v>74</v>
      </c>
      <c r="AR731" t="s">
        <v>13813</v>
      </c>
      <c r="AS731" t="s">
        <v>13814</v>
      </c>
      <c r="AT731" t="s">
        <v>12678</v>
      </c>
      <c r="AU731">
        <v>2020</v>
      </c>
      <c r="AV731">
        <v>61</v>
      </c>
      <c r="AW731">
        <v>83</v>
      </c>
      <c r="AX731" t="s">
        <v>74</v>
      </c>
      <c r="AY731" t="s">
        <v>74</v>
      </c>
      <c r="AZ731" t="s">
        <v>74</v>
      </c>
      <c r="BA731" t="s">
        <v>74</v>
      </c>
      <c r="BB731">
        <v>241</v>
      </c>
      <c r="BC731">
        <v>259</v>
      </c>
      <c r="BD731" t="s">
        <v>13815</v>
      </c>
      <c r="BE731" t="s">
        <v>13816</v>
      </c>
      <c r="BF731" t="str">
        <f>HYPERLINK("http://dx.doi.org/10.1017/aog.2020.43","http://dx.doi.org/10.1017/aog.2020.43")</f>
        <v>http://dx.doi.org/10.1017/aog.2020.43</v>
      </c>
      <c r="BG731" t="s">
        <v>74</v>
      </c>
      <c r="BH731" t="s">
        <v>74</v>
      </c>
      <c r="BI731">
        <v>19</v>
      </c>
      <c r="BJ731" t="s">
        <v>156</v>
      </c>
      <c r="BK731" t="s">
        <v>103</v>
      </c>
      <c r="BL731" t="s">
        <v>157</v>
      </c>
      <c r="BM731" t="s">
        <v>13817</v>
      </c>
      <c r="BN731" t="s">
        <v>74</v>
      </c>
      <c r="BO731" t="s">
        <v>246</v>
      </c>
      <c r="BP731" t="s">
        <v>74</v>
      </c>
      <c r="BQ731" t="s">
        <v>74</v>
      </c>
      <c r="BR731" t="s">
        <v>106</v>
      </c>
      <c r="BS731" t="s">
        <v>13818</v>
      </c>
      <c r="BT731" t="str">
        <f>HYPERLINK("https%3A%2F%2Fwww.webofscience.com%2Fwos%2Fwoscc%2Ffull-record%2FWOS:000652595200001","View Full Record in Web of Science")</f>
        <v>View Full Record in Web of Science</v>
      </c>
    </row>
    <row r="732" spans="1:72" x14ac:dyDescent="0.15">
      <c r="A732" t="s">
        <v>72</v>
      </c>
      <c r="B732" t="s">
        <v>13819</v>
      </c>
      <c r="C732" t="s">
        <v>74</v>
      </c>
      <c r="D732" t="s">
        <v>74</v>
      </c>
      <c r="E732" t="s">
        <v>74</v>
      </c>
      <c r="F732" t="s">
        <v>13820</v>
      </c>
      <c r="G732" t="s">
        <v>74</v>
      </c>
      <c r="H732" t="s">
        <v>74</v>
      </c>
      <c r="I732" t="s">
        <v>13821</v>
      </c>
      <c r="J732" t="s">
        <v>13798</v>
      </c>
      <c r="K732" t="s">
        <v>74</v>
      </c>
      <c r="L732" t="s">
        <v>74</v>
      </c>
      <c r="M732" t="s">
        <v>78</v>
      </c>
      <c r="N732" t="s">
        <v>79</v>
      </c>
      <c r="O732" t="s">
        <v>74</v>
      </c>
      <c r="P732" t="s">
        <v>74</v>
      </c>
      <c r="Q732" t="s">
        <v>74</v>
      </c>
      <c r="R732" t="s">
        <v>74</v>
      </c>
      <c r="S732" t="s">
        <v>74</v>
      </c>
      <c r="T732" t="s">
        <v>13822</v>
      </c>
      <c r="U732" t="s">
        <v>13823</v>
      </c>
      <c r="V732" t="s">
        <v>13824</v>
      </c>
      <c r="W732" t="s">
        <v>13825</v>
      </c>
      <c r="X732" t="s">
        <v>13826</v>
      </c>
      <c r="Y732" t="s">
        <v>13827</v>
      </c>
      <c r="Z732" t="s">
        <v>13828</v>
      </c>
      <c r="AA732" t="s">
        <v>13829</v>
      </c>
      <c r="AB732" t="s">
        <v>13830</v>
      </c>
      <c r="AC732" t="s">
        <v>13831</v>
      </c>
      <c r="AD732" t="s">
        <v>13832</v>
      </c>
      <c r="AE732" t="s">
        <v>13833</v>
      </c>
      <c r="AF732" t="s">
        <v>74</v>
      </c>
      <c r="AG732">
        <v>85</v>
      </c>
      <c r="AH732">
        <v>14</v>
      </c>
      <c r="AI732">
        <v>15</v>
      </c>
      <c r="AJ732">
        <v>1</v>
      </c>
      <c r="AK732">
        <v>12</v>
      </c>
      <c r="AL732" t="s">
        <v>1210</v>
      </c>
      <c r="AM732" t="s">
        <v>264</v>
      </c>
      <c r="AN732" t="s">
        <v>8391</v>
      </c>
      <c r="AO732" t="s">
        <v>13811</v>
      </c>
      <c r="AP732" t="s">
        <v>13812</v>
      </c>
      <c r="AQ732" t="s">
        <v>74</v>
      </c>
      <c r="AR732" t="s">
        <v>13813</v>
      </c>
      <c r="AS732" t="s">
        <v>13814</v>
      </c>
      <c r="AT732" t="s">
        <v>12678</v>
      </c>
      <c r="AU732">
        <v>2020</v>
      </c>
      <c r="AV732">
        <v>61</v>
      </c>
      <c r="AW732">
        <v>83</v>
      </c>
      <c r="AX732" t="s">
        <v>74</v>
      </c>
      <c r="AY732" t="s">
        <v>74</v>
      </c>
      <c r="AZ732" t="s">
        <v>74</v>
      </c>
      <c r="BA732" t="s">
        <v>74</v>
      </c>
      <c r="BB732">
        <v>284</v>
      </c>
      <c r="BC732">
        <v>298</v>
      </c>
      <c r="BD732" t="s">
        <v>13834</v>
      </c>
      <c r="BE732" t="s">
        <v>13835</v>
      </c>
      <c r="BF732" t="str">
        <f>HYPERLINK("http://dx.doi.org/10.1017/aog.2020.48","http://dx.doi.org/10.1017/aog.2020.48")</f>
        <v>http://dx.doi.org/10.1017/aog.2020.48</v>
      </c>
      <c r="BG732" t="s">
        <v>74</v>
      </c>
      <c r="BH732" t="s">
        <v>74</v>
      </c>
      <c r="BI732">
        <v>15</v>
      </c>
      <c r="BJ732" t="s">
        <v>156</v>
      </c>
      <c r="BK732" t="s">
        <v>103</v>
      </c>
      <c r="BL732" t="s">
        <v>157</v>
      </c>
      <c r="BM732" t="s">
        <v>13817</v>
      </c>
      <c r="BN732" t="s">
        <v>74</v>
      </c>
      <c r="BO732" t="s">
        <v>326</v>
      </c>
      <c r="BP732" t="s">
        <v>74</v>
      </c>
      <c r="BQ732" t="s">
        <v>74</v>
      </c>
      <c r="BR732" t="s">
        <v>106</v>
      </c>
      <c r="BS732" t="s">
        <v>13836</v>
      </c>
      <c r="BT732" t="str">
        <f>HYPERLINK("https%3A%2F%2Fwww.webofscience.com%2Fwos%2Fwoscc%2Ffull-record%2FWOS:000652595200004","View Full Record in Web of Science")</f>
        <v>View Full Record in Web of Science</v>
      </c>
    </row>
    <row r="733" spans="1:72" x14ac:dyDescent="0.15">
      <c r="A733" t="s">
        <v>72</v>
      </c>
      <c r="B733" t="s">
        <v>13837</v>
      </c>
      <c r="C733" t="s">
        <v>74</v>
      </c>
      <c r="D733" t="s">
        <v>74</v>
      </c>
      <c r="E733" t="s">
        <v>74</v>
      </c>
      <c r="F733" t="s">
        <v>13838</v>
      </c>
      <c r="G733" t="s">
        <v>74</v>
      </c>
      <c r="H733" t="s">
        <v>74</v>
      </c>
      <c r="I733" t="s">
        <v>13839</v>
      </c>
      <c r="J733" t="s">
        <v>13798</v>
      </c>
      <c r="K733" t="s">
        <v>74</v>
      </c>
      <c r="L733" t="s">
        <v>74</v>
      </c>
      <c r="M733" t="s">
        <v>78</v>
      </c>
      <c r="N733" t="s">
        <v>79</v>
      </c>
      <c r="O733" t="s">
        <v>74</v>
      </c>
      <c r="P733" t="s">
        <v>74</v>
      </c>
      <c r="Q733" t="s">
        <v>74</v>
      </c>
      <c r="R733" t="s">
        <v>74</v>
      </c>
      <c r="S733" t="s">
        <v>74</v>
      </c>
      <c r="T733" t="s">
        <v>13840</v>
      </c>
      <c r="U733" t="s">
        <v>13841</v>
      </c>
      <c r="V733" t="s">
        <v>13842</v>
      </c>
      <c r="W733" t="s">
        <v>13843</v>
      </c>
      <c r="X733" t="s">
        <v>13844</v>
      </c>
      <c r="Y733" t="s">
        <v>13845</v>
      </c>
      <c r="Z733" t="s">
        <v>13846</v>
      </c>
      <c r="AA733" t="s">
        <v>13847</v>
      </c>
      <c r="AB733" t="s">
        <v>13848</v>
      </c>
      <c r="AC733" t="s">
        <v>13849</v>
      </c>
      <c r="AD733" t="s">
        <v>13850</v>
      </c>
      <c r="AE733" t="s">
        <v>13851</v>
      </c>
      <c r="AF733" t="s">
        <v>74</v>
      </c>
      <c r="AG733">
        <v>347</v>
      </c>
      <c r="AH733">
        <v>29</v>
      </c>
      <c r="AI733">
        <v>31</v>
      </c>
      <c r="AJ733">
        <v>4</v>
      </c>
      <c r="AK733">
        <v>21</v>
      </c>
      <c r="AL733" t="s">
        <v>1210</v>
      </c>
      <c r="AM733" t="s">
        <v>264</v>
      </c>
      <c r="AN733" t="s">
        <v>8391</v>
      </c>
      <c r="AO733" t="s">
        <v>13811</v>
      </c>
      <c r="AP733" t="s">
        <v>13812</v>
      </c>
      <c r="AQ733" t="s">
        <v>74</v>
      </c>
      <c r="AR733" t="s">
        <v>13813</v>
      </c>
      <c r="AS733" t="s">
        <v>13814</v>
      </c>
      <c r="AT733" t="s">
        <v>12678</v>
      </c>
      <c r="AU733">
        <v>2020</v>
      </c>
      <c r="AV733">
        <v>61</v>
      </c>
      <c r="AW733">
        <v>83</v>
      </c>
      <c r="AX733" t="s">
        <v>74</v>
      </c>
      <c r="AY733" t="s">
        <v>74</v>
      </c>
      <c r="AZ733" t="s">
        <v>74</v>
      </c>
      <c r="BA733" t="s">
        <v>74</v>
      </c>
      <c r="BB733">
        <v>341</v>
      </c>
      <c r="BC733">
        <v>368</v>
      </c>
      <c r="BD733" t="s">
        <v>13852</v>
      </c>
      <c r="BE733" t="s">
        <v>13853</v>
      </c>
      <c r="BF733" t="str">
        <f>HYPERLINK("http://dx.doi.org/10.1017/aog.2020.54","http://dx.doi.org/10.1017/aog.2020.54")</f>
        <v>http://dx.doi.org/10.1017/aog.2020.54</v>
      </c>
      <c r="BG733" t="s">
        <v>74</v>
      </c>
      <c r="BH733" t="s">
        <v>74</v>
      </c>
      <c r="BI733">
        <v>28</v>
      </c>
      <c r="BJ733" t="s">
        <v>156</v>
      </c>
      <c r="BK733" t="s">
        <v>103</v>
      </c>
      <c r="BL733" t="s">
        <v>157</v>
      </c>
      <c r="BM733" t="s">
        <v>13817</v>
      </c>
      <c r="BN733" t="s">
        <v>74</v>
      </c>
      <c r="BO733" t="s">
        <v>1105</v>
      </c>
      <c r="BP733" t="s">
        <v>74</v>
      </c>
      <c r="BQ733" t="s">
        <v>74</v>
      </c>
      <c r="BR733" t="s">
        <v>106</v>
      </c>
      <c r="BS733" t="s">
        <v>13854</v>
      </c>
      <c r="BT733" t="str">
        <f>HYPERLINK("https%3A%2F%2Fwww.webofscience.com%2Fwos%2Fwoscc%2Ffull-record%2FWOS:000652595200008","View Full Record in Web of Science")</f>
        <v>View Full Record in Web of Science</v>
      </c>
    </row>
    <row r="734" spans="1:72" x14ac:dyDescent="0.15">
      <c r="A734" t="s">
        <v>72</v>
      </c>
      <c r="B734" t="s">
        <v>13855</v>
      </c>
      <c r="C734" t="s">
        <v>74</v>
      </c>
      <c r="D734" t="s">
        <v>74</v>
      </c>
      <c r="E734" t="s">
        <v>74</v>
      </c>
      <c r="F734" t="s">
        <v>13856</v>
      </c>
      <c r="G734" t="s">
        <v>74</v>
      </c>
      <c r="H734" t="s">
        <v>74</v>
      </c>
      <c r="I734" t="s">
        <v>13857</v>
      </c>
      <c r="J734" t="s">
        <v>13798</v>
      </c>
      <c r="K734" t="s">
        <v>74</v>
      </c>
      <c r="L734" t="s">
        <v>74</v>
      </c>
      <c r="M734" t="s">
        <v>78</v>
      </c>
      <c r="N734" t="s">
        <v>79</v>
      </c>
      <c r="O734" t="s">
        <v>74</v>
      </c>
      <c r="P734" t="s">
        <v>74</v>
      </c>
      <c r="Q734" t="s">
        <v>74</v>
      </c>
      <c r="R734" t="s">
        <v>74</v>
      </c>
      <c r="S734" t="s">
        <v>74</v>
      </c>
      <c r="T734" t="s">
        <v>13858</v>
      </c>
      <c r="U734" t="s">
        <v>13859</v>
      </c>
      <c r="V734" t="s">
        <v>13860</v>
      </c>
      <c r="W734" t="s">
        <v>13861</v>
      </c>
      <c r="X734" t="s">
        <v>13862</v>
      </c>
      <c r="Y734" t="s">
        <v>13863</v>
      </c>
      <c r="Z734" t="s">
        <v>13864</v>
      </c>
      <c r="AA734" t="s">
        <v>74</v>
      </c>
      <c r="AB734" t="s">
        <v>13865</v>
      </c>
      <c r="AC734" t="s">
        <v>13866</v>
      </c>
      <c r="AD734" t="s">
        <v>13867</v>
      </c>
      <c r="AE734" t="s">
        <v>13868</v>
      </c>
      <c r="AF734" t="s">
        <v>74</v>
      </c>
      <c r="AG734">
        <v>29</v>
      </c>
      <c r="AH734">
        <v>4</v>
      </c>
      <c r="AI734">
        <v>5</v>
      </c>
      <c r="AJ734">
        <v>3</v>
      </c>
      <c r="AK734">
        <v>19</v>
      </c>
      <c r="AL734" t="s">
        <v>1210</v>
      </c>
      <c r="AM734" t="s">
        <v>264</v>
      </c>
      <c r="AN734" t="s">
        <v>8391</v>
      </c>
      <c r="AO734" t="s">
        <v>13811</v>
      </c>
      <c r="AP734" t="s">
        <v>13812</v>
      </c>
      <c r="AQ734" t="s">
        <v>74</v>
      </c>
      <c r="AR734" t="s">
        <v>13813</v>
      </c>
      <c r="AS734" t="s">
        <v>13814</v>
      </c>
      <c r="AT734" t="s">
        <v>12678</v>
      </c>
      <c r="AU734">
        <v>2020</v>
      </c>
      <c r="AV734">
        <v>61</v>
      </c>
      <c r="AW734">
        <v>83</v>
      </c>
      <c r="AX734" t="s">
        <v>74</v>
      </c>
      <c r="AY734" t="s">
        <v>74</v>
      </c>
      <c r="AZ734" t="s">
        <v>74</v>
      </c>
      <c r="BA734" t="s">
        <v>74</v>
      </c>
      <c r="BB734">
        <v>369</v>
      </c>
      <c r="BC734">
        <v>378</v>
      </c>
      <c r="BD734" t="s">
        <v>13869</v>
      </c>
      <c r="BE734" t="s">
        <v>13870</v>
      </c>
      <c r="BF734" t="str">
        <f>HYPERLINK("http://dx.doi.org/10.1017/aog.2020.55","http://dx.doi.org/10.1017/aog.2020.55")</f>
        <v>http://dx.doi.org/10.1017/aog.2020.55</v>
      </c>
      <c r="BG734" t="s">
        <v>74</v>
      </c>
      <c r="BH734" t="s">
        <v>74</v>
      </c>
      <c r="BI734">
        <v>10</v>
      </c>
      <c r="BJ734" t="s">
        <v>156</v>
      </c>
      <c r="BK734" t="s">
        <v>103</v>
      </c>
      <c r="BL734" t="s">
        <v>157</v>
      </c>
      <c r="BM734" t="s">
        <v>13817</v>
      </c>
      <c r="BN734" t="s">
        <v>74</v>
      </c>
      <c r="BO734" t="s">
        <v>326</v>
      </c>
      <c r="BP734" t="s">
        <v>74</v>
      </c>
      <c r="BQ734" t="s">
        <v>74</v>
      </c>
      <c r="BR734" t="s">
        <v>106</v>
      </c>
      <c r="BS734" t="s">
        <v>13871</v>
      </c>
      <c r="BT734" t="str">
        <f>HYPERLINK("https%3A%2F%2Fwww.webofscience.com%2Fwos%2Fwoscc%2Ffull-record%2FWOS:000652595200009","View Full Record in Web of Science")</f>
        <v>View Full Record in Web of Science</v>
      </c>
    </row>
    <row r="735" spans="1:72" x14ac:dyDescent="0.15">
      <c r="A735" t="s">
        <v>72</v>
      </c>
      <c r="B735" t="s">
        <v>13872</v>
      </c>
      <c r="C735" t="s">
        <v>74</v>
      </c>
      <c r="D735" t="s">
        <v>74</v>
      </c>
      <c r="E735" t="s">
        <v>74</v>
      </c>
      <c r="F735" t="s">
        <v>13873</v>
      </c>
      <c r="G735" t="s">
        <v>74</v>
      </c>
      <c r="H735" t="s">
        <v>74</v>
      </c>
      <c r="I735" t="s">
        <v>13874</v>
      </c>
      <c r="J735" t="s">
        <v>13798</v>
      </c>
      <c r="K735" t="s">
        <v>74</v>
      </c>
      <c r="L735" t="s">
        <v>74</v>
      </c>
      <c r="M735" t="s">
        <v>78</v>
      </c>
      <c r="N735" t="s">
        <v>79</v>
      </c>
      <c r="O735" t="s">
        <v>74</v>
      </c>
      <c r="P735" t="s">
        <v>74</v>
      </c>
      <c r="Q735" t="s">
        <v>74</v>
      </c>
      <c r="R735" t="s">
        <v>74</v>
      </c>
      <c r="S735" t="s">
        <v>74</v>
      </c>
      <c r="T735" t="s">
        <v>13875</v>
      </c>
      <c r="U735" t="s">
        <v>13876</v>
      </c>
      <c r="V735" t="s">
        <v>13877</v>
      </c>
      <c r="W735" t="s">
        <v>13878</v>
      </c>
      <c r="X735" t="s">
        <v>13879</v>
      </c>
      <c r="Y735" t="s">
        <v>13880</v>
      </c>
      <c r="Z735" t="s">
        <v>13881</v>
      </c>
      <c r="AA735" t="s">
        <v>13882</v>
      </c>
      <c r="AB735" t="s">
        <v>13883</v>
      </c>
      <c r="AC735" t="s">
        <v>13884</v>
      </c>
      <c r="AD735" t="s">
        <v>13885</v>
      </c>
      <c r="AE735" t="s">
        <v>13886</v>
      </c>
      <c r="AF735" t="s">
        <v>74</v>
      </c>
      <c r="AG735">
        <v>48</v>
      </c>
      <c r="AH735">
        <v>4</v>
      </c>
      <c r="AI735">
        <v>4</v>
      </c>
      <c r="AJ735">
        <v>1</v>
      </c>
      <c r="AK735">
        <v>2</v>
      </c>
      <c r="AL735" t="s">
        <v>1210</v>
      </c>
      <c r="AM735" t="s">
        <v>264</v>
      </c>
      <c r="AN735" t="s">
        <v>8391</v>
      </c>
      <c r="AO735" t="s">
        <v>13811</v>
      </c>
      <c r="AP735" t="s">
        <v>13812</v>
      </c>
      <c r="AQ735" t="s">
        <v>74</v>
      </c>
      <c r="AR735" t="s">
        <v>13813</v>
      </c>
      <c r="AS735" t="s">
        <v>13814</v>
      </c>
      <c r="AT735" t="s">
        <v>12678</v>
      </c>
      <c r="AU735">
        <v>2020</v>
      </c>
      <c r="AV735">
        <v>61</v>
      </c>
      <c r="AW735">
        <v>83</v>
      </c>
      <c r="AX735" t="s">
        <v>74</v>
      </c>
      <c r="AY735" t="s">
        <v>74</v>
      </c>
      <c r="AZ735" t="s">
        <v>74</v>
      </c>
      <c r="BA735" t="s">
        <v>74</v>
      </c>
      <c r="BB735">
        <v>454</v>
      </c>
      <c r="BC735">
        <v>463</v>
      </c>
      <c r="BD735" t="s">
        <v>13887</v>
      </c>
      <c r="BE735" t="s">
        <v>13888</v>
      </c>
      <c r="BF735" t="str">
        <f>HYPERLINK("http://dx.doi.org/10.1017/aog.2020.69","http://dx.doi.org/10.1017/aog.2020.69")</f>
        <v>http://dx.doi.org/10.1017/aog.2020.69</v>
      </c>
      <c r="BG735" t="s">
        <v>74</v>
      </c>
      <c r="BH735" t="s">
        <v>74</v>
      </c>
      <c r="BI735">
        <v>10</v>
      </c>
      <c r="BJ735" t="s">
        <v>156</v>
      </c>
      <c r="BK735" t="s">
        <v>103</v>
      </c>
      <c r="BL735" t="s">
        <v>157</v>
      </c>
      <c r="BM735" t="s">
        <v>13817</v>
      </c>
      <c r="BN735" t="s">
        <v>74</v>
      </c>
      <c r="BO735" t="s">
        <v>1105</v>
      </c>
      <c r="BP735" t="s">
        <v>74</v>
      </c>
      <c r="BQ735" t="s">
        <v>74</v>
      </c>
      <c r="BR735" t="s">
        <v>106</v>
      </c>
      <c r="BS735" t="s">
        <v>13889</v>
      </c>
      <c r="BT735" t="str">
        <f>HYPERLINK("https%3A%2F%2Fwww.webofscience.com%2Fwos%2Fwoscc%2Ffull-record%2FWOS:000652595200016","View Full Record in Web of Science")</f>
        <v>View Full Record in Web of Science</v>
      </c>
    </row>
    <row r="736" spans="1:72" x14ac:dyDescent="0.15">
      <c r="A736" t="s">
        <v>72</v>
      </c>
      <c r="B736" t="s">
        <v>13890</v>
      </c>
      <c r="C736" t="s">
        <v>74</v>
      </c>
      <c r="D736" t="s">
        <v>74</v>
      </c>
      <c r="E736" t="s">
        <v>74</v>
      </c>
      <c r="F736" t="s">
        <v>13890</v>
      </c>
      <c r="G736" t="s">
        <v>74</v>
      </c>
      <c r="H736" t="s">
        <v>74</v>
      </c>
      <c r="I736" t="s">
        <v>13891</v>
      </c>
      <c r="J736" t="s">
        <v>13892</v>
      </c>
      <c r="K736" t="s">
        <v>74</v>
      </c>
      <c r="L736" t="s">
        <v>74</v>
      </c>
      <c r="M736" t="s">
        <v>5447</v>
      </c>
      <c r="N736" t="s">
        <v>79</v>
      </c>
      <c r="O736" t="s">
        <v>74</v>
      </c>
      <c r="P736" t="s">
        <v>74</v>
      </c>
      <c r="Q736" t="s">
        <v>74</v>
      </c>
      <c r="R736" t="s">
        <v>74</v>
      </c>
      <c r="S736" t="s">
        <v>74</v>
      </c>
      <c r="T736" t="s">
        <v>13893</v>
      </c>
      <c r="U736" t="s">
        <v>74</v>
      </c>
      <c r="V736" t="s">
        <v>13894</v>
      </c>
      <c r="W736" t="s">
        <v>13895</v>
      </c>
      <c r="X736" t="s">
        <v>13896</v>
      </c>
      <c r="Y736" t="s">
        <v>13897</v>
      </c>
      <c r="Z736" t="s">
        <v>13898</v>
      </c>
      <c r="AA736" t="s">
        <v>13899</v>
      </c>
      <c r="AB736" t="s">
        <v>13900</v>
      </c>
      <c r="AC736" t="s">
        <v>74</v>
      </c>
      <c r="AD736" t="s">
        <v>74</v>
      </c>
      <c r="AE736" t="s">
        <v>74</v>
      </c>
      <c r="AF736" t="s">
        <v>74</v>
      </c>
      <c r="AG736">
        <v>15</v>
      </c>
      <c r="AH736">
        <v>0</v>
      </c>
      <c r="AI736">
        <v>0</v>
      </c>
      <c r="AJ736">
        <v>0</v>
      </c>
      <c r="AK736">
        <v>5</v>
      </c>
      <c r="AL736" t="s">
        <v>13901</v>
      </c>
      <c r="AM736" t="s">
        <v>5461</v>
      </c>
      <c r="AN736" t="s">
        <v>13902</v>
      </c>
      <c r="AO736" t="s">
        <v>13903</v>
      </c>
      <c r="AP736" t="s">
        <v>74</v>
      </c>
      <c r="AQ736" t="s">
        <v>74</v>
      </c>
      <c r="AR736" t="s">
        <v>13904</v>
      </c>
      <c r="AS736" t="s">
        <v>13905</v>
      </c>
      <c r="AT736" t="s">
        <v>12678</v>
      </c>
      <c r="AU736">
        <v>2020</v>
      </c>
      <c r="AV736" t="s">
        <v>74</v>
      </c>
      <c r="AW736">
        <v>7</v>
      </c>
      <c r="AX736" t="s">
        <v>74</v>
      </c>
      <c r="AY736" t="s">
        <v>74</v>
      </c>
      <c r="AZ736" t="s">
        <v>74</v>
      </c>
      <c r="BA736" t="s">
        <v>74</v>
      </c>
      <c r="BB736">
        <v>207</v>
      </c>
      <c r="BC736">
        <v>217</v>
      </c>
      <c r="BD736" t="s">
        <v>74</v>
      </c>
      <c r="BE736" t="s">
        <v>13906</v>
      </c>
      <c r="BF736" t="str">
        <f>HYPERLINK("http://dx.doi.org/10.15211/soveurope72020227237","http://dx.doi.org/10.15211/soveurope72020227237")</f>
        <v>http://dx.doi.org/10.15211/soveurope72020227237</v>
      </c>
      <c r="BG736" t="s">
        <v>74</v>
      </c>
      <c r="BH736" t="s">
        <v>74</v>
      </c>
      <c r="BI736">
        <v>11</v>
      </c>
      <c r="BJ736" t="s">
        <v>7100</v>
      </c>
      <c r="BK736" t="s">
        <v>3050</v>
      </c>
      <c r="BL736" t="s">
        <v>7100</v>
      </c>
      <c r="BM736" t="s">
        <v>13907</v>
      </c>
      <c r="BN736" t="s">
        <v>74</v>
      </c>
      <c r="BO736" t="s">
        <v>326</v>
      </c>
      <c r="BP736" t="s">
        <v>74</v>
      </c>
      <c r="BQ736" t="s">
        <v>74</v>
      </c>
      <c r="BR736" t="s">
        <v>106</v>
      </c>
      <c r="BS736" t="s">
        <v>13908</v>
      </c>
      <c r="BT736" t="str">
        <f>HYPERLINK("https%3A%2F%2Fwww.webofscience.com%2Fwos%2Fwoscc%2Ffull-record%2FWOS:000646087800020","View Full Record in Web of Science")</f>
        <v>View Full Record in Web of Science</v>
      </c>
    </row>
    <row r="737" spans="1:72" x14ac:dyDescent="0.15">
      <c r="A737" t="s">
        <v>72</v>
      </c>
      <c r="B737" t="s">
        <v>13909</v>
      </c>
      <c r="C737" t="s">
        <v>74</v>
      </c>
      <c r="D737" t="s">
        <v>74</v>
      </c>
      <c r="E737" t="s">
        <v>74</v>
      </c>
      <c r="F737" t="s">
        <v>13910</v>
      </c>
      <c r="G737" t="s">
        <v>74</v>
      </c>
      <c r="H737" t="s">
        <v>74</v>
      </c>
      <c r="I737" t="s">
        <v>13911</v>
      </c>
      <c r="J737" t="s">
        <v>13912</v>
      </c>
      <c r="K737" t="s">
        <v>74</v>
      </c>
      <c r="L737" t="s">
        <v>74</v>
      </c>
      <c r="M737" t="s">
        <v>78</v>
      </c>
      <c r="N737" t="s">
        <v>79</v>
      </c>
      <c r="O737" t="s">
        <v>74</v>
      </c>
      <c r="P737" t="s">
        <v>74</v>
      </c>
      <c r="Q737" t="s">
        <v>74</v>
      </c>
      <c r="R737" t="s">
        <v>74</v>
      </c>
      <c r="S737" t="s">
        <v>74</v>
      </c>
      <c r="T737" t="s">
        <v>13913</v>
      </c>
      <c r="U737" t="s">
        <v>13914</v>
      </c>
      <c r="V737" t="s">
        <v>13915</v>
      </c>
      <c r="W737" t="s">
        <v>13916</v>
      </c>
      <c r="X737" t="s">
        <v>13917</v>
      </c>
      <c r="Y737" t="s">
        <v>13918</v>
      </c>
      <c r="Z737" t="s">
        <v>13919</v>
      </c>
      <c r="AA737" t="s">
        <v>13920</v>
      </c>
      <c r="AB737" t="s">
        <v>13921</v>
      </c>
      <c r="AC737" t="s">
        <v>13922</v>
      </c>
      <c r="AD737" t="s">
        <v>13923</v>
      </c>
      <c r="AE737" t="s">
        <v>13924</v>
      </c>
      <c r="AF737" t="s">
        <v>74</v>
      </c>
      <c r="AG737">
        <v>133</v>
      </c>
      <c r="AH737">
        <v>17</v>
      </c>
      <c r="AI737">
        <v>17</v>
      </c>
      <c r="AJ737">
        <v>1</v>
      </c>
      <c r="AK737">
        <v>14</v>
      </c>
      <c r="AL737" t="s">
        <v>92</v>
      </c>
      <c r="AM737" t="s">
        <v>93</v>
      </c>
      <c r="AN737" t="s">
        <v>94</v>
      </c>
      <c r="AO737" t="s">
        <v>13925</v>
      </c>
      <c r="AP737" t="s">
        <v>74</v>
      </c>
      <c r="AQ737" t="s">
        <v>74</v>
      </c>
      <c r="AR737" t="s">
        <v>13912</v>
      </c>
      <c r="AS737" t="s">
        <v>13926</v>
      </c>
      <c r="AT737" t="s">
        <v>12678</v>
      </c>
      <c r="AU737">
        <v>2020</v>
      </c>
      <c r="AV737">
        <v>25</v>
      </c>
      <c r="AW737" t="s">
        <v>74</v>
      </c>
      <c r="AX737" t="s">
        <v>74</v>
      </c>
      <c r="AY737" t="s">
        <v>74</v>
      </c>
      <c r="AZ737" t="s">
        <v>74</v>
      </c>
      <c r="BA737" t="s">
        <v>74</v>
      </c>
      <c r="BB737" t="s">
        <v>74</v>
      </c>
      <c r="BC737" t="s">
        <v>74</v>
      </c>
      <c r="BD737" t="s">
        <v>13927</v>
      </c>
      <c r="BE737" t="s">
        <v>13928</v>
      </c>
      <c r="BF737" t="str">
        <f>HYPERLINK("http://dx.doi.org/10.1016/j.fooweb.2020.e00166","http://dx.doi.org/10.1016/j.fooweb.2020.e00166")</f>
        <v>http://dx.doi.org/10.1016/j.fooweb.2020.e00166</v>
      </c>
      <c r="BG737" t="s">
        <v>74</v>
      </c>
      <c r="BH737" t="s">
        <v>74</v>
      </c>
      <c r="BI737">
        <v>14</v>
      </c>
      <c r="BJ737" t="s">
        <v>1052</v>
      </c>
      <c r="BK737" t="s">
        <v>103</v>
      </c>
      <c r="BL737" t="s">
        <v>1053</v>
      </c>
      <c r="BM737" t="s">
        <v>13929</v>
      </c>
      <c r="BN737" t="s">
        <v>74</v>
      </c>
      <c r="BO737" t="s">
        <v>561</v>
      </c>
      <c r="BP737" t="s">
        <v>74</v>
      </c>
      <c r="BQ737" t="s">
        <v>74</v>
      </c>
      <c r="BR737" t="s">
        <v>106</v>
      </c>
      <c r="BS737" t="s">
        <v>13930</v>
      </c>
      <c r="BT737" t="str">
        <f>HYPERLINK("https%3A%2F%2Fwww.webofscience.com%2Fwos%2Fwoscc%2Ffull-record%2FWOS:000646861800007","View Full Record in Web of Science")</f>
        <v>View Full Record in Web of Science</v>
      </c>
    </row>
    <row r="738" spans="1:72" x14ac:dyDescent="0.15">
      <c r="A738" t="s">
        <v>72</v>
      </c>
      <c r="B738" t="s">
        <v>13931</v>
      </c>
      <c r="C738" t="s">
        <v>74</v>
      </c>
      <c r="D738" t="s">
        <v>74</v>
      </c>
      <c r="E738" t="s">
        <v>74</v>
      </c>
      <c r="F738" t="s">
        <v>13932</v>
      </c>
      <c r="G738" t="s">
        <v>74</v>
      </c>
      <c r="H738" t="s">
        <v>74</v>
      </c>
      <c r="I738" t="s">
        <v>13933</v>
      </c>
      <c r="J738" t="s">
        <v>13934</v>
      </c>
      <c r="K738" t="s">
        <v>74</v>
      </c>
      <c r="L738" t="s">
        <v>74</v>
      </c>
      <c r="M738" t="s">
        <v>4693</v>
      </c>
      <c r="N738" t="s">
        <v>141</v>
      </c>
      <c r="O738" t="s">
        <v>74</v>
      </c>
      <c r="P738" t="s">
        <v>74</v>
      </c>
      <c r="Q738" t="s">
        <v>74</v>
      </c>
      <c r="R738" t="s">
        <v>74</v>
      </c>
      <c r="S738" t="s">
        <v>74</v>
      </c>
      <c r="T738" t="s">
        <v>13935</v>
      </c>
      <c r="U738" t="s">
        <v>13936</v>
      </c>
      <c r="V738" t="s">
        <v>13937</v>
      </c>
      <c r="W738" t="s">
        <v>13938</v>
      </c>
      <c r="X738" t="s">
        <v>4483</v>
      </c>
      <c r="Y738" t="s">
        <v>13939</v>
      </c>
      <c r="Z738" t="s">
        <v>13940</v>
      </c>
      <c r="AA738" t="s">
        <v>74</v>
      </c>
      <c r="AB738" t="s">
        <v>74</v>
      </c>
      <c r="AC738" t="s">
        <v>74</v>
      </c>
      <c r="AD738" t="s">
        <v>74</v>
      </c>
      <c r="AE738" t="s">
        <v>74</v>
      </c>
      <c r="AF738" t="s">
        <v>74</v>
      </c>
      <c r="AG738">
        <v>141</v>
      </c>
      <c r="AH738">
        <v>2</v>
      </c>
      <c r="AI738">
        <v>2</v>
      </c>
      <c r="AJ738">
        <v>1</v>
      </c>
      <c r="AK738">
        <v>5</v>
      </c>
      <c r="AL738" t="s">
        <v>13941</v>
      </c>
      <c r="AM738" t="s">
        <v>13942</v>
      </c>
      <c r="AN738" t="s">
        <v>13943</v>
      </c>
      <c r="AO738" t="s">
        <v>13944</v>
      </c>
      <c r="AP738" t="s">
        <v>13945</v>
      </c>
      <c r="AQ738" t="s">
        <v>74</v>
      </c>
      <c r="AR738" t="s">
        <v>13946</v>
      </c>
      <c r="AS738" t="s">
        <v>13947</v>
      </c>
      <c r="AT738" t="s">
        <v>12678</v>
      </c>
      <c r="AU738">
        <v>2020</v>
      </c>
      <c r="AV738">
        <v>77</v>
      </c>
      <c r="AW738">
        <v>2</v>
      </c>
      <c r="AX738" t="s">
        <v>74</v>
      </c>
      <c r="AY738" t="s">
        <v>74</v>
      </c>
      <c r="AZ738" t="s">
        <v>74</v>
      </c>
      <c r="BA738" t="s">
        <v>74</v>
      </c>
      <c r="BB738">
        <v>73</v>
      </c>
      <c r="BC738">
        <v>114</v>
      </c>
      <c r="BD738" t="s">
        <v>74</v>
      </c>
      <c r="BE738" t="s">
        <v>74</v>
      </c>
      <c r="BF738" t="s">
        <v>74</v>
      </c>
      <c r="BG738" t="s">
        <v>74</v>
      </c>
      <c r="BH738" t="s">
        <v>74</v>
      </c>
      <c r="BI738">
        <v>42</v>
      </c>
      <c r="BJ738" t="s">
        <v>7174</v>
      </c>
      <c r="BK738" t="s">
        <v>103</v>
      </c>
      <c r="BL738" t="s">
        <v>7174</v>
      </c>
      <c r="BM738" t="s">
        <v>13948</v>
      </c>
      <c r="BN738" t="s">
        <v>74</v>
      </c>
      <c r="BO738" t="s">
        <v>74</v>
      </c>
      <c r="BP738" t="s">
        <v>74</v>
      </c>
      <c r="BQ738" t="s">
        <v>74</v>
      </c>
      <c r="BR738" t="s">
        <v>106</v>
      </c>
      <c r="BS738" t="s">
        <v>13949</v>
      </c>
      <c r="BT738" t="str">
        <f>HYPERLINK("https%3A%2F%2Fwww.webofscience.com%2Fwos%2Fwoscc%2Ffull-record%2FWOS:000631282000001","View Full Record in Web of Science")</f>
        <v>View Full Record in Web of Science</v>
      </c>
    </row>
    <row r="739" spans="1:72" x14ac:dyDescent="0.15">
      <c r="A739" t="s">
        <v>72</v>
      </c>
      <c r="B739" t="s">
        <v>13950</v>
      </c>
      <c r="C739" t="s">
        <v>74</v>
      </c>
      <c r="D739" t="s">
        <v>74</v>
      </c>
      <c r="E739" t="s">
        <v>74</v>
      </c>
      <c r="F739" t="s">
        <v>13951</v>
      </c>
      <c r="G739" t="s">
        <v>74</v>
      </c>
      <c r="H739" t="s">
        <v>74</v>
      </c>
      <c r="I739" t="s">
        <v>13952</v>
      </c>
      <c r="J739" t="s">
        <v>13953</v>
      </c>
      <c r="K739" t="s">
        <v>74</v>
      </c>
      <c r="L739" t="s">
        <v>74</v>
      </c>
      <c r="M739" t="s">
        <v>78</v>
      </c>
      <c r="N739" t="s">
        <v>79</v>
      </c>
      <c r="O739" t="s">
        <v>74</v>
      </c>
      <c r="P739" t="s">
        <v>74</v>
      </c>
      <c r="Q739" t="s">
        <v>74</v>
      </c>
      <c r="R739" t="s">
        <v>74</v>
      </c>
      <c r="S739" t="s">
        <v>74</v>
      </c>
      <c r="T739" t="s">
        <v>13954</v>
      </c>
      <c r="U739" t="s">
        <v>13955</v>
      </c>
      <c r="V739" t="s">
        <v>13956</v>
      </c>
      <c r="W739" t="s">
        <v>13957</v>
      </c>
      <c r="X739" t="s">
        <v>13958</v>
      </c>
      <c r="Y739" t="s">
        <v>13959</v>
      </c>
      <c r="Z739" t="s">
        <v>13960</v>
      </c>
      <c r="AA739" t="s">
        <v>13961</v>
      </c>
      <c r="AB739" t="s">
        <v>13962</v>
      </c>
      <c r="AC739" t="s">
        <v>13963</v>
      </c>
      <c r="AD739" t="s">
        <v>13964</v>
      </c>
      <c r="AE739" t="s">
        <v>13965</v>
      </c>
      <c r="AF739" t="s">
        <v>74</v>
      </c>
      <c r="AG739">
        <v>28</v>
      </c>
      <c r="AH739">
        <v>1</v>
      </c>
      <c r="AI739">
        <v>1</v>
      </c>
      <c r="AJ739">
        <v>0</v>
      </c>
      <c r="AK739">
        <v>2</v>
      </c>
      <c r="AL739" t="s">
        <v>7510</v>
      </c>
      <c r="AM739" t="s">
        <v>473</v>
      </c>
      <c r="AN739" t="s">
        <v>7511</v>
      </c>
      <c r="AO739" t="s">
        <v>13966</v>
      </c>
      <c r="AP739" t="s">
        <v>13967</v>
      </c>
      <c r="AQ739" t="s">
        <v>74</v>
      </c>
      <c r="AR739" t="s">
        <v>13968</v>
      </c>
      <c r="AS739" t="s">
        <v>13969</v>
      </c>
      <c r="AT739" t="s">
        <v>12678</v>
      </c>
      <c r="AU739">
        <v>2020</v>
      </c>
      <c r="AV739">
        <v>56</v>
      </c>
      <c r="AW739">
        <v>12</v>
      </c>
      <c r="AX739" t="s">
        <v>74</v>
      </c>
      <c r="AY739" t="s">
        <v>74</v>
      </c>
      <c r="AZ739" t="s">
        <v>74</v>
      </c>
      <c r="BA739" t="s">
        <v>74</v>
      </c>
      <c r="BB739">
        <v>1731</v>
      </c>
      <c r="BC739">
        <v>1740</v>
      </c>
      <c r="BD739" t="s">
        <v>74</v>
      </c>
      <c r="BE739" t="s">
        <v>13970</v>
      </c>
      <c r="BF739" t="str">
        <f>HYPERLINK("http://dx.doi.org/10.1134/S0001433820120592","http://dx.doi.org/10.1134/S0001433820120592")</f>
        <v>http://dx.doi.org/10.1134/S0001433820120592</v>
      </c>
      <c r="BG739" t="s">
        <v>74</v>
      </c>
      <c r="BH739" t="s">
        <v>74</v>
      </c>
      <c r="BI739">
        <v>10</v>
      </c>
      <c r="BJ739" t="s">
        <v>938</v>
      </c>
      <c r="BK739" t="s">
        <v>103</v>
      </c>
      <c r="BL739" t="s">
        <v>938</v>
      </c>
      <c r="BM739" t="s">
        <v>13971</v>
      </c>
      <c r="BN739" t="s">
        <v>74</v>
      </c>
      <c r="BO739" t="s">
        <v>74</v>
      </c>
      <c r="BP739" t="s">
        <v>74</v>
      </c>
      <c r="BQ739" t="s">
        <v>74</v>
      </c>
      <c r="BR739" t="s">
        <v>106</v>
      </c>
      <c r="BS739" t="s">
        <v>13972</v>
      </c>
      <c r="BT739" t="str">
        <f>HYPERLINK("https%3A%2F%2Fwww.webofscience.com%2Fwos%2Fwoscc%2Ffull-record%2FWOS:000626905700027","View Full Record in Web of Science")</f>
        <v>View Full Record in Web of Science</v>
      </c>
    </row>
    <row r="740" spans="1:72" x14ac:dyDescent="0.15">
      <c r="A740" t="s">
        <v>72</v>
      </c>
      <c r="B740" t="s">
        <v>13973</v>
      </c>
      <c r="C740" t="s">
        <v>74</v>
      </c>
      <c r="D740" t="s">
        <v>74</v>
      </c>
      <c r="E740" t="s">
        <v>74</v>
      </c>
      <c r="F740" t="s">
        <v>13974</v>
      </c>
      <c r="G740" t="s">
        <v>74</v>
      </c>
      <c r="H740" t="s">
        <v>74</v>
      </c>
      <c r="I740" t="s">
        <v>13975</v>
      </c>
      <c r="J740" t="s">
        <v>2437</v>
      </c>
      <c r="K740" t="s">
        <v>74</v>
      </c>
      <c r="L740" t="s">
        <v>74</v>
      </c>
      <c r="M740" t="s">
        <v>78</v>
      </c>
      <c r="N740" t="s">
        <v>79</v>
      </c>
      <c r="O740" t="s">
        <v>74</v>
      </c>
      <c r="P740" t="s">
        <v>74</v>
      </c>
      <c r="Q740" t="s">
        <v>74</v>
      </c>
      <c r="R740" t="s">
        <v>74</v>
      </c>
      <c r="S740" t="s">
        <v>74</v>
      </c>
      <c r="T740" t="s">
        <v>13976</v>
      </c>
      <c r="U740" t="s">
        <v>13977</v>
      </c>
      <c r="V740" t="s">
        <v>13978</v>
      </c>
      <c r="W740" t="s">
        <v>13979</v>
      </c>
      <c r="X740" t="s">
        <v>13980</v>
      </c>
      <c r="Y740" t="s">
        <v>13981</v>
      </c>
      <c r="Z740" t="s">
        <v>13982</v>
      </c>
      <c r="AA740" t="s">
        <v>13983</v>
      </c>
      <c r="AB740" t="s">
        <v>13984</v>
      </c>
      <c r="AC740" t="s">
        <v>13985</v>
      </c>
      <c r="AD740" t="s">
        <v>13985</v>
      </c>
      <c r="AE740" t="s">
        <v>13986</v>
      </c>
      <c r="AF740" t="s">
        <v>74</v>
      </c>
      <c r="AG740">
        <v>26</v>
      </c>
      <c r="AH740">
        <v>6</v>
      </c>
      <c r="AI740">
        <v>6</v>
      </c>
      <c r="AJ740">
        <v>1</v>
      </c>
      <c r="AK740">
        <v>7</v>
      </c>
      <c r="AL740" t="s">
        <v>177</v>
      </c>
      <c r="AM740" t="s">
        <v>178</v>
      </c>
      <c r="AN740" t="s">
        <v>179</v>
      </c>
      <c r="AO740" t="s">
        <v>2448</v>
      </c>
      <c r="AP740" t="s">
        <v>2449</v>
      </c>
      <c r="AQ740" t="s">
        <v>74</v>
      </c>
      <c r="AR740" t="s">
        <v>2450</v>
      </c>
      <c r="AS740" t="s">
        <v>2451</v>
      </c>
      <c r="AT740" t="s">
        <v>12678</v>
      </c>
      <c r="AU740">
        <v>2020</v>
      </c>
      <c r="AV740">
        <v>267</v>
      </c>
      <c r="AW740" t="s">
        <v>74</v>
      </c>
      <c r="AX740" t="s">
        <v>74</v>
      </c>
      <c r="AY740" t="s">
        <v>74</v>
      </c>
      <c r="AZ740" t="s">
        <v>74</v>
      </c>
      <c r="BA740" t="s">
        <v>74</v>
      </c>
      <c r="BB740" t="s">
        <v>74</v>
      </c>
      <c r="BC740" t="s">
        <v>74</v>
      </c>
      <c r="BD740">
        <v>115478</v>
      </c>
      <c r="BE740" t="s">
        <v>13987</v>
      </c>
      <c r="BF740" t="str">
        <f>HYPERLINK("http://dx.doi.org/10.1016/j.envpol.2020.115478","http://dx.doi.org/10.1016/j.envpol.2020.115478")</f>
        <v>http://dx.doi.org/10.1016/j.envpol.2020.115478</v>
      </c>
      <c r="BG740" t="s">
        <v>74</v>
      </c>
      <c r="BH740" t="s">
        <v>74</v>
      </c>
      <c r="BI740">
        <v>8</v>
      </c>
      <c r="BJ740" t="s">
        <v>102</v>
      </c>
      <c r="BK740" t="s">
        <v>103</v>
      </c>
      <c r="BL740" t="s">
        <v>104</v>
      </c>
      <c r="BM740" t="s">
        <v>13988</v>
      </c>
      <c r="BN740">
        <v>33254599</v>
      </c>
      <c r="BO740" t="s">
        <v>74</v>
      </c>
      <c r="BP740" t="s">
        <v>74</v>
      </c>
      <c r="BQ740" t="s">
        <v>74</v>
      </c>
      <c r="BR740" t="s">
        <v>106</v>
      </c>
      <c r="BS740" t="s">
        <v>13989</v>
      </c>
      <c r="BT740" t="str">
        <f>HYPERLINK("https%3A%2F%2Fwww.webofscience.com%2Fwos%2Fwoscc%2Ffull-record%2FWOS:000631909700035","View Full Record in Web of Science")</f>
        <v>View Full Record in Web of Science</v>
      </c>
    </row>
    <row r="741" spans="1:72" x14ac:dyDescent="0.15">
      <c r="A741" t="s">
        <v>72</v>
      </c>
      <c r="B741" t="s">
        <v>13990</v>
      </c>
      <c r="C741" t="s">
        <v>74</v>
      </c>
      <c r="D741" t="s">
        <v>74</v>
      </c>
      <c r="E741" t="s">
        <v>74</v>
      </c>
      <c r="F741" t="s">
        <v>13991</v>
      </c>
      <c r="G741" t="s">
        <v>74</v>
      </c>
      <c r="H741" t="s">
        <v>74</v>
      </c>
      <c r="I741" t="s">
        <v>13992</v>
      </c>
      <c r="J741" t="s">
        <v>2437</v>
      </c>
      <c r="K741" t="s">
        <v>74</v>
      </c>
      <c r="L741" t="s">
        <v>74</v>
      </c>
      <c r="M741" t="s">
        <v>78</v>
      </c>
      <c r="N741" t="s">
        <v>79</v>
      </c>
      <c r="O741" t="s">
        <v>74</v>
      </c>
      <c r="P741" t="s">
        <v>74</v>
      </c>
      <c r="Q741" t="s">
        <v>74</v>
      </c>
      <c r="R741" t="s">
        <v>74</v>
      </c>
      <c r="S741" t="s">
        <v>74</v>
      </c>
      <c r="T741" t="s">
        <v>13993</v>
      </c>
      <c r="U741" t="s">
        <v>74</v>
      </c>
      <c r="V741" t="s">
        <v>13994</v>
      </c>
      <c r="W741" t="s">
        <v>13995</v>
      </c>
      <c r="X741" t="s">
        <v>13996</v>
      </c>
      <c r="Y741" t="s">
        <v>13997</v>
      </c>
      <c r="Z741" t="s">
        <v>13998</v>
      </c>
      <c r="AA741" t="s">
        <v>13999</v>
      </c>
      <c r="AB741" t="s">
        <v>14000</v>
      </c>
      <c r="AC741" t="s">
        <v>14001</v>
      </c>
      <c r="AD741" t="s">
        <v>14002</v>
      </c>
      <c r="AE741" t="s">
        <v>14003</v>
      </c>
      <c r="AF741" t="s">
        <v>74</v>
      </c>
      <c r="AG741">
        <v>64</v>
      </c>
      <c r="AH741">
        <v>22</v>
      </c>
      <c r="AI741">
        <v>23</v>
      </c>
      <c r="AJ741">
        <v>26</v>
      </c>
      <c r="AK741">
        <v>161</v>
      </c>
      <c r="AL741" t="s">
        <v>177</v>
      </c>
      <c r="AM741" t="s">
        <v>178</v>
      </c>
      <c r="AN741" t="s">
        <v>179</v>
      </c>
      <c r="AO741" t="s">
        <v>2448</v>
      </c>
      <c r="AP741" t="s">
        <v>2449</v>
      </c>
      <c r="AQ741" t="s">
        <v>74</v>
      </c>
      <c r="AR741" t="s">
        <v>2450</v>
      </c>
      <c r="AS741" t="s">
        <v>2451</v>
      </c>
      <c r="AT741" t="s">
        <v>12678</v>
      </c>
      <c r="AU741">
        <v>2020</v>
      </c>
      <c r="AV741">
        <v>267</v>
      </c>
      <c r="AW741" t="s">
        <v>74</v>
      </c>
      <c r="AX741" t="s">
        <v>74</v>
      </c>
      <c r="AY741" t="s">
        <v>74</v>
      </c>
      <c r="AZ741" t="s">
        <v>74</v>
      </c>
      <c r="BA741" t="s">
        <v>74</v>
      </c>
      <c r="BB741" t="s">
        <v>74</v>
      </c>
      <c r="BC741" t="s">
        <v>74</v>
      </c>
      <c r="BD741">
        <v>115428</v>
      </c>
      <c r="BE741" t="s">
        <v>14004</v>
      </c>
      <c r="BF741" t="str">
        <f>HYPERLINK("http://dx.doi.org/10.1016/j.envpol.2020.115428","http://dx.doi.org/10.1016/j.envpol.2020.115428")</f>
        <v>http://dx.doi.org/10.1016/j.envpol.2020.115428</v>
      </c>
      <c r="BG741" t="s">
        <v>74</v>
      </c>
      <c r="BH741" t="s">
        <v>74</v>
      </c>
      <c r="BI741">
        <v>9</v>
      </c>
      <c r="BJ741" t="s">
        <v>102</v>
      </c>
      <c r="BK741" t="s">
        <v>103</v>
      </c>
      <c r="BL741" t="s">
        <v>104</v>
      </c>
      <c r="BM741" t="s">
        <v>13988</v>
      </c>
      <c r="BN741">
        <v>32889514</v>
      </c>
      <c r="BO741" t="s">
        <v>74</v>
      </c>
      <c r="BP741" t="s">
        <v>74</v>
      </c>
      <c r="BQ741" t="s">
        <v>74</v>
      </c>
      <c r="BR741" t="s">
        <v>106</v>
      </c>
      <c r="BS741" t="s">
        <v>14005</v>
      </c>
      <c r="BT741" t="str">
        <f>HYPERLINK("https%3A%2F%2Fwww.webofscience.com%2Fwos%2Fwoscc%2Ffull-record%2FWOS:000631909700015","View Full Record in Web of Science")</f>
        <v>View Full Record in Web of Science</v>
      </c>
    </row>
    <row r="742" spans="1:72" x14ac:dyDescent="0.15">
      <c r="A742" t="s">
        <v>72</v>
      </c>
      <c r="B742" t="s">
        <v>14006</v>
      </c>
      <c r="C742" t="s">
        <v>74</v>
      </c>
      <c r="D742" t="s">
        <v>74</v>
      </c>
      <c r="E742" t="s">
        <v>74</v>
      </c>
      <c r="F742" t="s">
        <v>14007</v>
      </c>
      <c r="G742" t="s">
        <v>74</v>
      </c>
      <c r="H742" t="s">
        <v>74</v>
      </c>
      <c r="I742" t="s">
        <v>14008</v>
      </c>
      <c r="J742" t="s">
        <v>7424</v>
      </c>
      <c r="K742" t="s">
        <v>74</v>
      </c>
      <c r="L742" t="s">
        <v>74</v>
      </c>
      <c r="M742" t="s">
        <v>78</v>
      </c>
      <c r="N742" t="s">
        <v>79</v>
      </c>
      <c r="O742" t="s">
        <v>74</v>
      </c>
      <c r="P742" t="s">
        <v>74</v>
      </c>
      <c r="Q742" t="s">
        <v>74</v>
      </c>
      <c r="R742" t="s">
        <v>74</v>
      </c>
      <c r="S742" t="s">
        <v>74</v>
      </c>
      <c r="T742" t="s">
        <v>74</v>
      </c>
      <c r="U742" t="s">
        <v>14009</v>
      </c>
      <c r="V742" t="s">
        <v>14010</v>
      </c>
      <c r="W742" t="s">
        <v>14011</v>
      </c>
      <c r="X742" t="s">
        <v>14012</v>
      </c>
      <c r="Y742" t="s">
        <v>14013</v>
      </c>
      <c r="Z742" t="s">
        <v>14014</v>
      </c>
      <c r="AA742" t="s">
        <v>74</v>
      </c>
      <c r="AB742" t="s">
        <v>74</v>
      </c>
      <c r="AC742" t="s">
        <v>14015</v>
      </c>
      <c r="AD742" t="s">
        <v>14015</v>
      </c>
      <c r="AE742" t="s">
        <v>14016</v>
      </c>
      <c r="AF742" t="s">
        <v>74</v>
      </c>
      <c r="AG742">
        <v>85</v>
      </c>
      <c r="AH742">
        <v>2</v>
      </c>
      <c r="AI742">
        <v>2</v>
      </c>
      <c r="AJ742">
        <v>0</v>
      </c>
      <c r="AK742">
        <v>1</v>
      </c>
      <c r="AL742" t="s">
        <v>7290</v>
      </c>
      <c r="AM742" t="s">
        <v>7291</v>
      </c>
      <c r="AN742" t="s">
        <v>7436</v>
      </c>
      <c r="AO742" t="s">
        <v>7437</v>
      </c>
      <c r="AP742" t="s">
        <v>7438</v>
      </c>
      <c r="AQ742" t="s">
        <v>74</v>
      </c>
      <c r="AR742" t="s">
        <v>7439</v>
      </c>
      <c r="AS742" t="s">
        <v>7440</v>
      </c>
      <c r="AT742" t="s">
        <v>12678</v>
      </c>
      <c r="AU742">
        <v>2020</v>
      </c>
      <c r="AV742">
        <v>101</v>
      </c>
      <c r="AW742">
        <v>12</v>
      </c>
      <c r="AX742" t="s">
        <v>74</v>
      </c>
      <c r="AY742" t="s">
        <v>74</v>
      </c>
      <c r="AZ742" t="s">
        <v>74</v>
      </c>
      <c r="BA742" t="s">
        <v>74</v>
      </c>
      <c r="BB742" t="s">
        <v>14017</v>
      </c>
      <c r="BC742" t="s">
        <v>14018</v>
      </c>
      <c r="BD742" t="s">
        <v>74</v>
      </c>
      <c r="BE742" t="s">
        <v>14019</v>
      </c>
      <c r="BF742" t="str">
        <f>HYPERLINK("http://dx.doi.org/10.1175/BAMS-D-20-0058.1","http://dx.doi.org/10.1175/BAMS-D-20-0058.1")</f>
        <v>http://dx.doi.org/10.1175/BAMS-D-20-0058.1</v>
      </c>
      <c r="BG742" t="s">
        <v>74</v>
      </c>
      <c r="BH742" t="s">
        <v>74</v>
      </c>
      <c r="BI742">
        <v>18</v>
      </c>
      <c r="BJ742" t="s">
        <v>687</v>
      </c>
      <c r="BK742" t="s">
        <v>103</v>
      </c>
      <c r="BL742" t="s">
        <v>687</v>
      </c>
      <c r="BM742" t="s">
        <v>14020</v>
      </c>
      <c r="BN742" t="s">
        <v>74</v>
      </c>
      <c r="BO742" t="s">
        <v>3283</v>
      </c>
      <c r="BP742" t="s">
        <v>74</v>
      </c>
      <c r="BQ742" t="s">
        <v>74</v>
      </c>
      <c r="BR742" t="s">
        <v>106</v>
      </c>
      <c r="BS742" t="s">
        <v>14021</v>
      </c>
      <c r="BT742" t="str">
        <f>HYPERLINK("https%3A%2F%2Fwww.webofscience.com%2Fwos%2Fwoscc%2Ffull-record%2FWOS:000627585400005","View Full Record in Web of Science")</f>
        <v>View Full Record in Web of Science</v>
      </c>
    </row>
    <row r="743" spans="1:72" x14ac:dyDescent="0.15">
      <c r="A743" t="s">
        <v>72</v>
      </c>
      <c r="B743" t="s">
        <v>14022</v>
      </c>
      <c r="C743" t="s">
        <v>74</v>
      </c>
      <c r="D743" t="s">
        <v>74</v>
      </c>
      <c r="E743" t="s">
        <v>74</v>
      </c>
      <c r="F743" t="s">
        <v>14023</v>
      </c>
      <c r="G743" t="s">
        <v>74</v>
      </c>
      <c r="H743" t="s">
        <v>74</v>
      </c>
      <c r="I743" t="s">
        <v>14024</v>
      </c>
      <c r="J743" t="s">
        <v>10756</v>
      </c>
      <c r="K743" t="s">
        <v>74</v>
      </c>
      <c r="L743" t="s">
        <v>74</v>
      </c>
      <c r="M743" t="s">
        <v>78</v>
      </c>
      <c r="N743" t="s">
        <v>79</v>
      </c>
      <c r="O743" t="s">
        <v>74</v>
      </c>
      <c r="P743" t="s">
        <v>74</v>
      </c>
      <c r="Q743" t="s">
        <v>74</v>
      </c>
      <c r="R743" t="s">
        <v>74</v>
      </c>
      <c r="S743" t="s">
        <v>74</v>
      </c>
      <c r="T743" t="s">
        <v>14025</v>
      </c>
      <c r="U743" t="s">
        <v>14026</v>
      </c>
      <c r="V743" t="s">
        <v>14027</v>
      </c>
      <c r="W743" t="s">
        <v>14028</v>
      </c>
      <c r="X743" t="s">
        <v>2079</v>
      </c>
      <c r="Y743" t="s">
        <v>14029</v>
      </c>
      <c r="Z743" t="s">
        <v>14030</v>
      </c>
      <c r="AA743" t="s">
        <v>14031</v>
      </c>
      <c r="AB743" t="s">
        <v>14032</v>
      </c>
      <c r="AC743" t="s">
        <v>14033</v>
      </c>
      <c r="AD743" t="s">
        <v>14033</v>
      </c>
      <c r="AE743" t="s">
        <v>14034</v>
      </c>
      <c r="AF743" t="s">
        <v>74</v>
      </c>
      <c r="AG743">
        <v>37</v>
      </c>
      <c r="AH743">
        <v>9</v>
      </c>
      <c r="AI743">
        <v>10</v>
      </c>
      <c r="AJ743">
        <v>2</v>
      </c>
      <c r="AK743">
        <v>12</v>
      </c>
      <c r="AL743" t="s">
        <v>10769</v>
      </c>
      <c r="AM743" t="s">
        <v>10770</v>
      </c>
      <c r="AN743" t="s">
        <v>10771</v>
      </c>
      <c r="AO743" t="s">
        <v>10772</v>
      </c>
      <c r="AP743" t="s">
        <v>74</v>
      </c>
      <c r="AQ743" t="s">
        <v>74</v>
      </c>
      <c r="AR743" t="s">
        <v>10773</v>
      </c>
      <c r="AS743" t="s">
        <v>10774</v>
      </c>
      <c r="AT743" t="s">
        <v>12678</v>
      </c>
      <c r="AU743">
        <v>2020</v>
      </c>
      <c r="AV743">
        <v>15</v>
      </c>
      <c r="AW743">
        <v>12</v>
      </c>
      <c r="AX743" t="s">
        <v>74</v>
      </c>
      <c r="AY743" t="s">
        <v>74</v>
      </c>
      <c r="AZ743" t="s">
        <v>74</v>
      </c>
      <c r="BA743" t="s">
        <v>74</v>
      </c>
      <c r="BB743" t="s">
        <v>74</v>
      </c>
      <c r="BC743" t="s">
        <v>74</v>
      </c>
      <c r="BD743">
        <v>124071</v>
      </c>
      <c r="BE743" t="s">
        <v>14035</v>
      </c>
      <c r="BF743" t="str">
        <f>HYPERLINK("http://dx.doi.org/10.1088/1748-9326/abcc8e","http://dx.doi.org/10.1088/1748-9326/abcc8e")</f>
        <v>http://dx.doi.org/10.1088/1748-9326/abcc8e</v>
      </c>
      <c r="BG743" t="s">
        <v>74</v>
      </c>
      <c r="BH743" t="s">
        <v>74</v>
      </c>
      <c r="BI743">
        <v>13</v>
      </c>
      <c r="BJ743" t="s">
        <v>132</v>
      </c>
      <c r="BK743" t="s">
        <v>103</v>
      </c>
      <c r="BL743" t="s">
        <v>133</v>
      </c>
      <c r="BM743" t="s">
        <v>14036</v>
      </c>
      <c r="BN743" t="s">
        <v>74</v>
      </c>
      <c r="BO743" t="s">
        <v>11791</v>
      </c>
      <c r="BP743" t="s">
        <v>74</v>
      </c>
      <c r="BQ743" t="s">
        <v>74</v>
      </c>
      <c r="BR743" t="s">
        <v>106</v>
      </c>
      <c r="BS743" t="s">
        <v>14037</v>
      </c>
      <c r="BT743" t="str">
        <f>HYPERLINK("https%3A%2F%2Fwww.webofscience.com%2Fwos%2Fwoscc%2Ffull-record%2FWOS:000625859900001","View Full Record in Web of Science")</f>
        <v>View Full Record in Web of Science</v>
      </c>
    </row>
    <row r="744" spans="1:72" x14ac:dyDescent="0.15">
      <c r="A744" t="s">
        <v>72</v>
      </c>
      <c r="B744" t="s">
        <v>14038</v>
      </c>
      <c r="C744" t="s">
        <v>74</v>
      </c>
      <c r="D744" t="s">
        <v>74</v>
      </c>
      <c r="E744" t="s">
        <v>74</v>
      </c>
      <c r="F744" t="s">
        <v>14039</v>
      </c>
      <c r="G744" t="s">
        <v>74</v>
      </c>
      <c r="H744" t="s">
        <v>74</v>
      </c>
      <c r="I744" t="s">
        <v>14040</v>
      </c>
      <c r="J744" t="s">
        <v>13953</v>
      </c>
      <c r="K744" t="s">
        <v>74</v>
      </c>
      <c r="L744" t="s">
        <v>74</v>
      </c>
      <c r="M744" t="s">
        <v>78</v>
      </c>
      <c r="N744" t="s">
        <v>79</v>
      </c>
      <c r="O744" t="s">
        <v>74</v>
      </c>
      <c r="P744" t="s">
        <v>74</v>
      </c>
      <c r="Q744" t="s">
        <v>74</v>
      </c>
      <c r="R744" t="s">
        <v>74</v>
      </c>
      <c r="S744" t="s">
        <v>74</v>
      </c>
      <c r="T744" t="s">
        <v>14041</v>
      </c>
      <c r="U744" t="s">
        <v>74</v>
      </c>
      <c r="V744" t="s">
        <v>14042</v>
      </c>
      <c r="W744" t="s">
        <v>14043</v>
      </c>
      <c r="X744" t="s">
        <v>14044</v>
      </c>
      <c r="Y744" t="s">
        <v>14045</v>
      </c>
      <c r="Z744" t="s">
        <v>14046</v>
      </c>
      <c r="AA744" t="s">
        <v>14047</v>
      </c>
      <c r="AB744" t="s">
        <v>14048</v>
      </c>
      <c r="AC744" t="s">
        <v>14049</v>
      </c>
      <c r="AD744" t="s">
        <v>14050</v>
      </c>
      <c r="AE744" t="s">
        <v>14051</v>
      </c>
      <c r="AF744" t="s">
        <v>74</v>
      </c>
      <c r="AG744">
        <v>20</v>
      </c>
      <c r="AH744">
        <v>8</v>
      </c>
      <c r="AI744">
        <v>8</v>
      </c>
      <c r="AJ744">
        <v>0</v>
      </c>
      <c r="AK744">
        <v>4</v>
      </c>
      <c r="AL744" t="s">
        <v>7510</v>
      </c>
      <c r="AM744" t="s">
        <v>473</v>
      </c>
      <c r="AN744" t="s">
        <v>7511</v>
      </c>
      <c r="AO744" t="s">
        <v>13966</v>
      </c>
      <c r="AP744" t="s">
        <v>13967</v>
      </c>
      <c r="AQ744" t="s">
        <v>74</v>
      </c>
      <c r="AR744" t="s">
        <v>13968</v>
      </c>
      <c r="AS744" t="s">
        <v>13969</v>
      </c>
      <c r="AT744" t="s">
        <v>12678</v>
      </c>
      <c r="AU744">
        <v>2020</v>
      </c>
      <c r="AV744">
        <v>56</v>
      </c>
      <c r="AW744">
        <v>11</v>
      </c>
      <c r="AX744" t="s">
        <v>74</v>
      </c>
      <c r="AY744" t="s">
        <v>74</v>
      </c>
      <c r="AZ744" t="s">
        <v>74</v>
      </c>
      <c r="BA744" t="s">
        <v>74</v>
      </c>
      <c r="BB744">
        <v>1376</v>
      </c>
      <c r="BC744">
        <v>1400</v>
      </c>
      <c r="BD744" t="s">
        <v>74</v>
      </c>
      <c r="BE744" t="s">
        <v>14052</v>
      </c>
      <c r="BF744" t="str">
        <f>HYPERLINK("http://dx.doi.org/10.1134/S000143382011002X","http://dx.doi.org/10.1134/S000143382011002X")</f>
        <v>http://dx.doi.org/10.1134/S000143382011002X</v>
      </c>
      <c r="BG744" t="s">
        <v>74</v>
      </c>
      <c r="BH744" t="s">
        <v>74</v>
      </c>
      <c r="BI744">
        <v>25</v>
      </c>
      <c r="BJ744" t="s">
        <v>938</v>
      </c>
      <c r="BK744" t="s">
        <v>103</v>
      </c>
      <c r="BL744" t="s">
        <v>938</v>
      </c>
      <c r="BM744" t="s">
        <v>14053</v>
      </c>
      <c r="BN744" t="s">
        <v>74</v>
      </c>
      <c r="BO744" t="s">
        <v>561</v>
      </c>
      <c r="BP744" t="s">
        <v>74</v>
      </c>
      <c r="BQ744" t="s">
        <v>74</v>
      </c>
      <c r="BR744" t="s">
        <v>106</v>
      </c>
      <c r="BS744" t="s">
        <v>14054</v>
      </c>
      <c r="BT744" t="str">
        <f>HYPERLINK("https%3A%2F%2Fwww.webofscience.com%2Fwos%2Fwoscc%2Ffull-record%2FWOS:000624545300006","View Full Record in Web of Science")</f>
        <v>View Full Record in Web of Science</v>
      </c>
    </row>
    <row r="745" spans="1:72" x14ac:dyDescent="0.15">
      <c r="A745" t="s">
        <v>72</v>
      </c>
      <c r="B745" t="s">
        <v>14055</v>
      </c>
      <c r="C745" t="s">
        <v>74</v>
      </c>
      <c r="D745" t="s">
        <v>74</v>
      </c>
      <c r="E745" t="s">
        <v>74</v>
      </c>
      <c r="F745" t="s">
        <v>14056</v>
      </c>
      <c r="G745" t="s">
        <v>74</v>
      </c>
      <c r="H745" t="s">
        <v>74</v>
      </c>
      <c r="I745" t="s">
        <v>14057</v>
      </c>
      <c r="J745" t="s">
        <v>14058</v>
      </c>
      <c r="K745" t="s">
        <v>74</v>
      </c>
      <c r="L745" t="s">
        <v>74</v>
      </c>
      <c r="M745" t="s">
        <v>78</v>
      </c>
      <c r="N745" t="s">
        <v>79</v>
      </c>
      <c r="O745" t="s">
        <v>74</v>
      </c>
      <c r="P745" t="s">
        <v>74</v>
      </c>
      <c r="Q745" t="s">
        <v>74</v>
      </c>
      <c r="R745" t="s">
        <v>74</v>
      </c>
      <c r="S745" t="s">
        <v>74</v>
      </c>
      <c r="T745" t="s">
        <v>14059</v>
      </c>
      <c r="U745" t="s">
        <v>14060</v>
      </c>
      <c r="V745" t="s">
        <v>14061</v>
      </c>
      <c r="W745" t="s">
        <v>14062</v>
      </c>
      <c r="X745" t="s">
        <v>14063</v>
      </c>
      <c r="Y745" t="s">
        <v>14064</v>
      </c>
      <c r="Z745" t="s">
        <v>14065</v>
      </c>
      <c r="AA745" t="s">
        <v>14066</v>
      </c>
      <c r="AB745" t="s">
        <v>14067</v>
      </c>
      <c r="AC745" t="s">
        <v>14068</v>
      </c>
      <c r="AD745" t="s">
        <v>14069</v>
      </c>
      <c r="AE745" t="s">
        <v>14070</v>
      </c>
      <c r="AF745" t="s">
        <v>74</v>
      </c>
      <c r="AG745">
        <v>105</v>
      </c>
      <c r="AH745">
        <v>9</v>
      </c>
      <c r="AI745">
        <v>9</v>
      </c>
      <c r="AJ745">
        <v>0</v>
      </c>
      <c r="AK745">
        <v>12</v>
      </c>
      <c r="AL745" t="s">
        <v>1210</v>
      </c>
      <c r="AM745" t="s">
        <v>264</v>
      </c>
      <c r="AN745" t="s">
        <v>8391</v>
      </c>
      <c r="AO745" t="s">
        <v>14071</v>
      </c>
      <c r="AP745" t="s">
        <v>14072</v>
      </c>
      <c r="AQ745" t="s">
        <v>74</v>
      </c>
      <c r="AR745" t="s">
        <v>14073</v>
      </c>
      <c r="AS745" t="s">
        <v>14074</v>
      </c>
      <c r="AT745" t="s">
        <v>12678</v>
      </c>
      <c r="AU745">
        <v>2020</v>
      </c>
      <c r="AV745">
        <v>66</v>
      </c>
      <c r="AW745">
        <v>260</v>
      </c>
      <c r="AX745" t="s">
        <v>74</v>
      </c>
      <c r="AY745" t="s">
        <v>74</v>
      </c>
      <c r="AZ745" t="s">
        <v>74</v>
      </c>
      <c r="BA745" t="s">
        <v>74</v>
      </c>
      <c r="BB745">
        <v>916</v>
      </c>
      <c r="BC745">
        <v>926</v>
      </c>
      <c r="BD745" t="s">
        <v>14075</v>
      </c>
      <c r="BE745" t="s">
        <v>14076</v>
      </c>
      <c r="BF745" t="str">
        <f>HYPERLINK("http://dx.doi.org/10.1017/jog.2020.53","http://dx.doi.org/10.1017/jog.2020.53")</f>
        <v>http://dx.doi.org/10.1017/jog.2020.53</v>
      </c>
      <c r="BG745" t="s">
        <v>74</v>
      </c>
      <c r="BH745" t="s">
        <v>74</v>
      </c>
      <c r="BI745">
        <v>11</v>
      </c>
      <c r="BJ745" t="s">
        <v>156</v>
      </c>
      <c r="BK745" t="s">
        <v>103</v>
      </c>
      <c r="BL745" t="s">
        <v>157</v>
      </c>
      <c r="BM745" t="s">
        <v>14077</v>
      </c>
      <c r="BN745" t="s">
        <v>74</v>
      </c>
      <c r="BO745" t="s">
        <v>326</v>
      </c>
      <c r="BP745" t="s">
        <v>74</v>
      </c>
      <c r="BQ745" t="s">
        <v>74</v>
      </c>
      <c r="BR745" t="s">
        <v>106</v>
      </c>
      <c r="BS745" t="s">
        <v>14078</v>
      </c>
      <c r="BT745" t="str">
        <f>HYPERLINK("https%3A%2F%2Fwww.webofscience.com%2Fwos%2Fwoscc%2Ffull-record%2FWOS:000592212900003","View Full Record in Web of Science")</f>
        <v>View Full Record in Web of Science</v>
      </c>
    </row>
    <row r="746" spans="1:72" x14ac:dyDescent="0.15">
      <c r="A746" t="s">
        <v>72</v>
      </c>
      <c r="B746" t="s">
        <v>14079</v>
      </c>
      <c r="C746" t="s">
        <v>74</v>
      </c>
      <c r="D746" t="s">
        <v>74</v>
      </c>
      <c r="E746" t="s">
        <v>74</v>
      </c>
      <c r="F746" t="s">
        <v>14080</v>
      </c>
      <c r="G746" t="s">
        <v>74</v>
      </c>
      <c r="H746" t="s">
        <v>74</v>
      </c>
      <c r="I746" t="s">
        <v>14081</v>
      </c>
      <c r="J746" t="s">
        <v>14058</v>
      </c>
      <c r="K746" t="s">
        <v>74</v>
      </c>
      <c r="L746" t="s">
        <v>74</v>
      </c>
      <c r="M746" t="s">
        <v>78</v>
      </c>
      <c r="N746" t="s">
        <v>79</v>
      </c>
      <c r="O746" t="s">
        <v>74</v>
      </c>
      <c r="P746" t="s">
        <v>74</v>
      </c>
      <c r="Q746" t="s">
        <v>74</v>
      </c>
      <c r="R746" t="s">
        <v>74</v>
      </c>
      <c r="S746" t="s">
        <v>74</v>
      </c>
      <c r="T746" t="s">
        <v>14082</v>
      </c>
      <c r="U746" t="s">
        <v>14083</v>
      </c>
      <c r="V746" t="s">
        <v>14084</v>
      </c>
      <c r="W746" t="s">
        <v>14085</v>
      </c>
      <c r="X746" t="s">
        <v>14086</v>
      </c>
      <c r="Y746" t="s">
        <v>14087</v>
      </c>
      <c r="Z746" t="s">
        <v>14088</v>
      </c>
      <c r="AA746" t="s">
        <v>14089</v>
      </c>
      <c r="AB746" t="s">
        <v>14090</v>
      </c>
      <c r="AC746" t="s">
        <v>14091</v>
      </c>
      <c r="AD746" t="s">
        <v>14092</v>
      </c>
      <c r="AE746" t="s">
        <v>14093</v>
      </c>
      <c r="AF746" t="s">
        <v>74</v>
      </c>
      <c r="AG746">
        <v>64</v>
      </c>
      <c r="AH746">
        <v>4</v>
      </c>
      <c r="AI746">
        <v>5</v>
      </c>
      <c r="AJ746">
        <v>1</v>
      </c>
      <c r="AK746">
        <v>10</v>
      </c>
      <c r="AL746" t="s">
        <v>1210</v>
      </c>
      <c r="AM746" t="s">
        <v>264</v>
      </c>
      <c r="AN746" t="s">
        <v>8391</v>
      </c>
      <c r="AO746" t="s">
        <v>14071</v>
      </c>
      <c r="AP746" t="s">
        <v>14072</v>
      </c>
      <c r="AQ746" t="s">
        <v>74</v>
      </c>
      <c r="AR746" t="s">
        <v>14073</v>
      </c>
      <c r="AS746" t="s">
        <v>14074</v>
      </c>
      <c r="AT746" t="s">
        <v>12678</v>
      </c>
      <c r="AU746">
        <v>2020</v>
      </c>
      <c r="AV746">
        <v>66</v>
      </c>
      <c r="AW746">
        <v>260</v>
      </c>
      <c r="AX746" t="s">
        <v>74</v>
      </c>
      <c r="AY746" t="s">
        <v>74</v>
      </c>
      <c r="AZ746" t="s">
        <v>74</v>
      </c>
      <c r="BA746" t="s">
        <v>74</v>
      </c>
      <c r="BB746">
        <v>965</v>
      </c>
      <c r="BC746">
        <v>977</v>
      </c>
      <c r="BD746" t="s">
        <v>74</v>
      </c>
      <c r="BE746" t="s">
        <v>14094</v>
      </c>
      <c r="BF746" t="str">
        <f>HYPERLINK("http://dx.doi.org/10.1017/jog.2020.58","http://dx.doi.org/10.1017/jog.2020.58")</f>
        <v>http://dx.doi.org/10.1017/jog.2020.58</v>
      </c>
      <c r="BG746" t="s">
        <v>74</v>
      </c>
      <c r="BH746" t="s">
        <v>74</v>
      </c>
      <c r="BI746">
        <v>13</v>
      </c>
      <c r="BJ746" t="s">
        <v>156</v>
      </c>
      <c r="BK746" t="s">
        <v>103</v>
      </c>
      <c r="BL746" t="s">
        <v>157</v>
      </c>
      <c r="BM746" t="s">
        <v>14077</v>
      </c>
      <c r="BN746" t="s">
        <v>74</v>
      </c>
      <c r="BO746" t="s">
        <v>326</v>
      </c>
      <c r="BP746" t="s">
        <v>74</v>
      </c>
      <c r="BQ746" t="s">
        <v>74</v>
      </c>
      <c r="BR746" t="s">
        <v>106</v>
      </c>
      <c r="BS746" t="s">
        <v>14095</v>
      </c>
      <c r="BT746" t="str">
        <f>HYPERLINK("https%3A%2F%2Fwww.webofscience.com%2Fwos%2Fwoscc%2Ffull-record%2FWOS:000592212900007","View Full Record in Web of Science")</f>
        <v>View Full Record in Web of Science</v>
      </c>
    </row>
    <row r="747" spans="1:72" x14ac:dyDescent="0.15">
      <c r="A747" t="s">
        <v>72</v>
      </c>
      <c r="B747" t="s">
        <v>14096</v>
      </c>
      <c r="C747" t="s">
        <v>74</v>
      </c>
      <c r="D747" t="s">
        <v>74</v>
      </c>
      <c r="E747" t="s">
        <v>74</v>
      </c>
      <c r="F747" t="s">
        <v>14097</v>
      </c>
      <c r="G747" t="s">
        <v>74</v>
      </c>
      <c r="H747" t="s">
        <v>74</v>
      </c>
      <c r="I747" t="s">
        <v>14098</v>
      </c>
      <c r="J747" t="s">
        <v>14058</v>
      </c>
      <c r="K747" t="s">
        <v>74</v>
      </c>
      <c r="L747" t="s">
        <v>74</v>
      </c>
      <c r="M747" t="s">
        <v>78</v>
      </c>
      <c r="N747" t="s">
        <v>79</v>
      </c>
      <c r="O747" t="s">
        <v>74</v>
      </c>
      <c r="P747" t="s">
        <v>74</v>
      </c>
      <c r="Q747" t="s">
        <v>74</v>
      </c>
      <c r="R747" t="s">
        <v>74</v>
      </c>
      <c r="S747" t="s">
        <v>74</v>
      </c>
      <c r="T747" t="s">
        <v>14099</v>
      </c>
      <c r="U747" t="s">
        <v>14100</v>
      </c>
      <c r="V747" t="s">
        <v>14101</v>
      </c>
      <c r="W747" t="s">
        <v>14102</v>
      </c>
      <c r="X747" t="s">
        <v>14103</v>
      </c>
      <c r="Y747" t="s">
        <v>14104</v>
      </c>
      <c r="Z747" t="s">
        <v>14105</v>
      </c>
      <c r="AA747" t="s">
        <v>14106</v>
      </c>
      <c r="AB747" t="s">
        <v>14107</v>
      </c>
      <c r="AC747" t="s">
        <v>14108</v>
      </c>
      <c r="AD747" t="s">
        <v>14108</v>
      </c>
      <c r="AE747" t="s">
        <v>14109</v>
      </c>
      <c r="AF747" t="s">
        <v>74</v>
      </c>
      <c r="AG747">
        <v>81</v>
      </c>
      <c r="AH747">
        <v>14</v>
      </c>
      <c r="AI747">
        <v>14</v>
      </c>
      <c r="AJ747">
        <v>1</v>
      </c>
      <c r="AK747">
        <v>6</v>
      </c>
      <c r="AL747" t="s">
        <v>1210</v>
      </c>
      <c r="AM747" t="s">
        <v>264</v>
      </c>
      <c r="AN747" t="s">
        <v>8391</v>
      </c>
      <c r="AO747" t="s">
        <v>14071</v>
      </c>
      <c r="AP747" t="s">
        <v>14072</v>
      </c>
      <c r="AQ747" t="s">
        <v>74</v>
      </c>
      <c r="AR747" t="s">
        <v>14073</v>
      </c>
      <c r="AS747" t="s">
        <v>14074</v>
      </c>
      <c r="AT747" t="s">
        <v>12678</v>
      </c>
      <c r="AU747">
        <v>2020</v>
      </c>
      <c r="AV747">
        <v>66</v>
      </c>
      <c r="AW747">
        <v>260</v>
      </c>
      <c r="AX747" t="s">
        <v>74</v>
      </c>
      <c r="AY747" t="s">
        <v>74</v>
      </c>
      <c r="AZ747" t="s">
        <v>74</v>
      </c>
      <c r="BA747" t="s">
        <v>74</v>
      </c>
      <c r="BB747">
        <v>1006</v>
      </c>
      <c r="BC747">
        <v>1023</v>
      </c>
      <c r="BD747" t="s">
        <v>74</v>
      </c>
      <c r="BE747" t="s">
        <v>14110</v>
      </c>
      <c r="BF747" t="str">
        <f>HYPERLINK("http://dx.doi.org/10.1017/jog.2020.70","http://dx.doi.org/10.1017/jog.2020.70")</f>
        <v>http://dx.doi.org/10.1017/jog.2020.70</v>
      </c>
      <c r="BG747" t="s">
        <v>74</v>
      </c>
      <c r="BH747" t="s">
        <v>74</v>
      </c>
      <c r="BI747">
        <v>18</v>
      </c>
      <c r="BJ747" t="s">
        <v>156</v>
      </c>
      <c r="BK747" t="s">
        <v>103</v>
      </c>
      <c r="BL747" t="s">
        <v>157</v>
      </c>
      <c r="BM747" t="s">
        <v>14077</v>
      </c>
      <c r="BN747" t="s">
        <v>74</v>
      </c>
      <c r="BO747" t="s">
        <v>326</v>
      </c>
      <c r="BP747" t="s">
        <v>74</v>
      </c>
      <c r="BQ747" t="s">
        <v>74</v>
      </c>
      <c r="BR747" t="s">
        <v>106</v>
      </c>
      <c r="BS747" t="s">
        <v>14111</v>
      </c>
      <c r="BT747" t="str">
        <f>HYPERLINK("https%3A%2F%2Fwww.webofscience.com%2Fwos%2Fwoscc%2Ffull-record%2FWOS:000592212900010","View Full Record in Web of Science")</f>
        <v>View Full Record in Web of Science</v>
      </c>
    </row>
    <row r="748" spans="1:72" x14ac:dyDescent="0.15">
      <c r="A748" t="s">
        <v>72</v>
      </c>
      <c r="B748" t="s">
        <v>14112</v>
      </c>
      <c r="C748" t="s">
        <v>74</v>
      </c>
      <c r="D748" t="s">
        <v>74</v>
      </c>
      <c r="E748" t="s">
        <v>74</v>
      </c>
      <c r="F748" t="s">
        <v>14113</v>
      </c>
      <c r="G748" t="s">
        <v>74</v>
      </c>
      <c r="H748" t="s">
        <v>74</v>
      </c>
      <c r="I748" t="s">
        <v>14114</v>
      </c>
      <c r="J748" t="s">
        <v>13953</v>
      </c>
      <c r="K748" t="s">
        <v>74</v>
      </c>
      <c r="L748" t="s">
        <v>74</v>
      </c>
      <c r="M748" t="s">
        <v>78</v>
      </c>
      <c r="N748" t="s">
        <v>79</v>
      </c>
      <c r="O748" t="s">
        <v>74</v>
      </c>
      <c r="P748" t="s">
        <v>74</v>
      </c>
      <c r="Q748" t="s">
        <v>74</v>
      </c>
      <c r="R748" t="s">
        <v>74</v>
      </c>
      <c r="S748" t="s">
        <v>74</v>
      </c>
      <c r="T748" t="s">
        <v>14115</v>
      </c>
      <c r="U748" t="s">
        <v>74</v>
      </c>
      <c r="V748" t="s">
        <v>14116</v>
      </c>
      <c r="W748" t="s">
        <v>14117</v>
      </c>
      <c r="X748" t="s">
        <v>14118</v>
      </c>
      <c r="Y748" t="s">
        <v>14119</v>
      </c>
      <c r="Z748" t="s">
        <v>10601</v>
      </c>
      <c r="AA748" t="s">
        <v>74</v>
      </c>
      <c r="AB748" t="s">
        <v>14120</v>
      </c>
      <c r="AC748" t="s">
        <v>14121</v>
      </c>
      <c r="AD748" t="s">
        <v>5458</v>
      </c>
      <c r="AE748" t="s">
        <v>14122</v>
      </c>
      <c r="AF748" t="s">
        <v>74</v>
      </c>
      <c r="AG748">
        <v>15</v>
      </c>
      <c r="AH748">
        <v>3</v>
      </c>
      <c r="AI748">
        <v>3</v>
      </c>
      <c r="AJ748">
        <v>2</v>
      </c>
      <c r="AK748">
        <v>8</v>
      </c>
      <c r="AL748" t="s">
        <v>7510</v>
      </c>
      <c r="AM748" t="s">
        <v>473</v>
      </c>
      <c r="AN748" t="s">
        <v>7511</v>
      </c>
      <c r="AO748" t="s">
        <v>13966</v>
      </c>
      <c r="AP748" t="s">
        <v>13967</v>
      </c>
      <c r="AQ748" t="s">
        <v>74</v>
      </c>
      <c r="AR748" t="s">
        <v>13968</v>
      </c>
      <c r="AS748" t="s">
        <v>13969</v>
      </c>
      <c r="AT748" t="s">
        <v>12678</v>
      </c>
      <c r="AU748">
        <v>2020</v>
      </c>
      <c r="AV748">
        <v>56</v>
      </c>
      <c r="AW748">
        <v>9</v>
      </c>
      <c r="AX748" t="s">
        <v>74</v>
      </c>
      <c r="AY748" t="s">
        <v>74</v>
      </c>
      <c r="AZ748" t="s">
        <v>74</v>
      </c>
      <c r="BA748" t="s">
        <v>74</v>
      </c>
      <c r="BB748">
        <v>927</v>
      </c>
      <c r="BC748">
        <v>935</v>
      </c>
      <c r="BD748" t="s">
        <v>74</v>
      </c>
      <c r="BE748" t="s">
        <v>14123</v>
      </c>
      <c r="BF748" t="str">
        <f>HYPERLINK("http://dx.doi.org/10.1134/S0001433820090285","http://dx.doi.org/10.1134/S0001433820090285")</f>
        <v>http://dx.doi.org/10.1134/S0001433820090285</v>
      </c>
      <c r="BG748" t="s">
        <v>74</v>
      </c>
      <c r="BH748" t="s">
        <v>74</v>
      </c>
      <c r="BI748">
        <v>9</v>
      </c>
      <c r="BJ748" t="s">
        <v>938</v>
      </c>
      <c r="BK748" t="s">
        <v>103</v>
      </c>
      <c r="BL748" t="s">
        <v>938</v>
      </c>
      <c r="BM748" t="s">
        <v>14124</v>
      </c>
      <c r="BN748" t="s">
        <v>74</v>
      </c>
      <c r="BO748" t="s">
        <v>74</v>
      </c>
      <c r="BP748" t="s">
        <v>74</v>
      </c>
      <c r="BQ748" t="s">
        <v>74</v>
      </c>
      <c r="BR748" t="s">
        <v>106</v>
      </c>
      <c r="BS748" t="s">
        <v>14125</v>
      </c>
      <c r="BT748" t="str">
        <f>HYPERLINK("https%3A%2F%2Fwww.webofscience.com%2Fwos%2Fwoscc%2Ffull-record%2FWOS:000621859500005","View Full Record in Web of Science")</f>
        <v>View Full Record in Web of Science</v>
      </c>
    </row>
    <row r="749" spans="1:72" x14ac:dyDescent="0.15">
      <c r="A749" t="s">
        <v>72</v>
      </c>
      <c r="B749" t="s">
        <v>14126</v>
      </c>
      <c r="C749" t="s">
        <v>74</v>
      </c>
      <c r="D749" t="s">
        <v>74</v>
      </c>
      <c r="E749" t="s">
        <v>74</v>
      </c>
      <c r="F749" t="s">
        <v>14127</v>
      </c>
      <c r="G749" t="s">
        <v>74</v>
      </c>
      <c r="H749" t="s">
        <v>74</v>
      </c>
      <c r="I749" t="s">
        <v>14128</v>
      </c>
      <c r="J749" t="s">
        <v>14129</v>
      </c>
      <c r="K749" t="s">
        <v>74</v>
      </c>
      <c r="L749" t="s">
        <v>74</v>
      </c>
      <c r="M749" t="s">
        <v>78</v>
      </c>
      <c r="N749" t="s">
        <v>79</v>
      </c>
      <c r="O749" t="s">
        <v>74</v>
      </c>
      <c r="P749" t="s">
        <v>74</v>
      </c>
      <c r="Q749" t="s">
        <v>74</v>
      </c>
      <c r="R749" t="s">
        <v>74</v>
      </c>
      <c r="S749" t="s">
        <v>74</v>
      </c>
      <c r="T749" t="s">
        <v>14130</v>
      </c>
      <c r="U749" t="s">
        <v>74</v>
      </c>
      <c r="V749" t="s">
        <v>14131</v>
      </c>
      <c r="W749" t="s">
        <v>14132</v>
      </c>
      <c r="X749" t="s">
        <v>14133</v>
      </c>
      <c r="Y749" t="s">
        <v>14134</v>
      </c>
      <c r="Z749" t="s">
        <v>14135</v>
      </c>
      <c r="AA749" t="s">
        <v>14136</v>
      </c>
      <c r="AB749" t="s">
        <v>14137</v>
      </c>
      <c r="AC749" t="s">
        <v>14138</v>
      </c>
      <c r="AD749" t="s">
        <v>14139</v>
      </c>
      <c r="AE749" t="s">
        <v>14140</v>
      </c>
      <c r="AF749" t="s">
        <v>74</v>
      </c>
      <c r="AG749">
        <v>43</v>
      </c>
      <c r="AH749">
        <v>12</v>
      </c>
      <c r="AI749">
        <v>12</v>
      </c>
      <c r="AJ749">
        <v>3</v>
      </c>
      <c r="AK749">
        <v>17</v>
      </c>
      <c r="AL749" t="s">
        <v>418</v>
      </c>
      <c r="AM749" t="s">
        <v>178</v>
      </c>
      <c r="AN749" t="s">
        <v>419</v>
      </c>
      <c r="AO749" t="s">
        <v>14141</v>
      </c>
      <c r="AP749" t="s">
        <v>14142</v>
      </c>
      <c r="AQ749" t="s">
        <v>74</v>
      </c>
      <c r="AR749" t="s">
        <v>14143</v>
      </c>
      <c r="AS749" t="s">
        <v>14144</v>
      </c>
      <c r="AT749" t="s">
        <v>12678</v>
      </c>
      <c r="AU749">
        <v>2020</v>
      </c>
      <c r="AV749">
        <v>177</v>
      </c>
      <c r="AW749" t="s">
        <v>74</v>
      </c>
      <c r="AX749" t="s">
        <v>74</v>
      </c>
      <c r="AY749" t="s">
        <v>74</v>
      </c>
      <c r="AZ749" t="s">
        <v>74</v>
      </c>
      <c r="BA749" t="s">
        <v>74</v>
      </c>
      <c r="BB749">
        <v>545</v>
      </c>
      <c r="BC749">
        <v>551</v>
      </c>
      <c r="BD749" t="s">
        <v>74</v>
      </c>
      <c r="BE749" t="s">
        <v>14145</v>
      </c>
      <c r="BF749" t="str">
        <f>HYPERLINK("http://dx.doi.org/10.1016/j.actaastro.2020.08.018","http://dx.doi.org/10.1016/j.actaastro.2020.08.018")</f>
        <v>http://dx.doi.org/10.1016/j.actaastro.2020.08.018</v>
      </c>
      <c r="BG749" t="s">
        <v>74</v>
      </c>
      <c r="BH749" t="s">
        <v>74</v>
      </c>
      <c r="BI749">
        <v>7</v>
      </c>
      <c r="BJ749" t="s">
        <v>14146</v>
      </c>
      <c r="BK749" t="s">
        <v>271</v>
      </c>
      <c r="BL749" t="s">
        <v>187</v>
      </c>
      <c r="BM749" t="s">
        <v>14147</v>
      </c>
      <c r="BN749" t="s">
        <v>74</v>
      </c>
      <c r="BO749" t="s">
        <v>74</v>
      </c>
      <c r="BP749" t="s">
        <v>74</v>
      </c>
      <c r="BQ749" t="s">
        <v>74</v>
      </c>
      <c r="BR749" t="s">
        <v>106</v>
      </c>
      <c r="BS749" t="s">
        <v>14148</v>
      </c>
      <c r="BT749" t="str">
        <f>HYPERLINK("https%3A%2F%2Fwww.webofscience.com%2Fwos%2Fwoscc%2Ffull-record%2FWOS:000597824900049","View Full Record in Web of Science")</f>
        <v>View Full Record in Web of Science</v>
      </c>
    </row>
    <row r="750" spans="1:72" x14ac:dyDescent="0.15">
      <c r="A750" t="s">
        <v>72</v>
      </c>
      <c r="B750" t="s">
        <v>14149</v>
      </c>
      <c r="C750" t="s">
        <v>74</v>
      </c>
      <c r="D750" t="s">
        <v>74</v>
      </c>
      <c r="E750" t="s">
        <v>74</v>
      </c>
      <c r="F750" t="s">
        <v>14150</v>
      </c>
      <c r="G750" t="s">
        <v>74</v>
      </c>
      <c r="H750" t="s">
        <v>74</v>
      </c>
      <c r="I750" t="s">
        <v>14151</v>
      </c>
      <c r="J750" t="s">
        <v>14152</v>
      </c>
      <c r="K750" t="s">
        <v>74</v>
      </c>
      <c r="L750" t="s">
        <v>74</v>
      </c>
      <c r="M750" t="s">
        <v>78</v>
      </c>
      <c r="N750" t="s">
        <v>79</v>
      </c>
      <c r="O750" t="s">
        <v>74</v>
      </c>
      <c r="P750" t="s">
        <v>74</v>
      </c>
      <c r="Q750" t="s">
        <v>74</v>
      </c>
      <c r="R750" t="s">
        <v>74</v>
      </c>
      <c r="S750" t="s">
        <v>74</v>
      </c>
      <c r="T750" t="s">
        <v>14153</v>
      </c>
      <c r="U750" t="s">
        <v>74</v>
      </c>
      <c r="V750" t="s">
        <v>14154</v>
      </c>
      <c r="W750" t="s">
        <v>14155</v>
      </c>
      <c r="X750" t="s">
        <v>5491</v>
      </c>
      <c r="Y750" t="s">
        <v>14156</v>
      </c>
      <c r="Z750" t="s">
        <v>14157</v>
      </c>
      <c r="AA750" t="s">
        <v>14158</v>
      </c>
      <c r="AB750" t="s">
        <v>74</v>
      </c>
      <c r="AC750" t="s">
        <v>74</v>
      </c>
      <c r="AD750" t="s">
        <v>74</v>
      </c>
      <c r="AE750" t="s">
        <v>74</v>
      </c>
      <c r="AF750" t="s">
        <v>74</v>
      </c>
      <c r="AG750">
        <v>62</v>
      </c>
      <c r="AH750">
        <v>4</v>
      </c>
      <c r="AI750">
        <v>4</v>
      </c>
      <c r="AJ750">
        <v>0</v>
      </c>
      <c r="AK750">
        <v>1</v>
      </c>
      <c r="AL750" t="s">
        <v>6635</v>
      </c>
      <c r="AM750" t="s">
        <v>473</v>
      </c>
      <c r="AN750" t="s">
        <v>6636</v>
      </c>
      <c r="AO750" t="s">
        <v>14159</v>
      </c>
      <c r="AP750" t="s">
        <v>14160</v>
      </c>
      <c r="AQ750" t="s">
        <v>74</v>
      </c>
      <c r="AR750" t="s">
        <v>14161</v>
      </c>
      <c r="AS750" t="s">
        <v>14162</v>
      </c>
      <c r="AT750" t="s">
        <v>12678</v>
      </c>
      <c r="AU750">
        <v>2020</v>
      </c>
      <c r="AV750">
        <v>62</v>
      </c>
      <c r="AW750">
        <v>7</v>
      </c>
      <c r="AX750" t="s">
        <v>74</v>
      </c>
      <c r="AY750" t="s">
        <v>74</v>
      </c>
      <c r="AZ750" t="s">
        <v>74</v>
      </c>
      <c r="BA750" t="s">
        <v>74</v>
      </c>
      <c r="BB750">
        <v>584</v>
      </c>
      <c r="BC750">
        <v>598</v>
      </c>
      <c r="BD750" t="s">
        <v>74</v>
      </c>
      <c r="BE750" t="s">
        <v>14163</v>
      </c>
      <c r="BF750" t="str">
        <f>HYPERLINK("http://dx.doi.org/10.1134/S1075701520070053","http://dx.doi.org/10.1134/S1075701520070053")</f>
        <v>http://dx.doi.org/10.1134/S1075701520070053</v>
      </c>
      <c r="BG750" t="s">
        <v>74</v>
      </c>
      <c r="BH750" t="s">
        <v>74</v>
      </c>
      <c r="BI750">
        <v>15</v>
      </c>
      <c r="BJ750" t="s">
        <v>14164</v>
      </c>
      <c r="BK750" t="s">
        <v>103</v>
      </c>
      <c r="BL750" t="s">
        <v>14164</v>
      </c>
      <c r="BM750" t="s">
        <v>14165</v>
      </c>
      <c r="BN750" t="s">
        <v>74</v>
      </c>
      <c r="BO750" t="s">
        <v>74</v>
      </c>
      <c r="BP750" t="s">
        <v>74</v>
      </c>
      <c r="BQ750" t="s">
        <v>74</v>
      </c>
      <c r="BR750" t="s">
        <v>106</v>
      </c>
      <c r="BS750" t="s">
        <v>14166</v>
      </c>
      <c r="BT750" t="str">
        <f>HYPERLINK("https%3A%2F%2Fwww.webofscience.com%2Fwos%2Fwoscc%2Ffull-record%2FWOS:000616319600005","View Full Record in Web of Science")</f>
        <v>View Full Record in Web of Science</v>
      </c>
    </row>
    <row r="751" spans="1:72" x14ac:dyDescent="0.15">
      <c r="A751" t="s">
        <v>72</v>
      </c>
      <c r="B751" t="s">
        <v>14167</v>
      </c>
      <c r="C751" t="s">
        <v>74</v>
      </c>
      <c r="D751" t="s">
        <v>74</v>
      </c>
      <c r="E751" t="s">
        <v>74</v>
      </c>
      <c r="F751" t="s">
        <v>14168</v>
      </c>
      <c r="G751" t="s">
        <v>74</v>
      </c>
      <c r="H751" t="s">
        <v>74</v>
      </c>
      <c r="I751" t="s">
        <v>14169</v>
      </c>
      <c r="J751" t="s">
        <v>10756</v>
      </c>
      <c r="K751" t="s">
        <v>74</v>
      </c>
      <c r="L751" t="s">
        <v>74</v>
      </c>
      <c r="M751" t="s">
        <v>78</v>
      </c>
      <c r="N751" t="s">
        <v>79</v>
      </c>
      <c r="O751" t="s">
        <v>74</v>
      </c>
      <c r="P751" t="s">
        <v>74</v>
      </c>
      <c r="Q751" t="s">
        <v>74</v>
      </c>
      <c r="R751" t="s">
        <v>74</v>
      </c>
      <c r="S751" t="s">
        <v>74</v>
      </c>
      <c r="T751" t="s">
        <v>14170</v>
      </c>
      <c r="U751" t="s">
        <v>74</v>
      </c>
      <c r="V751" t="s">
        <v>14171</v>
      </c>
      <c r="W751" t="s">
        <v>14172</v>
      </c>
      <c r="X751" t="s">
        <v>14173</v>
      </c>
      <c r="Y751" t="s">
        <v>14174</v>
      </c>
      <c r="Z751" t="s">
        <v>14175</v>
      </c>
      <c r="AA751" t="s">
        <v>14176</v>
      </c>
      <c r="AB751" t="s">
        <v>14177</v>
      </c>
      <c r="AC751" t="s">
        <v>14178</v>
      </c>
      <c r="AD751" t="s">
        <v>14179</v>
      </c>
      <c r="AE751" t="s">
        <v>14180</v>
      </c>
      <c r="AF751" t="s">
        <v>74</v>
      </c>
      <c r="AG751">
        <v>73</v>
      </c>
      <c r="AH751">
        <v>27</v>
      </c>
      <c r="AI751">
        <v>31</v>
      </c>
      <c r="AJ751">
        <v>10</v>
      </c>
      <c r="AK751">
        <v>37</v>
      </c>
      <c r="AL751" t="s">
        <v>14181</v>
      </c>
      <c r="AM751" t="s">
        <v>10770</v>
      </c>
      <c r="AN751" t="s">
        <v>10771</v>
      </c>
      <c r="AO751" t="s">
        <v>10772</v>
      </c>
      <c r="AP751" t="s">
        <v>74</v>
      </c>
      <c r="AQ751" t="s">
        <v>74</v>
      </c>
      <c r="AR751" t="s">
        <v>10773</v>
      </c>
      <c r="AS751" t="s">
        <v>10774</v>
      </c>
      <c r="AT751" t="s">
        <v>12678</v>
      </c>
      <c r="AU751">
        <v>2020</v>
      </c>
      <c r="AV751">
        <v>15</v>
      </c>
      <c r="AW751">
        <v>12</v>
      </c>
      <c r="AX751" t="s">
        <v>74</v>
      </c>
      <c r="AY751" t="s">
        <v>74</v>
      </c>
      <c r="AZ751" t="s">
        <v>74</v>
      </c>
      <c r="BA751" t="s">
        <v>74</v>
      </c>
      <c r="BB751" t="s">
        <v>74</v>
      </c>
      <c r="BC751" t="s">
        <v>74</v>
      </c>
      <c r="BD751">
        <v>124075</v>
      </c>
      <c r="BE751" t="s">
        <v>14182</v>
      </c>
      <c r="BF751" t="str">
        <f>HYPERLINK("http://dx.doi.org/10.1088/1748-9326/abcc29","http://dx.doi.org/10.1088/1748-9326/abcc29")</f>
        <v>http://dx.doi.org/10.1088/1748-9326/abcc29</v>
      </c>
      <c r="BG751" t="s">
        <v>74</v>
      </c>
      <c r="BH751" t="s">
        <v>74</v>
      </c>
      <c r="BI751">
        <v>13</v>
      </c>
      <c r="BJ751" t="s">
        <v>132</v>
      </c>
      <c r="BK751" t="s">
        <v>103</v>
      </c>
      <c r="BL751" t="s">
        <v>133</v>
      </c>
      <c r="BM751" t="s">
        <v>14183</v>
      </c>
      <c r="BN751" t="s">
        <v>74</v>
      </c>
      <c r="BO751" t="s">
        <v>14184</v>
      </c>
      <c r="BP751" t="s">
        <v>74</v>
      </c>
      <c r="BQ751" t="s">
        <v>74</v>
      </c>
      <c r="BR751" t="s">
        <v>106</v>
      </c>
      <c r="BS751" t="s">
        <v>14185</v>
      </c>
      <c r="BT751" t="str">
        <f>HYPERLINK("https%3A%2F%2Fwww.webofscience.com%2Fwos%2Fwoscc%2Ffull-record%2FWOS:000619408500001","View Full Record in Web of Science")</f>
        <v>View Full Record in Web of Science</v>
      </c>
    </row>
    <row r="752" spans="1:72" x14ac:dyDescent="0.15">
      <c r="A752" t="s">
        <v>72</v>
      </c>
      <c r="B752" t="s">
        <v>14186</v>
      </c>
      <c r="C752" t="s">
        <v>74</v>
      </c>
      <c r="D752" t="s">
        <v>74</v>
      </c>
      <c r="E752" t="s">
        <v>74</v>
      </c>
      <c r="F752" t="s">
        <v>14187</v>
      </c>
      <c r="G752" t="s">
        <v>74</v>
      </c>
      <c r="H752" t="s">
        <v>74</v>
      </c>
      <c r="I752" t="s">
        <v>14188</v>
      </c>
      <c r="J752" t="s">
        <v>14189</v>
      </c>
      <c r="K752" t="s">
        <v>74</v>
      </c>
      <c r="L752" t="s">
        <v>74</v>
      </c>
      <c r="M752" t="s">
        <v>78</v>
      </c>
      <c r="N752" t="s">
        <v>141</v>
      </c>
      <c r="O752" t="s">
        <v>74</v>
      </c>
      <c r="P752" t="s">
        <v>74</v>
      </c>
      <c r="Q752" t="s">
        <v>74</v>
      </c>
      <c r="R752" t="s">
        <v>74</v>
      </c>
      <c r="S752" t="s">
        <v>74</v>
      </c>
      <c r="T752" t="s">
        <v>14190</v>
      </c>
      <c r="U752" t="s">
        <v>14191</v>
      </c>
      <c r="V752" t="s">
        <v>14192</v>
      </c>
      <c r="W752" t="s">
        <v>14193</v>
      </c>
      <c r="X752" t="s">
        <v>14194</v>
      </c>
      <c r="Y752" t="s">
        <v>14195</v>
      </c>
      <c r="Z752" t="s">
        <v>14196</v>
      </c>
      <c r="AA752" t="s">
        <v>14197</v>
      </c>
      <c r="AB752" t="s">
        <v>74</v>
      </c>
      <c r="AC752" t="s">
        <v>14198</v>
      </c>
      <c r="AD752" t="s">
        <v>14199</v>
      </c>
      <c r="AE752" t="s">
        <v>14200</v>
      </c>
      <c r="AF752" t="s">
        <v>74</v>
      </c>
      <c r="AG752">
        <v>293</v>
      </c>
      <c r="AH752">
        <v>10</v>
      </c>
      <c r="AI752">
        <v>10</v>
      </c>
      <c r="AJ752">
        <v>2</v>
      </c>
      <c r="AK752">
        <v>7</v>
      </c>
      <c r="AL752" t="s">
        <v>14201</v>
      </c>
      <c r="AM752" t="s">
        <v>14202</v>
      </c>
      <c r="AN752" t="s">
        <v>14203</v>
      </c>
      <c r="AO752" t="s">
        <v>14204</v>
      </c>
      <c r="AP752" t="s">
        <v>14205</v>
      </c>
      <c r="AQ752" t="s">
        <v>74</v>
      </c>
      <c r="AR752" t="s">
        <v>14206</v>
      </c>
      <c r="AS752" t="s">
        <v>14207</v>
      </c>
      <c r="AT752" t="s">
        <v>12678</v>
      </c>
      <c r="AU752">
        <v>2020</v>
      </c>
      <c r="AV752">
        <v>80</v>
      </c>
      <c r="AW752">
        <v>4</v>
      </c>
      <c r="AX752" t="s">
        <v>74</v>
      </c>
      <c r="AY752" t="s">
        <v>74</v>
      </c>
      <c r="AZ752" t="s">
        <v>74</v>
      </c>
      <c r="BA752" t="s">
        <v>74</v>
      </c>
      <c r="BB752" t="s">
        <v>74</v>
      </c>
      <c r="BC752" t="s">
        <v>74</v>
      </c>
      <c r="BD752">
        <v>125631</v>
      </c>
      <c r="BE752" t="s">
        <v>14208</v>
      </c>
      <c r="BF752" t="str">
        <f>HYPERLINK("http://dx.doi.org/10.1016/j.chemer.2020.125631","http://dx.doi.org/10.1016/j.chemer.2020.125631")</f>
        <v>http://dx.doi.org/10.1016/j.chemer.2020.125631</v>
      </c>
      <c r="BG752" t="s">
        <v>74</v>
      </c>
      <c r="BH752" t="s">
        <v>74</v>
      </c>
      <c r="BI752">
        <v>47</v>
      </c>
      <c r="BJ752" t="s">
        <v>426</v>
      </c>
      <c r="BK752" t="s">
        <v>103</v>
      </c>
      <c r="BL752" t="s">
        <v>426</v>
      </c>
      <c r="BM752" t="s">
        <v>14209</v>
      </c>
      <c r="BN752" t="s">
        <v>74</v>
      </c>
      <c r="BO752" t="s">
        <v>218</v>
      </c>
      <c r="BP752" t="s">
        <v>74</v>
      </c>
      <c r="BQ752" t="s">
        <v>74</v>
      </c>
      <c r="BR752" t="s">
        <v>106</v>
      </c>
      <c r="BS752" t="s">
        <v>14210</v>
      </c>
      <c r="BT752" t="str">
        <f>HYPERLINK("https%3A%2F%2Fwww.webofscience.com%2Fwos%2Fwoscc%2Ffull-record%2FWOS:000617623200002","View Full Record in Web of Science")</f>
        <v>View Full Record in Web of Science</v>
      </c>
    </row>
    <row r="753" spans="1:72" x14ac:dyDescent="0.15">
      <c r="A753" t="s">
        <v>72</v>
      </c>
      <c r="B753" t="s">
        <v>14211</v>
      </c>
      <c r="C753" t="s">
        <v>74</v>
      </c>
      <c r="D753" t="s">
        <v>74</v>
      </c>
      <c r="E753" t="s">
        <v>74</v>
      </c>
      <c r="F753" t="s">
        <v>14212</v>
      </c>
      <c r="G753" t="s">
        <v>74</v>
      </c>
      <c r="H753" t="s">
        <v>74</v>
      </c>
      <c r="I753" t="s">
        <v>14213</v>
      </c>
      <c r="J753" t="s">
        <v>14214</v>
      </c>
      <c r="K753" t="s">
        <v>74</v>
      </c>
      <c r="L753" t="s">
        <v>74</v>
      </c>
      <c r="M753" t="s">
        <v>14215</v>
      </c>
      <c r="N753" t="s">
        <v>79</v>
      </c>
      <c r="O753" t="s">
        <v>74</v>
      </c>
      <c r="P753" t="s">
        <v>74</v>
      </c>
      <c r="Q753" t="s">
        <v>74</v>
      </c>
      <c r="R753" t="s">
        <v>74</v>
      </c>
      <c r="S753" t="s">
        <v>74</v>
      </c>
      <c r="T753" t="s">
        <v>14216</v>
      </c>
      <c r="U753" t="s">
        <v>14217</v>
      </c>
      <c r="V753" t="s">
        <v>14218</v>
      </c>
      <c r="W753" t="s">
        <v>14219</v>
      </c>
      <c r="X753" t="s">
        <v>14220</v>
      </c>
      <c r="Y753" t="s">
        <v>14221</v>
      </c>
      <c r="Z753" t="s">
        <v>14222</v>
      </c>
      <c r="AA753" t="s">
        <v>74</v>
      </c>
      <c r="AB753" t="s">
        <v>14223</v>
      </c>
      <c r="AC753" t="s">
        <v>74</v>
      </c>
      <c r="AD753" t="s">
        <v>74</v>
      </c>
      <c r="AE753" t="s">
        <v>74</v>
      </c>
      <c r="AF753" t="s">
        <v>74</v>
      </c>
      <c r="AG753">
        <v>39</v>
      </c>
      <c r="AH753">
        <v>1</v>
      </c>
      <c r="AI753">
        <v>1</v>
      </c>
      <c r="AJ753">
        <v>0</v>
      </c>
      <c r="AK753">
        <v>6</v>
      </c>
      <c r="AL753" t="s">
        <v>14224</v>
      </c>
      <c r="AM753" t="s">
        <v>14225</v>
      </c>
      <c r="AN753" t="s">
        <v>14226</v>
      </c>
      <c r="AO753" t="s">
        <v>14227</v>
      </c>
      <c r="AP753" t="s">
        <v>14228</v>
      </c>
      <c r="AQ753" t="s">
        <v>74</v>
      </c>
      <c r="AR753" t="s">
        <v>14229</v>
      </c>
      <c r="AS753" t="s">
        <v>14230</v>
      </c>
      <c r="AT753" t="s">
        <v>12678</v>
      </c>
      <c r="AU753">
        <v>2020</v>
      </c>
      <c r="AV753">
        <v>41</v>
      </c>
      <c r="AW753">
        <v>6</v>
      </c>
      <c r="AX753" t="s">
        <v>74</v>
      </c>
      <c r="AY753" t="s">
        <v>74</v>
      </c>
      <c r="AZ753" t="s">
        <v>74</v>
      </c>
      <c r="BA753" t="s">
        <v>74</v>
      </c>
      <c r="BB753">
        <v>599</v>
      </c>
      <c r="BC753">
        <v>616</v>
      </c>
      <c r="BD753" t="s">
        <v>74</v>
      </c>
      <c r="BE753" t="s">
        <v>14231</v>
      </c>
      <c r="BF753" t="str">
        <f>HYPERLINK("http://dx.doi.org/10.5467/JKESS.2020.41.6.599","http://dx.doi.org/10.5467/JKESS.2020.41.6.599")</f>
        <v>http://dx.doi.org/10.5467/JKESS.2020.41.6.599</v>
      </c>
      <c r="BG753" t="s">
        <v>74</v>
      </c>
      <c r="BH753" t="s">
        <v>74</v>
      </c>
      <c r="BI753">
        <v>18</v>
      </c>
      <c r="BJ753" t="s">
        <v>401</v>
      </c>
      <c r="BK753" t="s">
        <v>3050</v>
      </c>
      <c r="BL753" t="s">
        <v>402</v>
      </c>
      <c r="BM753" t="s">
        <v>14232</v>
      </c>
      <c r="BN753" t="s">
        <v>74</v>
      </c>
      <c r="BO753" t="s">
        <v>74</v>
      </c>
      <c r="BP753" t="s">
        <v>74</v>
      </c>
      <c r="BQ753" t="s">
        <v>74</v>
      </c>
      <c r="BR753" t="s">
        <v>106</v>
      </c>
      <c r="BS753" t="s">
        <v>14233</v>
      </c>
      <c r="BT753" t="str">
        <f>HYPERLINK("https%3A%2F%2Fwww.webofscience.com%2Fwos%2Fwoscc%2Ffull-record%2FWOS:000615104700004","View Full Record in Web of Science")</f>
        <v>View Full Record in Web of Science</v>
      </c>
    </row>
    <row r="754" spans="1:72" x14ac:dyDescent="0.15">
      <c r="A754" t="s">
        <v>72</v>
      </c>
      <c r="B754" t="s">
        <v>14234</v>
      </c>
      <c r="C754" t="s">
        <v>74</v>
      </c>
      <c r="D754" t="s">
        <v>74</v>
      </c>
      <c r="E754" t="s">
        <v>74</v>
      </c>
      <c r="F754" t="s">
        <v>14235</v>
      </c>
      <c r="G754" t="s">
        <v>74</v>
      </c>
      <c r="H754" t="s">
        <v>74</v>
      </c>
      <c r="I754" t="s">
        <v>14236</v>
      </c>
      <c r="J754" t="s">
        <v>14237</v>
      </c>
      <c r="K754" t="s">
        <v>74</v>
      </c>
      <c r="L754" t="s">
        <v>74</v>
      </c>
      <c r="M754" t="s">
        <v>78</v>
      </c>
      <c r="N754" t="s">
        <v>79</v>
      </c>
      <c r="O754" t="s">
        <v>74</v>
      </c>
      <c r="P754" t="s">
        <v>74</v>
      </c>
      <c r="Q754" t="s">
        <v>74</v>
      </c>
      <c r="R754" t="s">
        <v>74</v>
      </c>
      <c r="S754" t="s">
        <v>74</v>
      </c>
      <c r="T754" t="s">
        <v>14238</v>
      </c>
      <c r="U754" t="s">
        <v>14239</v>
      </c>
      <c r="V754" t="s">
        <v>14240</v>
      </c>
      <c r="W754" t="s">
        <v>14241</v>
      </c>
      <c r="X754" t="s">
        <v>14242</v>
      </c>
      <c r="Y754" t="s">
        <v>14243</v>
      </c>
      <c r="Z754" t="s">
        <v>14244</v>
      </c>
      <c r="AA754" t="s">
        <v>14245</v>
      </c>
      <c r="AB754" t="s">
        <v>14246</v>
      </c>
      <c r="AC754" t="s">
        <v>14247</v>
      </c>
      <c r="AD754" t="s">
        <v>14248</v>
      </c>
      <c r="AE754" t="s">
        <v>14249</v>
      </c>
      <c r="AF754" t="s">
        <v>74</v>
      </c>
      <c r="AG754">
        <v>111</v>
      </c>
      <c r="AH754">
        <v>11</v>
      </c>
      <c r="AI754">
        <v>11</v>
      </c>
      <c r="AJ754">
        <v>3</v>
      </c>
      <c r="AK754">
        <v>13</v>
      </c>
      <c r="AL754" t="s">
        <v>10769</v>
      </c>
      <c r="AM754" t="s">
        <v>10770</v>
      </c>
      <c r="AN754" t="s">
        <v>10771</v>
      </c>
      <c r="AO754" t="s">
        <v>14250</v>
      </c>
      <c r="AP754" t="s">
        <v>74</v>
      </c>
      <c r="AQ754" t="s">
        <v>74</v>
      </c>
      <c r="AR754" t="s">
        <v>14251</v>
      </c>
      <c r="AS754" t="s">
        <v>14252</v>
      </c>
      <c r="AT754" t="s">
        <v>12678</v>
      </c>
      <c r="AU754">
        <v>2020</v>
      </c>
      <c r="AV754">
        <v>22</v>
      </c>
      <c r="AW754">
        <v>12</v>
      </c>
      <c r="AX754" t="s">
        <v>74</v>
      </c>
      <c r="AY754" t="s">
        <v>74</v>
      </c>
      <c r="AZ754" t="s">
        <v>74</v>
      </c>
      <c r="BA754" t="s">
        <v>74</v>
      </c>
      <c r="BB754" t="s">
        <v>74</v>
      </c>
      <c r="BC754" t="s">
        <v>74</v>
      </c>
      <c r="BD754">
        <v>123031</v>
      </c>
      <c r="BE754" t="s">
        <v>14253</v>
      </c>
      <c r="BF754" t="str">
        <f>HYPERLINK("http://dx.doi.org/10.1088/1367-2630/abc98a","http://dx.doi.org/10.1088/1367-2630/abc98a")</f>
        <v>http://dx.doi.org/10.1088/1367-2630/abc98a</v>
      </c>
      <c r="BG754" t="s">
        <v>74</v>
      </c>
      <c r="BH754" t="s">
        <v>74</v>
      </c>
      <c r="BI754">
        <v>21</v>
      </c>
      <c r="BJ754" t="s">
        <v>6261</v>
      </c>
      <c r="BK754" t="s">
        <v>103</v>
      </c>
      <c r="BL754" t="s">
        <v>6262</v>
      </c>
      <c r="BM754" t="s">
        <v>14254</v>
      </c>
      <c r="BN754" t="s">
        <v>74</v>
      </c>
      <c r="BO754" t="s">
        <v>14184</v>
      </c>
      <c r="BP754" t="s">
        <v>74</v>
      </c>
      <c r="BQ754" t="s">
        <v>74</v>
      </c>
      <c r="BR754" t="s">
        <v>106</v>
      </c>
      <c r="BS754" t="s">
        <v>14255</v>
      </c>
      <c r="BT754" t="str">
        <f>HYPERLINK("https%3A%2F%2Fwww.webofscience.com%2Fwos%2Fwoscc%2Ffull-record%2FWOS:000618032100001","View Full Record in Web of Science")</f>
        <v>View Full Record in Web of Science</v>
      </c>
    </row>
    <row r="755" spans="1:72" x14ac:dyDescent="0.15">
      <c r="A755" t="s">
        <v>72</v>
      </c>
      <c r="B755" t="s">
        <v>14256</v>
      </c>
      <c r="C755" t="s">
        <v>74</v>
      </c>
      <c r="D755" t="s">
        <v>74</v>
      </c>
      <c r="E755" t="s">
        <v>74</v>
      </c>
      <c r="F755" t="s">
        <v>14257</v>
      </c>
      <c r="G755" t="s">
        <v>74</v>
      </c>
      <c r="H755" t="s">
        <v>74</v>
      </c>
      <c r="I755" t="s">
        <v>14258</v>
      </c>
      <c r="J755" t="s">
        <v>14259</v>
      </c>
      <c r="K755" t="s">
        <v>74</v>
      </c>
      <c r="L755" t="s">
        <v>74</v>
      </c>
      <c r="M755" t="s">
        <v>78</v>
      </c>
      <c r="N755" t="s">
        <v>79</v>
      </c>
      <c r="O755" t="s">
        <v>74</v>
      </c>
      <c r="P755" t="s">
        <v>74</v>
      </c>
      <c r="Q755" t="s">
        <v>74</v>
      </c>
      <c r="R755" t="s">
        <v>74</v>
      </c>
      <c r="S755" t="s">
        <v>74</v>
      </c>
      <c r="T755" t="s">
        <v>74</v>
      </c>
      <c r="U755" t="s">
        <v>74</v>
      </c>
      <c r="V755" t="s">
        <v>14260</v>
      </c>
      <c r="W755" t="s">
        <v>14261</v>
      </c>
      <c r="X755" t="s">
        <v>14262</v>
      </c>
      <c r="Y755" t="s">
        <v>14263</v>
      </c>
      <c r="Z755" t="s">
        <v>74</v>
      </c>
      <c r="AA755" t="s">
        <v>14264</v>
      </c>
      <c r="AB755" t="s">
        <v>14265</v>
      </c>
      <c r="AC755" t="s">
        <v>74</v>
      </c>
      <c r="AD755" t="s">
        <v>74</v>
      </c>
      <c r="AE755" t="s">
        <v>74</v>
      </c>
      <c r="AF755" t="s">
        <v>74</v>
      </c>
      <c r="AG755">
        <v>6</v>
      </c>
      <c r="AH755">
        <v>2</v>
      </c>
      <c r="AI755">
        <v>2</v>
      </c>
      <c r="AJ755">
        <v>1</v>
      </c>
      <c r="AK755">
        <v>3</v>
      </c>
      <c r="AL755" t="s">
        <v>14266</v>
      </c>
      <c r="AM755" t="s">
        <v>14267</v>
      </c>
      <c r="AN755" t="s">
        <v>14268</v>
      </c>
      <c r="AO755" t="s">
        <v>14269</v>
      </c>
      <c r="AP755" t="s">
        <v>14270</v>
      </c>
      <c r="AQ755" t="s">
        <v>74</v>
      </c>
      <c r="AR755" t="s">
        <v>14271</v>
      </c>
      <c r="AS755" t="s">
        <v>14272</v>
      </c>
      <c r="AT755" t="s">
        <v>12678</v>
      </c>
      <c r="AU755">
        <v>2020</v>
      </c>
      <c r="AV755">
        <v>14</v>
      </c>
      <c r="AW755">
        <v>4</v>
      </c>
      <c r="AX755" t="s">
        <v>74</v>
      </c>
      <c r="AY755" t="s">
        <v>74</v>
      </c>
      <c r="AZ755" t="s">
        <v>74</v>
      </c>
      <c r="BA755" t="s">
        <v>74</v>
      </c>
      <c r="BB755">
        <v>923</v>
      </c>
      <c r="BC755">
        <v>928</v>
      </c>
      <c r="BD755" t="s">
        <v>74</v>
      </c>
      <c r="BE755" t="s">
        <v>14273</v>
      </c>
      <c r="BF755" t="str">
        <f>HYPERLINK("http://dx.doi.org/10.12716/1001.14.04.17","http://dx.doi.org/10.12716/1001.14.04.17")</f>
        <v>http://dx.doi.org/10.12716/1001.14.04.17</v>
      </c>
      <c r="BG755" t="s">
        <v>74</v>
      </c>
      <c r="BH755" t="s">
        <v>74</v>
      </c>
      <c r="BI755">
        <v>6</v>
      </c>
      <c r="BJ755" t="s">
        <v>14274</v>
      </c>
      <c r="BK755" t="s">
        <v>3050</v>
      </c>
      <c r="BL755" t="s">
        <v>14275</v>
      </c>
      <c r="BM755" t="s">
        <v>14276</v>
      </c>
      <c r="BN755" t="s">
        <v>74</v>
      </c>
      <c r="BO755" t="s">
        <v>917</v>
      </c>
      <c r="BP755" t="s">
        <v>74</v>
      </c>
      <c r="BQ755" t="s">
        <v>74</v>
      </c>
      <c r="BR755" t="s">
        <v>106</v>
      </c>
      <c r="BS755" t="s">
        <v>14277</v>
      </c>
      <c r="BT755" t="str">
        <f>HYPERLINK("https%3A%2F%2Fwww.webofscience.com%2Fwos%2Fwoscc%2Ffull-record%2FWOS:000615095900017","View Full Record in Web of Science")</f>
        <v>View Full Record in Web of Science</v>
      </c>
    </row>
    <row r="756" spans="1:72" x14ac:dyDescent="0.15">
      <c r="A756" t="s">
        <v>72</v>
      </c>
      <c r="B756" t="s">
        <v>14278</v>
      </c>
      <c r="C756" t="s">
        <v>74</v>
      </c>
      <c r="D756" t="s">
        <v>74</v>
      </c>
      <c r="E756" t="s">
        <v>74</v>
      </c>
      <c r="F756" t="s">
        <v>14279</v>
      </c>
      <c r="G756" t="s">
        <v>74</v>
      </c>
      <c r="H756" t="s">
        <v>74</v>
      </c>
      <c r="I756" t="s">
        <v>14280</v>
      </c>
      <c r="J756" t="s">
        <v>7985</v>
      </c>
      <c r="K756" t="s">
        <v>74</v>
      </c>
      <c r="L756" t="s">
        <v>74</v>
      </c>
      <c r="M756" t="s">
        <v>78</v>
      </c>
      <c r="N756" t="s">
        <v>79</v>
      </c>
      <c r="O756" t="s">
        <v>74</v>
      </c>
      <c r="P756" t="s">
        <v>74</v>
      </c>
      <c r="Q756" t="s">
        <v>74</v>
      </c>
      <c r="R756" t="s">
        <v>74</v>
      </c>
      <c r="S756" t="s">
        <v>74</v>
      </c>
      <c r="T756" t="s">
        <v>14281</v>
      </c>
      <c r="U756" t="s">
        <v>74</v>
      </c>
      <c r="V756" t="s">
        <v>14282</v>
      </c>
      <c r="W756" t="s">
        <v>14283</v>
      </c>
      <c r="X756" t="s">
        <v>14284</v>
      </c>
      <c r="Y756" t="s">
        <v>14285</v>
      </c>
      <c r="Z756" t="s">
        <v>14286</v>
      </c>
      <c r="AA756" t="s">
        <v>14287</v>
      </c>
      <c r="AB756" t="s">
        <v>14288</v>
      </c>
      <c r="AC756" t="s">
        <v>74</v>
      </c>
      <c r="AD756" t="s">
        <v>74</v>
      </c>
      <c r="AE756" t="s">
        <v>74</v>
      </c>
      <c r="AF756" t="s">
        <v>74</v>
      </c>
      <c r="AG756">
        <v>63</v>
      </c>
      <c r="AH756">
        <v>1</v>
      </c>
      <c r="AI756">
        <v>1</v>
      </c>
      <c r="AJ756">
        <v>0</v>
      </c>
      <c r="AK756">
        <v>33</v>
      </c>
      <c r="AL756" t="s">
        <v>207</v>
      </c>
      <c r="AM756" t="s">
        <v>473</v>
      </c>
      <c r="AN756" t="s">
        <v>474</v>
      </c>
      <c r="AO756" t="s">
        <v>7994</v>
      </c>
      <c r="AP756" t="s">
        <v>7995</v>
      </c>
      <c r="AQ756" t="s">
        <v>74</v>
      </c>
      <c r="AR756" t="s">
        <v>7996</v>
      </c>
      <c r="AS756" t="s">
        <v>7997</v>
      </c>
      <c r="AT756" t="s">
        <v>12678</v>
      </c>
      <c r="AU756">
        <v>2020</v>
      </c>
      <c r="AV756">
        <v>39</v>
      </c>
      <c r="AW756">
        <v>12</v>
      </c>
      <c r="AX756" t="s">
        <v>74</v>
      </c>
      <c r="AY756" t="s">
        <v>74</v>
      </c>
      <c r="AZ756" t="s">
        <v>74</v>
      </c>
      <c r="BA756" t="s">
        <v>74</v>
      </c>
      <c r="BB756">
        <v>42</v>
      </c>
      <c r="BC756">
        <v>53</v>
      </c>
      <c r="BD756" t="s">
        <v>74</v>
      </c>
      <c r="BE756" t="s">
        <v>14289</v>
      </c>
      <c r="BF756" t="str">
        <f>HYPERLINK("http://dx.doi.org/10.1007/s13131-020-1698-6","http://dx.doi.org/10.1007/s13131-020-1698-6")</f>
        <v>http://dx.doi.org/10.1007/s13131-020-1698-6</v>
      </c>
      <c r="BG756" t="s">
        <v>74</v>
      </c>
      <c r="BH756" t="s">
        <v>74</v>
      </c>
      <c r="BI756">
        <v>12</v>
      </c>
      <c r="BJ756" t="s">
        <v>2250</v>
      </c>
      <c r="BK756" t="s">
        <v>103</v>
      </c>
      <c r="BL756" t="s">
        <v>2250</v>
      </c>
      <c r="BM756" t="s">
        <v>14290</v>
      </c>
      <c r="BN756" t="s">
        <v>74</v>
      </c>
      <c r="BO756" t="s">
        <v>74</v>
      </c>
      <c r="BP756" t="s">
        <v>74</v>
      </c>
      <c r="BQ756" t="s">
        <v>74</v>
      </c>
      <c r="BR756" t="s">
        <v>106</v>
      </c>
      <c r="BS756" t="s">
        <v>14291</v>
      </c>
      <c r="BT756" t="str">
        <f>HYPERLINK("https%3A%2F%2Fwww.webofscience.com%2Fwos%2Fwoscc%2Ffull-record%2FWOS:000614054900005","View Full Record in Web of Science")</f>
        <v>View Full Record in Web of Science</v>
      </c>
    </row>
    <row r="757" spans="1:72" x14ac:dyDescent="0.15">
      <c r="A757" t="s">
        <v>72</v>
      </c>
      <c r="B757" t="s">
        <v>14292</v>
      </c>
      <c r="C757" t="s">
        <v>74</v>
      </c>
      <c r="D757" t="s">
        <v>74</v>
      </c>
      <c r="E757" t="s">
        <v>74</v>
      </c>
      <c r="F757" t="s">
        <v>14293</v>
      </c>
      <c r="G757" t="s">
        <v>74</v>
      </c>
      <c r="H757" t="s">
        <v>74</v>
      </c>
      <c r="I757" t="s">
        <v>14294</v>
      </c>
      <c r="J757" t="s">
        <v>14295</v>
      </c>
      <c r="K757" t="s">
        <v>74</v>
      </c>
      <c r="L757" t="s">
        <v>74</v>
      </c>
      <c r="M757" t="s">
        <v>78</v>
      </c>
      <c r="N757" t="s">
        <v>141</v>
      </c>
      <c r="O757" t="s">
        <v>74</v>
      </c>
      <c r="P757" t="s">
        <v>74</v>
      </c>
      <c r="Q757" t="s">
        <v>74</v>
      </c>
      <c r="R757" t="s">
        <v>74</v>
      </c>
      <c r="S757" t="s">
        <v>74</v>
      </c>
      <c r="T757" t="s">
        <v>14296</v>
      </c>
      <c r="U757" t="s">
        <v>14297</v>
      </c>
      <c r="V757" t="s">
        <v>14298</v>
      </c>
      <c r="W757" t="s">
        <v>14299</v>
      </c>
      <c r="X757" t="s">
        <v>14300</v>
      </c>
      <c r="Y757" t="s">
        <v>14301</v>
      </c>
      <c r="Z757" t="s">
        <v>14302</v>
      </c>
      <c r="AA757" t="s">
        <v>14303</v>
      </c>
      <c r="AB757" t="s">
        <v>14304</v>
      </c>
      <c r="AC757" t="s">
        <v>14305</v>
      </c>
      <c r="AD757" t="s">
        <v>14306</v>
      </c>
      <c r="AE757" t="s">
        <v>14307</v>
      </c>
      <c r="AF757" t="s">
        <v>74</v>
      </c>
      <c r="AG757">
        <v>97</v>
      </c>
      <c r="AH757">
        <v>13</v>
      </c>
      <c r="AI757">
        <v>16</v>
      </c>
      <c r="AJ757">
        <v>8</v>
      </c>
      <c r="AK757">
        <v>95</v>
      </c>
      <c r="AL757" t="s">
        <v>1096</v>
      </c>
      <c r="AM757" t="s">
        <v>5357</v>
      </c>
      <c r="AN757" t="s">
        <v>5358</v>
      </c>
      <c r="AO757" t="s">
        <v>14308</v>
      </c>
      <c r="AP757" t="s">
        <v>74</v>
      </c>
      <c r="AQ757" t="s">
        <v>74</v>
      </c>
      <c r="AR757" t="s">
        <v>14309</v>
      </c>
      <c r="AS757" t="s">
        <v>14310</v>
      </c>
      <c r="AT757" t="s">
        <v>12678</v>
      </c>
      <c r="AU757">
        <v>2020</v>
      </c>
      <c r="AV757">
        <v>12</v>
      </c>
      <c r="AW757">
        <v>6</v>
      </c>
      <c r="AX757" t="s">
        <v>74</v>
      </c>
      <c r="AY757" t="s">
        <v>74</v>
      </c>
      <c r="AZ757" t="s">
        <v>582</v>
      </c>
      <c r="BA757" t="s">
        <v>74</v>
      </c>
      <c r="BB757">
        <v>343</v>
      </c>
      <c r="BC757">
        <v>354</v>
      </c>
      <c r="BD757" t="s">
        <v>74</v>
      </c>
      <c r="BE757" t="s">
        <v>14311</v>
      </c>
      <c r="BF757" t="str">
        <f>HYPERLINK("http://dx.doi.org/10.3724/SP.J.1226.2020.00343","http://dx.doi.org/10.3724/SP.J.1226.2020.00343")</f>
        <v>http://dx.doi.org/10.3724/SP.J.1226.2020.00343</v>
      </c>
      <c r="BG757" t="s">
        <v>74</v>
      </c>
      <c r="BH757" t="s">
        <v>74</v>
      </c>
      <c r="BI757">
        <v>12</v>
      </c>
      <c r="BJ757" t="s">
        <v>4731</v>
      </c>
      <c r="BK757" t="s">
        <v>3050</v>
      </c>
      <c r="BL757" t="s">
        <v>4732</v>
      </c>
      <c r="BM757" t="s">
        <v>14312</v>
      </c>
      <c r="BN757" t="s">
        <v>74</v>
      </c>
      <c r="BO757" t="s">
        <v>74</v>
      </c>
      <c r="BP757" t="s">
        <v>74</v>
      </c>
      <c r="BQ757" t="s">
        <v>74</v>
      </c>
      <c r="BR757" t="s">
        <v>106</v>
      </c>
      <c r="BS757" t="s">
        <v>14313</v>
      </c>
      <c r="BT757" t="str">
        <f>HYPERLINK("https%3A%2F%2Fwww.webofscience.com%2Fwos%2Fwoscc%2Ffull-record%2FWOS:000608477500003","View Full Record in Web of Science")</f>
        <v>View Full Record in Web of Science</v>
      </c>
    </row>
    <row r="758" spans="1:72" x14ac:dyDescent="0.15">
      <c r="A758" t="s">
        <v>72</v>
      </c>
      <c r="B758" t="s">
        <v>14314</v>
      </c>
      <c r="C758" t="s">
        <v>74</v>
      </c>
      <c r="D758" t="s">
        <v>74</v>
      </c>
      <c r="E758" t="s">
        <v>74</v>
      </c>
      <c r="F758" t="s">
        <v>14315</v>
      </c>
      <c r="G758" t="s">
        <v>74</v>
      </c>
      <c r="H758" t="s">
        <v>74</v>
      </c>
      <c r="I758" t="s">
        <v>14316</v>
      </c>
      <c r="J758" t="s">
        <v>2154</v>
      </c>
      <c r="K758" t="s">
        <v>74</v>
      </c>
      <c r="L758" t="s">
        <v>74</v>
      </c>
      <c r="M758" t="s">
        <v>78</v>
      </c>
      <c r="N758" t="s">
        <v>79</v>
      </c>
      <c r="O758" t="s">
        <v>74</v>
      </c>
      <c r="P758" t="s">
        <v>74</v>
      </c>
      <c r="Q758" t="s">
        <v>74</v>
      </c>
      <c r="R758" t="s">
        <v>74</v>
      </c>
      <c r="S758" t="s">
        <v>74</v>
      </c>
      <c r="T758" t="s">
        <v>14317</v>
      </c>
      <c r="U758" t="s">
        <v>14318</v>
      </c>
      <c r="V758" t="s">
        <v>14319</v>
      </c>
      <c r="W758" t="s">
        <v>14320</v>
      </c>
      <c r="X758" t="s">
        <v>14321</v>
      </c>
      <c r="Y758" t="s">
        <v>14322</v>
      </c>
      <c r="Z758" t="s">
        <v>14323</v>
      </c>
      <c r="AA758" t="s">
        <v>14324</v>
      </c>
      <c r="AB758" t="s">
        <v>14325</v>
      </c>
      <c r="AC758" t="s">
        <v>14326</v>
      </c>
      <c r="AD758" t="s">
        <v>14327</v>
      </c>
      <c r="AE758" t="s">
        <v>14328</v>
      </c>
      <c r="AF758" t="s">
        <v>74</v>
      </c>
      <c r="AG758">
        <v>80</v>
      </c>
      <c r="AH758">
        <v>11</v>
      </c>
      <c r="AI758">
        <v>12</v>
      </c>
      <c r="AJ758">
        <v>0</v>
      </c>
      <c r="AK758">
        <v>5</v>
      </c>
      <c r="AL758" t="s">
        <v>802</v>
      </c>
      <c r="AM758" t="s">
        <v>178</v>
      </c>
      <c r="AN758" t="s">
        <v>803</v>
      </c>
      <c r="AO758" t="s">
        <v>2167</v>
      </c>
      <c r="AP758" t="s">
        <v>2168</v>
      </c>
      <c r="AQ758" t="s">
        <v>74</v>
      </c>
      <c r="AR758" t="s">
        <v>2169</v>
      </c>
      <c r="AS758" t="s">
        <v>2170</v>
      </c>
      <c r="AT758" t="s">
        <v>12678</v>
      </c>
      <c r="AU758">
        <v>2020</v>
      </c>
      <c r="AV758">
        <v>223</v>
      </c>
      <c r="AW758">
        <v>3</v>
      </c>
      <c r="AX758" t="s">
        <v>74</v>
      </c>
      <c r="AY758" t="s">
        <v>74</v>
      </c>
      <c r="AZ758" t="s">
        <v>74</v>
      </c>
      <c r="BA758" t="s">
        <v>74</v>
      </c>
      <c r="BB758">
        <v>1644</v>
      </c>
      <c r="BC758">
        <v>1657</v>
      </c>
      <c r="BD758" t="s">
        <v>74</v>
      </c>
      <c r="BE758" t="s">
        <v>14329</v>
      </c>
      <c r="BF758" t="str">
        <f>HYPERLINK("http://dx.doi.org/10.1093/gji/ggaa398","http://dx.doi.org/10.1093/gji/ggaa398")</f>
        <v>http://dx.doi.org/10.1093/gji/ggaa398</v>
      </c>
      <c r="BG758" t="s">
        <v>74</v>
      </c>
      <c r="BH758" t="s">
        <v>74</v>
      </c>
      <c r="BI758">
        <v>14</v>
      </c>
      <c r="BJ758" t="s">
        <v>426</v>
      </c>
      <c r="BK758" t="s">
        <v>103</v>
      </c>
      <c r="BL758" t="s">
        <v>426</v>
      </c>
      <c r="BM758" t="s">
        <v>14330</v>
      </c>
      <c r="BN758" t="s">
        <v>74</v>
      </c>
      <c r="BO758" t="s">
        <v>14331</v>
      </c>
      <c r="BP758" t="s">
        <v>74</v>
      </c>
      <c r="BQ758" t="s">
        <v>74</v>
      </c>
      <c r="BR758" t="s">
        <v>106</v>
      </c>
      <c r="BS758" t="s">
        <v>14332</v>
      </c>
      <c r="BT758" t="str">
        <f>HYPERLINK("https%3A%2F%2Fwww.webofscience.com%2Fwos%2Fwoscc%2Ffull-record%2FWOS:000605982100012","View Full Record in Web of Science")</f>
        <v>View Full Record in Web of Science</v>
      </c>
    </row>
    <row r="759" spans="1:72" x14ac:dyDescent="0.15">
      <c r="A759" t="s">
        <v>72</v>
      </c>
      <c r="B759" t="s">
        <v>14333</v>
      </c>
      <c r="C759" t="s">
        <v>74</v>
      </c>
      <c r="D759" t="s">
        <v>74</v>
      </c>
      <c r="E759" t="s">
        <v>74</v>
      </c>
      <c r="F759" t="s">
        <v>14334</v>
      </c>
      <c r="G759" t="s">
        <v>74</v>
      </c>
      <c r="H759" t="s">
        <v>74</v>
      </c>
      <c r="I759" t="s">
        <v>14335</v>
      </c>
      <c r="J759" t="s">
        <v>14336</v>
      </c>
      <c r="K759" t="s">
        <v>74</v>
      </c>
      <c r="L759" t="s">
        <v>74</v>
      </c>
      <c r="M759" t="s">
        <v>78</v>
      </c>
      <c r="N759" t="s">
        <v>3976</v>
      </c>
      <c r="O759" t="s">
        <v>74</v>
      </c>
      <c r="P759" t="s">
        <v>74</v>
      </c>
      <c r="Q759" t="s">
        <v>74</v>
      </c>
      <c r="R759" t="s">
        <v>74</v>
      </c>
      <c r="S759" t="s">
        <v>74</v>
      </c>
      <c r="T759" t="s">
        <v>74</v>
      </c>
      <c r="U759" t="s">
        <v>14337</v>
      </c>
      <c r="V759" t="s">
        <v>14338</v>
      </c>
      <c r="W759" t="s">
        <v>14339</v>
      </c>
      <c r="X759" t="s">
        <v>14340</v>
      </c>
      <c r="Y759" t="s">
        <v>14341</v>
      </c>
      <c r="Z759" t="s">
        <v>14342</v>
      </c>
      <c r="AA759" t="s">
        <v>14343</v>
      </c>
      <c r="AB759" t="s">
        <v>74</v>
      </c>
      <c r="AC759" t="s">
        <v>14344</v>
      </c>
      <c r="AD759" t="s">
        <v>14345</v>
      </c>
      <c r="AE759" t="s">
        <v>14346</v>
      </c>
      <c r="AF759" t="s">
        <v>74</v>
      </c>
      <c r="AG759">
        <v>13</v>
      </c>
      <c r="AH759">
        <v>0</v>
      </c>
      <c r="AI759">
        <v>0</v>
      </c>
      <c r="AJ759">
        <v>1</v>
      </c>
      <c r="AK759">
        <v>3</v>
      </c>
      <c r="AL759" t="s">
        <v>7461</v>
      </c>
      <c r="AM759" t="s">
        <v>7462</v>
      </c>
      <c r="AN759" t="s">
        <v>7463</v>
      </c>
      <c r="AO759" t="s">
        <v>14347</v>
      </c>
      <c r="AP759" t="s">
        <v>14348</v>
      </c>
      <c r="AQ759" t="s">
        <v>74</v>
      </c>
      <c r="AR759" t="s">
        <v>14349</v>
      </c>
      <c r="AS759" t="s">
        <v>14350</v>
      </c>
      <c r="AT759" t="s">
        <v>12678</v>
      </c>
      <c r="AU759">
        <v>2020</v>
      </c>
      <c r="AV759">
        <v>60</v>
      </c>
      <c r="AW759">
        <v>6</v>
      </c>
      <c r="AX759" t="s">
        <v>74</v>
      </c>
      <c r="AY759" t="s">
        <v>74</v>
      </c>
      <c r="AZ759" t="s">
        <v>74</v>
      </c>
      <c r="BA759" t="s">
        <v>74</v>
      </c>
      <c r="BB759">
        <v>1355</v>
      </c>
      <c r="BC759">
        <v>1357</v>
      </c>
      <c r="BD759" t="s">
        <v>74</v>
      </c>
      <c r="BE759" t="s">
        <v>14351</v>
      </c>
      <c r="BF759" t="str">
        <f>HYPERLINK("http://dx.doi.org/10.1093/icb/icaa135","http://dx.doi.org/10.1093/icb/icaa135")</f>
        <v>http://dx.doi.org/10.1093/icb/icaa135</v>
      </c>
      <c r="BG759" t="s">
        <v>74</v>
      </c>
      <c r="BH759" t="s">
        <v>74</v>
      </c>
      <c r="BI759">
        <v>3</v>
      </c>
      <c r="BJ759" t="s">
        <v>1028</v>
      </c>
      <c r="BK759" t="s">
        <v>103</v>
      </c>
      <c r="BL759" t="s">
        <v>1028</v>
      </c>
      <c r="BM759" t="s">
        <v>14352</v>
      </c>
      <c r="BN759" t="s">
        <v>74</v>
      </c>
      <c r="BO759" t="s">
        <v>3283</v>
      </c>
      <c r="BP759" t="s">
        <v>74</v>
      </c>
      <c r="BQ759" t="s">
        <v>74</v>
      </c>
      <c r="BR759" t="s">
        <v>106</v>
      </c>
      <c r="BS759" t="s">
        <v>14353</v>
      </c>
      <c r="BT759" t="str">
        <f>HYPERLINK("https%3A%2F%2Fwww.webofscience.com%2Fwos%2Fwoscc%2Ffull-record%2FWOS:000606706200003","View Full Record in Web of Science")</f>
        <v>View Full Record in Web of Science</v>
      </c>
    </row>
    <row r="760" spans="1:72" x14ac:dyDescent="0.15">
      <c r="A760" t="s">
        <v>72</v>
      </c>
      <c r="B760" t="s">
        <v>14354</v>
      </c>
      <c r="C760" t="s">
        <v>74</v>
      </c>
      <c r="D760" t="s">
        <v>74</v>
      </c>
      <c r="E760" t="s">
        <v>74</v>
      </c>
      <c r="F760" t="s">
        <v>14355</v>
      </c>
      <c r="G760" t="s">
        <v>74</v>
      </c>
      <c r="H760" t="s">
        <v>74</v>
      </c>
      <c r="I760" t="s">
        <v>14356</v>
      </c>
      <c r="J760" t="s">
        <v>14336</v>
      </c>
      <c r="K760" t="s">
        <v>74</v>
      </c>
      <c r="L760" t="s">
        <v>74</v>
      </c>
      <c r="M760" t="s">
        <v>78</v>
      </c>
      <c r="N760" t="s">
        <v>79</v>
      </c>
      <c r="O760" t="s">
        <v>74</v>
      </c>
      <c r="P760" t="s">
        <v>74</v>
      </c>
      <c r="Q760" t="s">
        <v>74</v>
      </c>
      <c r="R760" t="s">
        <v>74</v>
      </c>
      <c r="S760" t="s">
        <v>74</v>
      </c>
      <c r="T760" t="s">
        <v>74</v>
      </c>
      <c r="U760" t="s">
        <v>14357</v>
      </c>
      <c r="V760" t="s">
        <v>14358</v>
      </c>
      <c r="W760" t="s">
        <v>14359</v>
      </c>
      <c r="X760" t="s">
        <v>14360</v>
      </c>
      <c r="Y760" t="s">
        <v>14361</v>
      </c>
      <c r="Z760" t="s">
        <v>14362</v>
      </c>
      <c r="AA760" t="s">
        <v>14363</v>
      </c>
      <c r="AB760" t="s">
        <v>14364</v>
      </c>
      <c r="AC760" t="s">
        <v>14365</v>
      </c>
      <c r="AD760" t="s">
        <v>14366</v>
      </c>
      <c r="AE760" t="s">
        <v>14367</v>
      </c>
      <c r="AF760" t="s">
        <v>74</v>
      </c>
      <c r="AG760">
        <v>72</v>
      </c>
      <c r="AH760">
        <v>9</v>
      </c>
      <c r="AI760">
        <v>10</v>
      </c>
      <c r="AJ760">
        <v>0</v>
      </c>
      <c r="AK760">
        <v>9</v>
      </c>
      <c r="AL760" t="s">
        <v>7461</v>
      </c>
      <c r="AM760" t="s">
        <v>7462</v>
      </c>
      <c r="AN760" t="s">
        <v>7463</v>
      </c>
      <c r="AO760" t="s">
        <v>14347</v>
      </c>
      <c r="AP760" t="s">
        <v>14348</v>
      </c>
      <c r="AQ760" t="s">
        <v>74</v>
      </c>
      <c r="AR760" t="s">
        <v>14349</v>
      </c>
      <c r="AS760" t="s">
        <v>14350</v>
      </c>
      <c r="AT760" t="s">
        <v>12678</v>
      </c>
      <c r="AU760">
        <v>2020</v>
      </c>
      <c r="AV760">
        <v>60</v>
      </c>
      <c r="AW760">
        <v>6</v>
      </c>
      <c r="AX760" t="s">
        <v>74</v>
      </c>
      <c r="AY760" t="s">
        <v>74</v>
      </c>
      <c r="AZ760" t="s">
        <v>74</v>
      </c>
      <c r="BA760" t="s">
        <v>74</v>
      </c>
      <c r="BB760">
        <v>1358</v>
      </c>
      <c r="BC760">
        <v>1368</v>
      </c>
      <c r="BD760" t="s">
        <v>74</v>
      </c>
      <c r="BE760" t="s">
        <v>14368</v>
      </c>
      <c r="BF760" t="str">
        <f>HYPERLINK("http://dx.doi.org/10.1093/icb/icaa058","http://dx.doi.org/10.1093/icb/icaa058")</f>
        <v>http://dx.doi.org/10.1093/icb/icaa058</v>
      </c>
      <c r="BG760" t="s">
        <v>74</v>
      </c>
      <c r="BH760" t="s">
        <v>74</v>
      </c>
      <c r="BI760">
        <v>11</v>
      </c>
      <c r="BJ760" t="s">
        <v>1028</v>
      </c>
      <c r="BK760" t="s">
        <v>103</v>
      </c>
      <c r="BL760" t="s">
        <v>1028</v>
      </c>
      <c r="BM760" t="s">
        <v>14352</v>
      </c>
      <c r="BN760">
        <v>32497189</v>
      </c>
      <c r="BO760" t="s">
        <v>3283</v>
      </c>
      <c r="BP760" t="s">
        <v>74</v>
      </c>
      <c r="BQ760" t="s">
        <v>74</v>
      </c>
      <c r="BR760" t="s">
        <v>106</v>
      </c>
      <c r="BS760" t="s">
        <v>14369</v>
      </c>
      <c r="BT760" t="str">
        <f>HYPERLINK("https%3A%2F%2Fwww.webofscience.com%2Fwos%2Fwoscc%2Ffull-record%2FWOS:000606706200004","View Full Record in Web of Science")</f>
        <v>View Full Record in Web of Science</v>
      </c>
    </row>
    <row r="761" spans="1:72" x14ac:dyDescent="0.15">
      <c r="A761" t="s">
        <v>72</v>
      </c>
      <c r="B761" t="s">
        <v>14370</v>
      </c>
      <c r="C761" t="s">
        <v>74</v>
      </c>
      <c r="D761" t="s">
        <v>74</v>
      </c>
      <c r="E761" t="s">
        <v>74</v>
      </c>
      <c r="F761" t="s">
        <v>14371</v>
      </c>
      <c r="G761" t="s">
        <v>74</v>
      </c>
      <c r="H761" t="s">
        <v>74</v>
      </c>
      <c r="I761" t="s">
        <v>14372</v>
      </c>
      <c r="J761" t="s">
        <v>14336</v>
      </c>
      <c r="K761" t="s">
        <v>74</v>
      </c>
      <c r="L761" t="s">
        <v>74</v>
      </c>
      <c r="M761" t="s">
        <v>78</v>
      </c>
      <c r="N761" t="s">
        <v>79</v>
      </c>
      <c r="O761" t="s">
        <v>74</v>
      </c>
      <c r="P761" t="s">
        <v>74</v>
      </c>
      <c r="Q761" t="s">
        <v>74</v>
      </c>
      <c r="R761" t="s">
        <v>74</v>
      </c>
      <c r="S761" t="s">
        <v>74</v>
      </c>
      <c r="T761" t="s">
        <v>74</v>
      </c>
      <c r="U761" t="s">
        <v>14373</v>
      </c>
      <c r="V761" t="s">
        <v>14374</v>
      </c>
      <c r="W761" t="s">
        <v>14375</v>
      </c>
      <c r="X761" t="s">
        <v>14376</v>
      </c>
      <c r="Y761" t="s">
        <v>14377</v>
      </c>
      <c r="Z761" t="s">
        <v>14378</v>
      </c>
      <c r="AA761" t="s">
        <v>74</v>
      </c>
      <c r="AB761" t="s">
        <v>14379</v>
      </c>
      <c r="AC761" t="s">
        <v>14380</v>
      </c>
      <c r="AD761" t="s">
        <v>4605</v>
      </c>
      <c r="AE761" t="s">
        <v>14381</v>
      </c>
      <c r="AF761" t="s">
        <v>74</v>
      </c>
      <c r="AG761">
        <v>144</v>
      </c>
      <c r="AH761">
        <v>1</v>
      </c>
      <c r="AI761">
        <v>1</v>
      </c>
      <c r="AJ761">
        <v>1</v>
      </c>
      <c r="AK761">
        <v>7</v>
      </c>
      <c r="AL761" t="s">
        <v>7461</v>
      </c>
      <c r="AM761" t="s">
        <v>7462</v>
      </c>
      <c r="AN761" t="s">
        <v>7463</v>
      </c>
      <c r="AO761" t="s">
        <v>14347</v>
      </c>
      <c r="AP761" t="s">
        <v>14348</v>
      </c>
      <c r="AQ761" t="s">
        <v>74</v>
      </c>
      <c r="AR761" t="s">
        <v>14349</v>
      </c>
      <c r="AS761" t="s">
        <v>14350</v>
      </c>
      <c r="AT761" t="s">
        <v>12678</v>
      </c>
      <c r="AU761">
        <v>2020</v>
      </c>
      <c r="AV761">
        <v>60</v>
      </c>
      <c r="AW761">
        <v>6</v>
      </c>
      <c r="AX761" t="s">
        <v>74</v>
      </c>
      <c r="AY761" t="s">
        <v>74</v>
      </c>
      <c r="AZ761" t="s">
        <v>74</v>
      </c>
      <c r="BA761" t="s">
        <v>74</v>
      </c>
      <c r="BB761">
        <v>1369</v>
      </c>
      <c r="BC761">
        <v>1385</v>
      </c>
      <c r="BD761" t="s">
        <v>74</v>
      </c>
      <c r="BE761" t="s">
        <v>14382</v>
      </c>
      <c r="BF761" t="str">
        <f>HYPERLINK("http://dx.doi.org/10.1093/icb/icaa094","http://dx.doi.org/10.1093/icb/icaa094")</f>
        <v>http://dx.doi.org/10.1093/icb/icaa094</v>
      </c>
      <c r="BG761" t="s">
        <v>74</v>
      </c>
      <c r="BH761" t="s">
        <v>74</v>
      </c>
      <c r="BI761">
        <v>17</v>
      </c>
      <c r="BJ761" t="s">
        <v>1028</v>
      </c>
      <c r="BK761" t="s">
        <v>103</v>
      </c>
      <c r="BL761" t="s">
        <v>1028</v>
      </c>
      <c r="BM761" t="s">
        <v>14352</v>
      </c>
      <c r="BN761">
        <v>32617573</v>
      </c>
      <c r="BO761" t="s">
        <v>3283</v>
      </c>
      <c r="BP761" t="s">
        <v>74</v>
      </c>
      <c r="BQ761" t="s">
        <v>74</v>
      </c>
      <c r="BR761" t="s">
        <v>106</v>
      </c>
      <c r="BS761" t="s">
        <v>14383</v>
      </c>
      <c r="BT761" t="str">
        <f>HYPERLINK("https%3A%2F%2Fwww.webofscience.com%2Fwos%2Fwoscc%2Ffull-record%2FWOS:000606706200005","View Full Record in Web of Science")</f>
        <v>View Full Record in Web of Science</v>
      </c>
    </row>
    <row r="762" spans="1:72" x14ac:dyDescent="0.15">
      <c r="A762" t="s">
        <v>72</v>
      </c>
      <c r="B762" t="s">
        <v>14384</v>
      </c>
      <c r="C762" t="s">
        <v>74</v>
      </c>
      <c r="D762" t="s">
        <v>74</v>
      </c>
      <c r="E762" t="s">
        <v>74</v>
      </c>
      <c r="F762" t="s">
        <v>14385</v>
      </c>
      <c r="G762" t="s">
        <v>74</v>
      </c>
      <c r="H762" t="s">
        <v>74</v>
      </c>
      <c r="I762" t="s">
        <v>14386</v>
      </c>
      <c r="J762" t="s">
        <v>14336</v>
      </c>
      <c r="K762" t="s">
        <v>74</v>
      </c>
      <c r="L762" t="s">
        <v>74</v>
      </c>
      <c r="M762" t="s">
        <v>78</v>
      </c>
      <c r="N762" t="s">
        <v>79</v>
      </c>
      <c r="O762" t="s">
        <v>74</v>
      </c>
      <c r="P762" t="s">
        <v>74</v>
      </c>
      <c r="Q762" t="s">
        <v>74</v>
      </c>
      <c r="R762" t="s">
        <v>74</v>
      </c>
      <c r="S762" t="s">
        <v>74</v>
      </c>
      <c r="T762" t="s">
        <v>74</v>
      </c>
      <c r="U762" t="s">
        <v>14387</v>
      </c>
      <c r="V762" t="s">
        <v>14388</v>
      </c>
      <c r="W762" t="s">
        <v>14389</v>
      </c>
      <c r="X762" t="s">
        <v>14390</v>
      </c>
      <c r="Y762" t="s">
        <v>14391</v>
      </c>
      <c r="Z762" t="s">
        <v>14392</v>
      </c>
      <c r="AA762" t="s">
        <v>74</v>
      </c>
      <c r="AB762" t="s">
        <v>14393</v>
      </c>
      <c r="AC762" t="s">
        <v>14394</v>
      </c>
      <c r="AD762" t="s">
        <v>14395</v>
      </c>
      <c r="AE762" t="s">
        <v>14396</v>
      </c>
      <c r="AF762" t="s">
        <v>74</v>
      </c>
      <c r="AG762">
        <v>89</v>
      </c>
      <c r="AH762">
        <v>17</v>
      </c>
      <c r="AI762">
        <v>21</v>
      </c>
      <c r="AJ762">
        <v>1</v>
      </c>
      <c r="AK762">
        <v>10</v>
      </c>
      <c r="AL762" t="s">
        <v>7461</v>
      </c>
      <c r="AM762" t="s">
        <v>7462</v>
      </c>
      <c r="AN762" t="s">
        <v>7463</v>
      </c>
      <c r="AO762" t="s">
        <v>14347</v>
      </c>
      <c r="AP762" t="s">
        <v>14348</v>
      </c>
      <c r="AQ762" t="s">
        <v>74</v>
      </c>
      <c r="AR762" t="s">
        <v>14349</v>
      </c>
      <c r="AS762" t="s">
        <v>14350</v>
      </c>
      <c r="AT762" t="s">
        <v>12678</v>
      </c>
      <c r="AU762">
        <v>2020</v>
      </c>
      <c r="AV762">
        <v>60</v>
      </c>
      <c r="AW762">
        <v>6</v>
      </c>
      <c r="AX762" t="s">
        <v>74</v>
      </c>
      <c r="AY762" t="s">
        <v>74</v>
      </c>
      <c r="AZ762" t="s">
        <v>74</v>
      </c>
      <c r="BA762" t="s">
        <v>74</v>
      </c>
      <c r="BB762">
        <v>1386</v>
      </c>
      <c r="BC762">
        <v>1400</v>
      </c>
      <c r="BD762" t="s">
        <v>74</v>
      </c>
      <c r="BE762" t="s">
        <v>14397</v>
      </c>
      <c r="BF762" t="str">
        <f>HYPERLINK("http://dx.doi.org/10.1093/icb/icaa111","http://dx.doi.org/10.1093/icb/icaa111")</f>
        <v>http://dx.doi.org/10.1093/icb/icaa111</v>
      </c>
      <c r="BG762" t="s">
        <v>74</v>
      </c>
      <c r="BH762" t="s">
        <v>74</v>
      </c>
      <c r="BI762">
        <v>15</v>
      </c>
      <c r="BJ762" t="s">
        <v>1028</v>
      </c>
      <c r="BK762" t="s">
        <v>103</v>
      </c>
      <c r="BL762" t="s">
        <v>1028</v>
      </c>
      <c r="BM762" t="s">
        <v>14352</v>
      </c>
      <c r="BN762">
        <v>32692833</v>
      </c>
      <c r="BO762" t="s">
        <v>7330</v>
      </c>
      <c r="BP762" t="s">
        <v>74</v>
      </c>
      <c r="BQ762" t="s">
        <v>74</v>
      </c>
      <c r="BR762" t="s">
        <v>106</v>
      </c>
      <c r="BS762" t="s">
        <v>14398</v>
      </c>
      <c r="BT762" t="str">
        <f>HYPERLINK("https%3A%2F%2Fwww.webofscience.com%2Fwos%2Fwoscc%2Ffull-record%2FWOS:000606706200006","View Full Record in Web of Science")</f>
        <v>View Full Record in Web of Science</v>
      </c>
    </row>
    <row r="763" spans="1:72" x14ac:dyDescent="0.15">
      <c r="A763" t="s">
        <v>72</v>
      </c>
      <c r="B763" t="s">
        <v>14399</v>
      </c>
      <c r="C763" t="s">
        <v>74</v>
      </c>
      <c r="D763" t="s">
        <v>74</v>
      </c>
      <c r="E763" t="s">
        <v>74</v>
      </c>
      <c r="F763" t="s">
        <v>14400</v>
      </c>
      <c r="G763" t="s">
        <v>74</v>
      </c>
      <c r="H763" t="s">
        <v>74</v>
      </c>
      <c r="I763" t="s">
        <v>14401</v>
      </c>
      <c r="J763" t="s">
        <v>14336</v>
      </c>
      <c r="K763" t="s">
        <v>74</v>
      </c>
      <c r="L763" t="s">
        <v>74</v>
      </c>
      <c r="M763" t="s">
        <v>78</v>
      </c>
      <c r="N763" t="s">
        <v>79</v>
      </c>
      <c r="O763" t="s">
        <v>74</v>
      </c>
      <c r="P763" t="s">
        <v>74</v>
      </c>
      <c r="Q763" t="s">
        <v>74</v>
      </c>
      <c r="R763" t="s">
        <v>74</v>
      </c>
      <c r="S763" t="s">
        <v>74</v>
      </c>
      <c r="T763" t="s">
        <v>74</v>
      </c>
      <c r="U763" t="s">
        <v>14402</v>
      </c>
      <c r="V763" t="s">
        <v>14403</v>
      </c>
      <c r="W763" t="s">
        <v>14404</v>
      </c>
      <c r="X763" t="s">
        <v>14405</v>
      </c>
      <c r="Y763" t="s">
        <v>14406</v>
      </c>
      <c r="Z763" t="s">
        <v>14407</v>
      </c>
      <c r="AA763" t="s">
        <v>74</v>
      </c>
      <c r="AB763" t="s">
        <v>14408</v>
      </c>
      <c r="AC763" t="s">
        <v>74</v>
      </c>
      <c r="AD763" t="s">
        <v>74</v>
      </c>
      <c r="AE763" t="s">
        <v>74</v>
      </c>
      <c r="AF763" t="s">
        <v>74</v>
      </c>
      <c r="AG763">
        <v>95</v>
      </c>
      <c r="AH763">
        <v>2</v>
      </c>
      <c r="AI763">
        <v>4</v>
      </c>
      <c r="AJ763">
        <v>2</v>
      </c>
      <c r="AK763">
        <v>10</v>
      </c>
      <c r="AL763" t="s">
        <v>7461</v>
      </c>
      <c r="AM763" t="s">
        <v>7462</v>
      </c>
      <c r="AN763" t="s">
        <v>7463</v>
      </c>
      <c r="AO763" t="s">
        <v>14347</v>
      </c>
      <c r="AP763" t="s">
        <v>14348</v>
      </c>
      <c r="AQ763" t="s">
        <v>74</v>
      </c>
      <c r="AR763" t="s">
        <v>14349</v>
      </c>
      <c r="AS763" t="s">
        <v>14350</v>
      </c>
      <c r="AT763" t="s">
        <v>12678</v>
      </c>
      <c r="AU763">
        <v>2020</v>
      </c>
      <c r="AV763">
        <v>60</v>
      </c>
      <c r="AW763">
        <v>6</v>
      </c>
      <c r="AX763" t="s">
        <v>74</v>
      </c>
      <c r="AY763" t="s">
        <v>74</v>
      </c>
      <c r="AZ763" t="s">
        <v>74</v>
      </c>
      <c r="BA763" t="s">
        <v>74</v>
      </c>
      <c r="BB763">
        <v>1414</v>
      </c>
      <c r="BC763">
        <v>1424</v>
      </c>
      <c r="BD763" t="s">
        <v>74</v>
      </c>
      <c r="BE763" t="s">
        <v>14409</v>
      </c>
      <c r="BF763" t="str">
        <f>HYPERLINK("http://dx.doi.org/10.1093/icb/icaa083","http://dx.doi.org/10.1093/icb/icaa083")</f>
        <v>http://dx.doi.org/10.1093/icb/icaa083</v>
      </c>
      <c r="BG763" t="s">
        <v>74</v>
      </c>
      <c r="BH763" t="s">
        <v>74</v>
      </c>
      <c r="BI763">
        <v>11</v>
      </c>
      <c r="BJ763" t="s">
        <v>1028</v>
      </c>
      <c r="BK763" t="s">
        <v>103</v>
      </c>
      <c r="BL763" t="s">
        <v>1028</v>
      </c>
      <c r="BM763" t="s">
        <v>14352</v>
      </c>
      <c r="BN763">
        <v>32559283</v>
      </c>
      <c r="BO763" t="s">
        <v>3283</v>
      </c>
      <c r="BP763" t="s">
        <v>74</v>
      </c>
      <c r="BQ763" t="s">
        <v>74</v>
      </c>
      <c r="BR763" t="s">
        <v>106</v>
      </c>
      <c r="BS763" t="s">
        <v>14410</v>
      </c>
      <c r="BT763" t="str">
        <f>HYPERLINK("https%3A%2F%2Fwww.webofscience.com%2Fwos%2Fwoscc%2Ffull-record%2FWOS:000606706200008","View Full Record in Web of Science")</f>
        <v>View Full Record in Web of Science</v>
      </c>
    </row>
    <row r="764" spans="1:72" x14ac:dyDescent="0.15">
      <c r="A764" t="s">
        <v>72</v>
      </c>
      <c r="B764" t="s">
        <v>14411</v>
      </c>
      <c r="C764" t="s">
        <v>74</v>
      </c>
      <c r="D764" t="s">
        <v>74</v>
      </c>
      <c r="E764" t="s">
        <v>74</v>
      </c>
      <c r="F764" t="s">
        <v>14412</v>
      </c>
      <c r="G764" t="s">
        <v>74</v>
      </c>
      <c r="H764" t="s">
        <v>74</v>
      </c>
      <c r="I764" t="s">
        <v>14413</v>
      </c>
      <c r="J764" t="s">
        <v>14336</v>
      </c>
      <c r="K764" t="s">
        <v>74</v>
      </c>
      <c r="L764" t="s">
        <v>74</v>
      </c>
      <c r="M764" t="s">
        <v>78</v>
      </c>
      <c r="N764" t="s">
        <v>79</v>
      </c>
      <c r="O764" t="s">
        <v>74</v>
      </c>
      <c r="P764" t="s">
        <v>74</v>
      </c>
      <c r="Q764" t="s">
        <v>74</v>
      </c>
      <c r="R764" t="s">
        <v>74</v>
      </c>
      <c r="S764" t="s">
        <v>74</v>
      </c>
      <c r="T764" t="s">
        <v>74</v>
      </c>
      <c r="U764" t="s">
        <v>14414</v>
      </c>
      <c r="V764" t="s">
        <v>14415</v>
      </c>
      <c r="W764" t="s">
        <v>14416</v>
      </c>
      <c r="X764" t="s">
        <v>14417</v>
      </c>
      <c r="Y764" t="s">
        <v>14418</v>
      </c>
      <c r="Z764" t="s">
        <v>14419</v>
      </c>
      <c r="AA764" t="s">
        <v>74</v>
      </c>
      <c r="AB764" t="s">
        <v>74</v>
      </c>
      <c r="AC764" t="s">
        <v>14420</v>
      </c>
      <c r="AD764" t="s">
        <v>14421</v>
      </c>
      <c r="AE764" t="s">
        <v>14422</v>
      </c>
      <c r="AF764" t="s">
        <v>74</v>
      </c>
      <c r="AG764">
        <v>77</v>
      </c>
      <c r="AH764">
        <v>7</v>
      </c>
      <c r="AI764">
        <v>8</v>
      </c>
      <c r="AJ764">
        <v>1</v>
      </c>
      <c r="AK764">
        <v>18</v>
      </c>
      <c r="AL764" t="s">
        <v>7461</v>
      </c>
      <c r="AM764" t="s">
        <v>7462</v>
      </c>
      <c r="AN764" t="s">
        <v>7463</v>
      </c>
      <c r="AO764" t="s">
        <v>14347</v>
      </c>
      <c r="AP764" t="s">
        <v>14348</v>
      </c>
      <c r="AQ764" t="s">
        <v>74</v>
      </c>
      <c r="AR764" t="s">
        <v>14349</v>
      </c>
      <c r="AS764" t="s">
        <v>14350</v>
      </c>
      <c r="AT764" t="s">
        <v>12678</v>
      </c>
      <c r="AU764">
        <v>2020</v>
      </c>
      <c r="AV764">
        <v>60</v>
      </c>
      <c r="AW764">
        <v>6</v>
      </c>
      <c r="AX764" t="s">
        <v>74</v>
      </c>
      <c r="AY764" t="s">
        <v>74</v>
      </c>
      <c r="AZ764" t="s">
        <v>74</v>
      </c>
      <c r="BA764" t="s">
        <v>74</v>
      </c>
      <c r="BB764">
        <v>1425</v>
      </c>
      <c r="BC764">
        <v>1437</v>
      </c>
      <c r="BD764" t="s">
        <v>74</v>
      </c>
      <c r="BE764" t="s">
        <v>14423</v>
      </c>
      <c r="BF764" t="str">
        <f>HYPERLINK("http://dx.doi.org/10.1093/icb/icaa121","http://dx.doi.org/10.1093/icb/icaa121")</f>
        <v>http://dx.doi.org/10.1093/icb/icaa121</v>
      </c>
      <c r="BG764" t="s">
        <v>74</v>
      </c>
      <c r="BH764" t="s">
        <v>74</v>
      </c>
      <c r="BI764">
        <v>13</v>
      </c>
      <c r="BJ764" t="s">
        <v>1028</v>
      </c>
      <c r="BK764" t="s">
        <v>103</v>
      </c>
      <c r="BL764" t="s">
        <v>1028</v>
      </c>
      <c r="BM764" t="s">
        <v>14352</v>
      </c>
      <c r="BN764">
        <v>32814956</v>
      </c>
      <c r="BO764" t="s">
        <v>3283</v>
      </c>
      <c r="BP764" t="s">
        <v>74</v>
      </c>
      <c r="BQ764" t="s">
        <v>74</v>
      </c>
      <c r="BR764" t="s">
        <v>106</v>
      </c>
      <c r="BS764" t="s">
        <v>14424</v>
      </c>
      <c r="BT764" t="str">
        <f>HYPERLINK("https%3A%2F%2Fwww.webofscience.com%2Fwos%2Fwoscc%2Ffull-record%2FWOS:000606706200009","View Full Record in Web of Science")</f>
        <v>View Full Record in Web of Science</v>
      </c>
    </row>
    <row r="765" spans="1:72" x14ac:dyDescent="0.15">
      <c r="A765" t="s">
        <v>72</v>
      </c>
      <c r="B765" t="s">
        <v>14425</v>
      </c>
      <c r="C765" t="s">
        <v>74</v>
      </c>
      <c r="D765" t="s">
        <v>74</v>
      </c>
      <c r="E765" t="s">
        <v>74</v>
      </c>
      <c r="F765" t="s">
        <v>14426</v>
      </c>
      <c r="G765" t="s">
        <v>74</v>
      </c>
      <c r="H765" t="s">
        <v>74</v>
      </c>
      <c r="I765" t="s">
        <v>14427</v>
      </c>
      <c r="J765" t="s">
        <v>14428</v>
      </c>
      <c r="K765" t="s">
        <v>74</v>
      </c>
      <c r="L765" t="s">
        <v>74</v>
      </c>
      <c r="M765" t="s">
        <v>78</v>
      </c>
      <c r="N765" t="s">
        <v>3976</v>
      </c>
      <c r="O765" t="s">
        <v>74</v>
      </c>
      <c r="P765" t="s">
        <v>74</v>
      </c>
      <c r="Q765" t="s">
        <v>74</v>
      </c>
      <c r="R765" t="s">
        <v>74</v>
      </c>
      <c r="S765" t="s">
        <v>74</v>
      </c>
      <c r="T765" t="s">
        <v>74</v>
      </c>
      <c r="U765" t="s">
        <v>14429</v>
      </c>
      <c r="V765" t="s">
        <v>74</v>
      </c>
      <c r="W765" t="s">
        <v>14430</v>
      </c>
      <c r="X765" t="s">
        <v>14431</v>
      </c>
      <c r="Y765" t="s">
        <v>14432</v>
      </c>
      <c r="Z765" t="s">
        <v>14433</v>
      </c>
      <c r="AA765" t="s">
        <v>14434</v>
      </c>
      <c r="AB765" t="s">
        <v>14435</v>
      </c>
      <c r="AC765" t="s">
        <v>6817</v>
      </c>
      <c r="AD765" t="s">
        <v>5636</v>
      </c>
      <c r="AE765" t="s">
        <v>74</v>
      </c>
      <c r="AF765" t="s">
        <v>74</v>
      </c>
      <c r="AG765">
        <v>12</v>
      </c>
      <c r="AH765">
        <v>1</v>
      </c>
      <c r="AI765">
        <v>1</v>
      </c>
      <c r="AJ765">
        <v>1</v>
      </c>
      <c r="AK765">
        <v>2</v>
      </c>
      <c r="AL765" t="s">
        <v>14436</v>
      </c>
      <c r="AM765" t="s">
        <v>14437</v>
      </c>
      <c r="AN765" t="s">
        <v>14438</v>
      </c>
      <c r="AO765" t="s">
        <v>14439</v>
      </c>
      <c r="AP765" t="s">
        <v>74</v>
      </c>
      <c r="AQ765" t="s">
        <v>74</v>
      </c>
      <c r="AR765" t="s">
        <v>14428</v>
      </c>
      <c r="AS765" t="s">
        <v>2250</v>
      </c>
      <c r="AT765" t="s">
        <v>12678</v>
      </c>
      <c r="AU765">
        <v>2020</v>
      </c>
      <c r="AV765">
        <v>33</v>
      </c>
      <c r="AW765">
        <v>4</v>
      </c>
      <c r="AX765" t="s">
        <v>74</v>
      </c>
      <c r="AY765" t="s">
        <v>74</v>
      </c>
      <c r="AZ765" t="s">
        <v>582</v>
      </c>
      <c r="BA765" t="s">
        <v>74</v>
      </c>
      <c r="BB765">
        <v>9</v>
      </c>
      <c r="BC765">
        <v>10</v>
      </c>
      <c r="BD765" t="s">
        <v>74</v>
      </c>
      <c r="BE765" t="s">
        <v>14440</v>
      </c>
      <c r="BF765" t="str">
        <f>HYPERLINK("http://dx.doi.org/10.5670/oceanog.2020.414","http://dx.doi.org/10.5670/oceanog.2020.414")</f>
        <v>http://dx.doi.org/10.5670/oceanog.2020.414</v>
      </c>
      <c r="BG765" t="s">
        <v>74</v>
      </c>
      <c r="BH765" t="s">
        <v>74</v>
      </c>
      <c r="BI765">
        <v>2</v>
      </c>
      <c r="BJ765" t="s">
        <v>2250</v>
      </c>
      <c r="BK765" t="s">
        <v>103</v>
      </c>
      <c r="BL765" t="s">
        <v>2250</v>
      </c>
      <c r="BM765" t="s">
        <v>14441</v>
      </c>
      <c r="BN765" t="s">
        <v>74</v>
      </c>
      <c r="BO765" t="s">
        <v>135</v>
      </c>
      <c r="BP765" t="s">
        <v>74</v>
      </c>
      <c r="BQ765" t="s">
        <v>74</v>
      </c>
      <c r="BR765" t="s">
        <v>106</v>
      </c>
      <c r="BS765" t="s">
        <v>14442</v>
      </c>
      <c r="BT765" t="str">
        <f>HYPERLINK("https%3A%2F%2Fwww.webofscience.com%2Fwos%2Fwoscc%2Ffull-record%2FWOS:000606322400002","View Full Record in Web of Science")</f>
        <v>View Full Record in Web of Science</v>
      </c>
    </row>
    <row r="766" spans="1:72" x14ac:dyDescent="0.15">
      <c r="A766" t="s">
        <v>72</v>
      </c>
      <c r="B766" t="s">
        <v>14443</v>
      </c>
      <c r="C766" t="s">
        <v>74</v>
      </c>
      <c r="D766" t="s">
        <v>74</v>
      </c>
      <c r="E766" t="s">
        <v>74</v>
      </c>
      <c r="F766" t="s">
        <v>14444</v>
      </c>
      <c r="G766" t="s">
        <v>74</v>
      </c>
      <c r="H766" t="s">
        <v>74</v>
      </c>
      <c r="I766" t="s">
        <v>14445</v>
      </c>
      <c r="J766" t="s">
        <v>14446</v>
      </c>
      <c r="K766" t="s">
        <v>74</v>
      </c>
      <c r="L766" t="s">
        <v>74</v>
      </c>
      <c r="M766" t="s">
        <v>78</v>
      </c>
      <c r="N766" t="s">
        <v>79</v>
      </c>
      <c r="O766" t="s">
        <v>74</v>
      </c>
      <c r="P766" t="s">
        <v>74</v>
      </c>
      <c r="Q766" t="s">
        <v>74</v>
      </c>
      <c r="R766" t="s">
        <v>74</v>
      </c>
      <c r="S766" t="s">
        <v>74</v>
      </c>
      <c r="T766" t="s">
        <v>14447</v>
      </c>
      <c r="U766" t="s">
        <v>14448</v>
      </c>
      <c r="V766" t="s">
        <v>14449</v>
      </c>
      <c r="W766" t="s">
        <v>14450</v>
      </c>
      <c r="X766" t="s">
        <v>14220</v>
      </c>
      <c r="Y766" t="s">
        <v>14451</v>
      </c>
      <c r="Z766" t="s">
        <v>14452</v>
      </c>
      <c r="AA766" t="s">
        <v>74</v>
      </c>
      <c r="AB766" t="s">
        <v>14453</v>
      </c>
      <c r="AC766" t="s">
        <v>14454</v>
      </c>
      <c r="AD766" t="s">
        <v>14455</v>
      </c>
      <c r="AE766" t="s">
        <v>14456</v>
      </c>
      <c r="AF766" t="s">
        <v>74</v>
      </c>
      <c r="AG766">
        <v>27</v>
      </c>
      <c r="AH766">
        <v>4</v>
      </c>
      <c r="AI766">
        <v>4</v>
      </c>
      <c r="AJ766">
        <v>0</v>
      </c>
      <c r="AK766">
        <v>2</v>
      </c>
      <c r="AL766" t="s">
        <v>14457</v>
      </c>
      <c r="AM766" t="s">
        <v>6943</v>
      </c>
      <c r="AN766" t="s">
        <v>14458</v>
      </c>
      <c r="AO766" t="s">
        <v>14459</v>
      </c>
      <c r="AP766" t="s">
        <v>14460</v>
      </c>
      <c r="AQ766" t="s">
        <v>74</v>
      </c>
      <c r="AR766" t="s">
        <v>14461</v>
      </c>
      <c r="AS766" t="s">
        <v>14462</v>
      </c>
      <c r="AT766" t="s">
        <v>12678</v>
      </c>
      <c r="AU766">
        <v>2020</v>
      </c>
      <c r="AV766">
        <v>70</v>
      </c>
      <c r="AW766">
        <v>4</v>
      </c>
      <c r="AX766" t="s">
        <v>74</v>
      </c>
      <c r="AY766" t="s">
        <v>74</v>
      </c>
      <c r="AZ766" t="s">
        <v>74</v>
      </c>
      <c r="BA766" t="s">
        <v>74</v>
      </c>
      <c r="BB766">
        <v>507</v>
      </c>
      <c r="BC766">
        <v>519</v>
      </c>
      <c r="BD766" t="s">
        <v>74</v>
      </c>
      <c r="BE766" t="s">
        <v>14463</v>
      </c>
      <c r="BF766" t="str">
        <f>HYPERLINK("http://dx.doi.org/10.3161/00034541ANZ2020.70.4.003","http://dx.doi.org/10.3161/00034541ANZ2020.70.4.003")</f>
        <v>http://dx.doi.org/10.3161/00034541ANZ2020.70.4.003</v>
      </c>
      <c r="BG766" t="s">
        <v>74</v>
      </c>
      <c r="BH766" t="s">
        <v>74</v>
      </c>
      <c r="BI766">
        <v>13</v>
      </c>
      <c r="BJ766" t="s">
        <v>7056</v>
      </c>
      <c r="BK766" t="s">
        <v>103</v>
      </c>
      <c r="BL766" t="s">
        <v>7056</v>
      </c>
      <c r="BM766" t="s">
        <v>14464</v>
      </c>
      <c r="BN766" t="s">
        <v>74</v>
      </c>
      <c r="BO766" t="s">
        <v>74</v>
      </c>
      <c r="BP766" t="s">
        <v>74</v>
      </c>
      <c r="BQ766" t="s">
        <v>74</v>
      </c>
      <c r="BR766" t="s">
        <v>106</v>
      </c>
      <c r="BS766" t="s">
        <v>14465</v>
      </c>
      <c r="BT766" t="str">
        <f>HYPERLINK("https%3A%2F%2Fwww.webofscience.com%2Fwos%2Fwoscc%2Ffull-record%2FWOS:000607003300003","View Full Record in Web of Science")</f>
        <v>View Full Record in Web of Science</v>
      </c>
    </row>
    <row r="767" spans="1:72" x14ac:dyDescent="0.15">
      <c r="A767" t="s">
        <v>72</v>
      </c>
      <c r="B767" t="s">
        <v>14466</v>
      </c>
      <c r="C767" t="s">
        <v>74</v>
      </c>
      <c r="D767" t="s">
        <v>74</v>
      </c>
      <c r="E767" t="s">
        <v>74</v>
      </c>
      <c r="F767" t="s">
        <v>14467</v>
      </c>
      <c r="G767" t="s">
        <v>74</v>
      </c>
      <c r="H767" t="s">
        <v>74</v>
      </c>
      <c r="I767" t="s">
        <v>14468</v>
      </c>
      <c r="J767" t="s">
        <v>14469</v>
      </c>
      <c r="K767" t="s">
        <v>74</v>
      </c>
      <c r="L767" t="s">
        <v>74</v>
      </c>
      <c r="M767" t="s">
        <v>78</v>
      </c>
      <c r="N767" t="s">
        <v>79</v>
      </c>
      <c r="O767" t="s">
        <v>74</v>
      </c>
      <c r="P767" t="s">
        <v>74</v>
      </c>
      <c r="Q767" t="s">
        <v>74</v>
      </c>
      <c r="R767" t="s">
        <v>74</v>
      </c>
      <c r="S767" t="s">
        <v>74</v>
      </c>
      <c r="T767" t="s">
        <v>14470</v>
      </c>
      <c r="U767" t="s">
        <v>14471</v>
      </c>
      <c r="V767" t="s">
        <v>14472</v>
      </c>
      <c r="W767" t="s">
        <v>14473</v>
      </c>
      <c r="X767" t="s">
        <v>14474</v>
      </c>
      <c r="Y767" t="s">
        <v>14475</v>
      </c>
      <c r="Z767" t="s">
        <v>14476</v>
      </c>
      <c r="AA767" t="s">
        <v>14477</v>
      </c>
      <c r="AB767" t="s">
        <v>14478</v>
      </c>
      <c r="AC767" t="s">
        <v>14479</v>
      </c>
      <c r="AD767" t="s">
        <v>14480</v>
      </c>
      <c r="AE767" t="s">
        <v>14481</v>
      </c>
      <c r="AF767" t="s">
        <v>74</v>
      </c>
      <c r="AG767">
        <v>27</v>
      </c>
      <c r="AH767">
        <v>2</v>
      </c>
      <c r="AI767">
        <v>4</v>
      </c>
      <c r="AJ767">
        <v>0</v>
      </c>
      <c r="AK767">
        <v>2</v>
      </c>
      <c r="AL767" t="s">
        <v>14482</v>
      </c>
      <c r="AM767" t="s">
        <v>14483</v>
      </c>
      <c r="AN767" t="s">
        <v>14484</v>
      </c>
      <c r="AO767" t="s">
        <v>14485</v>
      </c>
      <c r="AP767" t="s">
        <v>14486</v>
      </c>
      <c r="AQ767" t="s">
        <v>74</v>
      </c>
      <c r="AR767" t="s">
        <v>14487</v>
      </c>
      <c r="AS767" t="s">
        <v>14488</v>
      </c>
      <c r="AT767" t="s">
        <v>12678</v>
      </c>
      <c r="AU767">
        <v>2020</v>
      </c>
      <c r="AV767">
        <v>9</v>
      </c>
      <c r="AW767">
        <v>4</v>
      </c>
      <c r="AX767" t="s">
        <v>74</v>
      </c>
      <c r="AY767" t="s">
        <v>74</v>
      </c>
      <c r="AZ767" t="s">
        <v>74</v>
      </c>
      <c r="BA767" t="s">
        <v>74</v>
      </c>
      <c r="BB767" t="s">
        <v>74</v>
      </c>
      <c r="BC767" t="s">
        <v>74</v>
      </c>
      <c r="BD767">
        <v>2050019</v>
      </c>
      <c r="BE767" t="s">
        <v>14489</v>
      </c>
      <c r="BF767" t="str">
        <f>HYPERLINK("http://dx.doi.org/10.1142/S2251171720500191","http://dx.doi.org/10.1142/S2251171720500191")</f>
        <v>http://dx.doi.org/10.1142/S2251171720500191</v>
      </c>
      <c r="BG767" t="s">
        <v>74</v>
      </c>
      <c r="BH767" t="s">
        <v>74</v>
      </c>
      <c r="BI767">
        <v>14</v>
      </c>
      <c r="BJ767" t="s">
        <v>3258</v>
      </c>
      <c r="BK767" t="s">
        <v>3050</v>
      </c>
      <c r="BL767" t="s">
        <v>3258</v>
      </c>
      <c r="BM767" t="s">
        <v>14490</v>
      </c>
      <c r="BN767" t="s">
        <v>74</v>
      </c>
      <c r="BO767" t="s">
        <v>1755</v>
      </c>
      <c r="BP767" t="s">
        <v>74</v>
      </c>
      <c r="BQ767" t="s">
        <v>74</v>
      </c>
      <c r="BR767" t="s">
        <v>106</v>
      </c>
      <c r="BS767" t="s">
        <v>14491</v>
      </c>
      <c r="BT767" t="str">
        <f>HYPERLINK("https%3A%2F%2Fwww.webofscience.com%2Fwos%2Fwoscc%2Ffull-record%2FWOS:000605653800005","View Full Record in Web of Science")</f>
        <v>View Full Record in Web of Science</v>
      </c>
    </row>
    <row r="768" spans="1:72" x14ac:dyDescent="0.15">
      <c r="A768" t="s">
        <v>72</v>
      </c>
      <c r="B768" t="s">
        <v>14492</v>
      </c>
      <c r="C768" t="s">
        <v>74</v>
      </c>
      <c r="D768" t="s">
        <v>74</v>
      </c>
      <c r="E768" t="s">
        <v>74</v>
      </c>
      <c r="F768" t="s">
        <v>14493</v>
      </c>
      <c r="G768" t="s">
        <v>74</v>
      </c>
      <c r="H768" t="s">
        <v>74</v>
      </c>
      <c r="I768" t="s">
        <v>14494</v>
      </c>
      <c r="J768" t="s">
        <v>14495</v>
      </c>
      <c r="K768" t="s">
        <v>74</v>
      </c>
      <c r="L768" t="s">
        <v>74</v>
      </c>
      <c r="M768" t="s">
        <v>78</v>
      </c>
      <c r="N768" t="s">
        <v>79</v>
      </c>
      <c r="O768" t="s">
        <v>74</v>
      </c>
      <c r="P768" t="s">
        <v>74</v>
      </c>
      <c r="Q768" t="s">
        <v>74</v>
      </c>
      <c r="R768" t="s">
        <v>74</v>
      </c>
      <c r="S768" t="s">
        <v>74</v>
      </c>
      <c r="T768" t="s">
        <v>14496</v>
      </c>
      <c r="U768" t="s">
        <v>74</v>
      </c>
      <c r="V768" t="s">
        <v>14497</v>
      </c>
      <c r="W768" t="s">
        <v>14498</v>
      </c>
      <c r="X768" t="s">
        <v>14499</v>
      </c>
      <c r="Y768" t="s">
        <v>14500</v>
      </c>
      <c r="Z768" t="s">
        <v>14501</v>
      </c>
      <c r="AA768" t="s">
        <v>14502</v>
      </c>
      <c r="AB768" t="s">
        <v>14503</v>
      </c>
      <c r="AC768" t="s">
        <v>14504</v>
      </c>
      <c r="AD768" t="s">
        <v>14505</v>
      </c>
      <c r="AE768" t="s">
        <v>14506</v>
      </c>
      <c r="AF768" t="s">
        <v>74</v>
      </c>
      <c r="AG768">
        <v>29</v>
      </c>
      <c r="AH768">
        <v>1</v>
      </c>
      <c r="AI768">
        <v>1</v>
      </c>
      <c r="AJ768">
        <v>1</v>
      </c>
      <c r="AK768">
        <v>4</v>
      </c>
      <c r="AL768" t="s">
        <v>6635</v>
      </c>
      <c r="AM768" t="s">
        <v>473</v>
      </c>
      <c r="AN768" t="s">
        <v>6636</v>
      </c>
      <c r="AO768" t="s">
        <v>14507</v>
      </c>
      <c r="AP768" t="s">
        <v>14508</v>
      </c>
      <c r="AQ768" t="s">
        <v>74</v>
      </c>
      <c r="AR768" t="s">
        <v>14509</v>
      </c>
      <c r="AS768" t="s">
        <v>14510</v>
      </c>
      <c r="AT768" t="s">
        <v>12678</v>
      </c>
      <c r="AU768">
        <v>2020</v>
      </c>
      <c r="AV768">
        <v>47</v>
      </c>
      <c r="AW768">
        <v>7</v>
      </c>
      <c r="AX768" t="s">
        <v>74</v>
      </c>
      <c r="AY768" t="s">
        <v>74</v>
      </c>
      <c r="AZ768" t="s">
        <v>74</v>
      </c>
      <c r="BA768" t="s">
        <v>74</v>
      </c>
      <c r="BB768">
        <v>878</v>
      </c>
      <c r="BC768">
        <v>885</v>
      </c>
      <c r="BD768" t="s">
        <v>74</v>
      </c>
      <c r="BE768" t="s">
        <v>14511</v>
      </c>
      <c r="BF768" t="str">
        <f>HYPERLINK("http://dx.doi.org/10.1134/S1062359020070110","http://dx.doi.org/10.1134/S1062359020070110")</f>
        <v>http://dx.doi.org/10.1134/S1062359020070110</v>
      </c>
      <c r="BG768" t="s">
        <v>74</v>
      </c>
      <c r="BH768" t="s">
        <v>74</v>
      </c>
      <c r="BI768">
        <v>8</v>
      </c>
      <c r="BJ768" t="s">
        <v>6351</v>
      </c>
      <c r="BK768" t="s">
        <v>103</v>
      </c>
      <c r="BL768" t="s">
        <v>6352</v>
      </c>
      <c r="BM768" t="s">
        <v>14512</v>
      </c>
      <c r="BN768" t="s">
        <v>74</v>
      </c>
      <c r="BO768" t="s">
        <v>74</v>
      </c>
      <c r="BP768" t="s">
        <v>74</v>
      </c>
      <c r="BQ768" t="s">
        <v>74</v>
      </c>
      <c r="BR768" t="s">
        <v>106</v>
      </c>
      <c r="BS768" t="s">
        <v>14513</v>
      </c>
      <c r="BT768" t="str">
        <f>HYPERLINK("https%3A%2F%2Fwww.webofscience.com%2Fwos%2Fwoscc%2Ffull-record%2FWOS:000607594100016","View Full Record in Web of Science")</f>
        <v>View Full Record in Web of Science</v>
      </c>
    </row>
    <row r="769" spans="1:72" x14ac:dyDescent="0.15">
      <c r="A769" t="s">
        <v>72</v>
      </c>
      <c r="B769" t="s">
        <v>14514</v>
      </c>
      <c r="C769" t="s">
        <v>74</v>
      </c>
      <c r="D769" t="s">
        <v>74</v>
      </c>
      <c r="E769" t="s">
        <v>74</v>
      </c>
      <c r="F769" t="s">
        <v>14515</v>
      </c>
      <c r="G769" t="s">
        <v>74</v>
      </c>
      <c r="H769" t="s">
        <v>74</v>
      </c>
      <c r="I769" t="s">
        <v>14516</v>
      </c>
      <c r="J769" t="s">
        <v>9290</v>
      </c>
      <c r="K769" t="s">
        <v>74</v>
      </c>
      <c r="L769" t="s">
        <v>74</v>
      </c>
      <c r="M769" t="s">
        <v>78</v>
      </c>
      <c r="N769" t="s">
        <v>79</v>
      </c>
      <c r="O769" t="s">
        <v>74</v>
      </c>
      <c r="P769" t="s">
        <v>74</v>
      </c>
      <c r="Q769" t="s">
        <v>74</v>
      </c>
      <c r="R769" t="s">
        <v>74</v>
      </c>
      <c r="S769" t="s">
        <v>74</v>
      </c>
      <c r="T769" t="s">
        <v>14517</v>
      </c>
      <c r="U769" t="s">
        <v>14518</v>
      </c>
      <c r="V769" t="s">
        <v>14519</v>
      </c>
      <c r="W769" t="s">
        <v>14520</v>
      </c>
      <c r="X769" t="s">
        <v>14521</v>
      </c>
      <c r="Y769" t="s">
        <v>14522</v>
      </c>
      <c r="Z769" t="s">
        <v>14523</v>
      </c>
      <c r="AA769" t="s">
        <v>14524</v>
      </c>
      <c r="AB769" t="s">
        <v>5634</v>
      </c>
      <c r="AC769" t="s">
        <v>14525</v>
      </c>
      <c r="AD769" t="s">
        <v>14526</v>
      </c>
      <c r="AE769" t="s">
        <v>14527</v>
      </c>
      <c r="AF769" t="s">
        <v>74</v>
      </c>
      <c r="AG769">
        <v>55</v>
      </c>
      <c r="AH769">
        <v>6</v>
      </c>
      <c r="AI769">
        <v>6</v>
      </c>
      <c r="AJ769">
        <v>0</v>
      </c>
      <c r="AK769">
        <v>3</v>
      </c>
      <c r="AL769" t="s">
        <v>418</v>
      </c>
      <c r="AM769" t="s">
        <v>178</v>
      </c>
      <c r="AN769" t="s">
        <v>419</v>
      </c>
      <c r="AO769" t="s">
        <v>9301</v>
      </c>
      <c r="AP769" t="s">
        <v>9302</v>
      </c>
      <c r="AQ769" t="s">
        <v>74</v>
      </c>
      <c r="AR769" t="s">
        <v>9303</v>
      </c>
      <c r="AS769" t="s">
        <v>9304</v>
      </c>
      <c r="AT769" t="s">
        <v>12678</v>
      </c>
      <c r="AU769">
        <v>2020</v>
      </c>
      <c r="AV769">
        <v>104</v>
      </c>
      <c r="AW769" t="s">
        <v>74</v>
      </c>
      <c r="AX769" t="s">
        <v>74</v>
      </c>
      <c r="AY769" t="s">
        <v>74</v>
      </c>
      <c r="AZ769" t="s">
        <v>74</v>
      </c>
      <c r="BA769" t="s">
        <v>74</v>
      </c>
      <c r="BB769" t="s">
        <v>74</v>
      </c>
      <c r="BC769" t="s">
        <v>74</v>
      </c>
      <c r="BD769">
        <v>102848</v>
      </c>
      <c r="BE769" t="s">
        <v>14528</v>
      </c>
      <c r="BF769" t="str">
        <f>HYPERLINK("http://dx.doi.org/10.1016/j.jsames.2020.102848","http://dx.doi.org/10.1016/j.jsames.2020.102848")</f>
        <v>http://dx.doi.org/10.1016/j.jsames.2020.102848</v>
      </c>
      <c r="BG769" t="s">
        <v>74</v>
      </c>
      <c r="BH769" t="s">
        <v>74</v>
      </c>
      <c r="BI769">
        <v>10</v>
      </c>
      <c r="BJ769" t="s">
        <v>401</v>
      </c>
      <c r="BK769" t="s">
        <v>103</v>
      </c>
      <c r="BL769" t="s">
        <v>402</v>
      </c>
      <c r="BM769" t="s">
        <v>14529</v>
      </c>
      <c r="BN769" t="s">
        <v>74</v>
      </c>
      <c r="BO769" t="s">
        <v>74</v>
      </c>
      <c r="BP769" t="s">
        <v>74</v>
      </c>
      <c r="BQ769" t="s">
        <v>74</v>
      </c>
      <c r="BR769" t="s">
        <v>106</v>
      </c>
      <c r="BS769" t="s">
        <v>14530</v>
      </c>
      <c r="BT769" t="str">
        <f>HYPERLINK("https%3A%2F%2Fwww.webofscience.com%2Fwos%2Fwoscc%2Ffull-record%2FWOS:000600273000001","View Full Record in Web of Science")</f>
        <v>View Full Record in Web of Science</v>
      </c>
    </row>
    <row r="770" spans="1:72" x14ac:dyDescent="0.15">
      <c r="A770" t="s">
        <v>72</v>
      </c>
      <c r="B770" t="s">
        <v>14531</v>
      </c>
      <c r="C770" t="s">
        <v>74</v>
      </c>
      <c r="D770" t="s">
        <v>74</v>
      </c>
      <c r="E770" t="s">
        <v>74</v>
      </c>
      <c r="F770" t="s">
        <v>14532</v>
      </c>
      <c r="G770" t="s">
        <v>74</v>
      </c>
      <c r="H770" t="s">
        <v>74</v>
      </c>
      <c r="I770" t="s">
        <v>14533</v>
      </c>
      <c r="J770" t="s">
        <v>14534</v>
      </c>
      <c r="K770" t="s">
        <v>74</v>
      </c>
      <c r="L770" t="s">
        <v>74</v>
      </c>
      <c r="M770" t="s">
        <v>78</v>
      </c>
      <c r="N770" t="s">
        <v>79</v>
      </c>
      <c r="O770" t="s">
        <v>74</v>
      </c>
      <c r="P770" t="s">
        <v>74</v>
      </c>
      <c r="Q770" t="s">
        <v>74</v>
      </c>
      <c r="R770" t="s">
        <v>74</v>
      </c>
      <c r="S770" t="s">
        <v>74</v>
      </c>
      <c r="T770" t="s">
        <v>14535</v>
      </c>
      <c r="U770" t="s">
        <v>14536</v>
      </c>
      <c r="V770" t="s">
        <v>14537</v>
      </c>
      <c r="W770" t="s">
        <v>14538</v>
      </c>
      <c r="X770" t="s">
        <v>14539</v>
      </c>
      <c r="Y770" t="s">
        <v>14540</v>
      </c>
      <c r="Z770" t="s">
        <v>14541</v>
      </c>
      <c r="AA770" t="s">
        <v>14542</v>
      </c>
      <c r="AB770" t="s">
        <v>14543</v>
      </c>
      <c r="AC770" t="s">
        <v>14544</v>
      </c>
      <c r="AD770" t="s">
        <v>14545</v>
      </c>
      <c r="AE770" t="s">
        <v>14546</v>
      </c>
      <c r="AF770" t="s">
        <v>74</v>
      </c>
      <c r="AG770">
        <v>57</v>
      </c>
      <c r="AH770">
        <v>2</v>
      </c>
      <c r="AI770">
        <v>4</v>
      </c>
      <c r="AJ770">
        <v>2</v>
      </c>
      <c r="AK770">
        <v>22</v>
      </c>
      <c r="AL770" t="s">
        <v>92</v>
      </c>
      <c r="AM770" t="s">
        <v>93</v>
      </c>
      <c r="AN770" t="s">
        <v>94</v>
      </c>
      <c r="AO770" t="s">
        <v>14547</v>
      </c>
      <c r="AP770" t="s">
        <v>14548</v>
      </c>
      <c r="AQ770" t="s">
        <v>74</v>
      </c>
      <c r="AR770" t="s">
        <v>14534</v>
      </c>
      <c r="AS770" t="s">
        <v>14549</v>
      </c>
      <c r="AT770" t="s">
        <v>12678</v>
      </c>
      <c r="AU770">
        <v>2020</v>
      </c>
      <c r="AV770">
        <v>29</v>
      </c>
      <c r="AW770">
        <v>4</v>
      </c>
      <c r="AX770" t="s">
        <v>74</v>
      </c>
      <c r="AY770" t="s">
        <v>74</v>
      </c>
      <c r="AZ770" t="s">
        <v>74</v>
      </c>
      <c r="BA770" t="s">
        <v>74</v>
      </c>
      <c r="BB770">
        <v>807</v>
      </c>
      <c r="BC770">
        <v>818</v>
      </c>
      <c r="BD770" t="s">
        <v>74</v>
      </c>
      <c r="BE770" t="s">
        <v>14550</v>
      </c>
      <c r="BF770" t="str">
        <f>HYPERLINK("http://dx.doi.org/10.1016/j.palwor.2020.03.001","http://dx.doi.org/10.1016/j.palwor.2020.03.001")</f>
        <v>http://dx.doi.org/10.1016/j.palwor.2020.03.001</v>
      </c>
      <c r="BG770" t="s">
        <v>74</v>
      </c>
      <c r="BH770" t="s">
        <v>74</v>
      </c>
      <c r="BI770">
        <v>12</v>
      </c>
      <c r="BJ770" t="s">
        <v>6950</v>
      </c>
      <c r="BK770" t="s">
        <v>103</v>
      </c>
      <c r="BL770" t="s">
        <v>6950</v>
      </c>
      <c r="BM770" t="s">
        <v>14551</v>
      </c>
      <c r="BN770" t="s">
        <v>74</v>
      </c>
      <c r="BO770" t="s">
        <v>74</v>
      </c>
      <c r="BP770" t="s">
        <v>74</v>
      </c>
      <c r="BQ770" t="s">
        <v>74</v>
      </c>
      <c r="BR770" t="s">
        <v>106</v>
      </c>
      <c r="BS770" t="s">
        <v>14552</v>
      </c>
      <c r="BT770" t="str">
        <f>HYPERLINK("https%3A%2F%2Fwww.webofscience.com%2Fwos%2Fwoscc%2Ffull-record%2FWOS:000603076800007","View Full Record in Web of Science")</f>
        <v>View Full Record in Web of Science</v>
      </c>
    </row>
    <row r="771" spans="1:72" x14ac:dyDescent="0.15">
      <c r="A771" t="s">
        <v>72</v>
      </c>
      <c r="B771" t="s">
        <v>14553</v>
      </c>
      <c r="C771" t="s">
        <v>74</v>
      </c>
      <c r="D771" t="s">
        <v>74</v>
      </c>
      <c r="E771" t="s">
        <v>74</v>
      </c>
      <c r="F771" t="s">
        <v>14554</v>
      </c>
      <c r="G771" t="s">
        <v>74</v>
      </c>
      <c r="H771" t="s">
        <v>74</v>
      </c>
      <c r="I771" t="s">
        <v>14555</v>
      </c>
      <c r="J771" t="s">
        <v>8712</v>
      </c>
      <c r="K771" t="s">
        <v>74</v>
      </c>
      <c r="L771" t="s">
        <v>74</v>
      </c>
      <c r="M771" t="s">
        <v>78</v>
      </c>
      <c r="N771" t="s">
        <v>79</v>
      </c>
      <c r="O771" t="s">
        <v>74</v>
      </c>
      <c r="P771" t="s">
        <v>74</v>
      </c>
      <c r="Q771" t="s">
        <v>74</v>
      </c>
      <c r="R771" t="s">
        <v>74</v>
      </c>
      <c r="S771" t="s">
        <v>74</v>
      </c>
      <c r="T771" t="s">
        <v>14556</v>
      </c>
      <c r="U771" t="s">
        <v>14557</v>
      </c>
      <c r="V771" t="s">
        <v>14558</v>
      </c>
      <c r="W771" t="s">
        <v>14559</v>
      </c>
      <c r="X771" t="s">
        <v>14560</v>
      </c>
      <c r="Y771" t="s">
        <v>14561</v>
      </c>
      <c r="Z771" t="s">
        <v>14562</v>
      </c>
      <c r="AA771" t="s">
        <v>14563</v>
      </c>
      <c r="AB771" t="s">
        <v>14564</v>
      </c>
      <c r="AC771" t="s">
        <v>14565</v>
      </c>
      <c r="AD771" t="s">
        <v>14566</v>
      </c>
      <c r="AE771" t="s">
        <v>14567</v>
      </c>
      <c r="AF771" t="s">
        <v>74</v>
      </c>
      <c r="AG771">
        <v>97</v>
      </c>
      <c r="AH771">
        <v>4</v>
      </c>
      <c r="AI771">
        <v>4</v>
      </c>
      <c r="AJ771">
        <v>1</v>
      </c>
      <c r="AK771">
        <v>12</v>
      </c>
      <c r="AL771" t="s">
        <v>1291</v>
      </c>
      <c r="AM771" t="s">
        <v>629</v>
      </c>
      <c r="AN771" t="s">
        <v>1292</v>
      </c>
      <c r="AO771" t="s">
        <v>74</v>
      </c>
      <c r="AP771" t="s">
        <v>8722</v>
      </c>
      <c r="AQ771" t="s">
        <v>74</v>
      </c>
      <c r="AR771" t="s">
        <v>8723</v>
      </c>
      <c r="AS771" t="s">
        <v>8724</v>
      </c>
      <c r="AT771" t="s">
        <v>12678</v>
      </c>
      <c r="AU771">
        <v>2020</v>
      </c>
      <c r="AV771">
        <v>21</v>
      </c>
      <c r="AW771">
        <v>12</v>
      </c>
      <c r="AX771" t="s">
        <v>74</v>
      </c>
      <c r="AY771" t="s">
        <v>74</v>
      </c>
      <c r="AZ771" t="s">
        <v>74</v>
      </c>
      <c r="BA771" t="s">
        <v>74</v>
      </c>
      <c r="BB771" t="s">
        <v>74</v>
      </c>
      <c r="BC771" t="s">
        <v>74</v>
      </c>
      <c r="BD771" t="s">
        <v>14568</v>
      </c>
      <c r="BE771" t="s">
        <v>14569</v>
      </c>
      <c r="BF771" t="str">
        <f>HYPERLINK("http://dx.doi.org/10.1029/2020GC009048","http://dx.doi.org/10.1029/2020GC009048")</f>
        <v>http://dx.doi.org/10.1029/2020GC009048</v>
      </c>
      <c r="BG771" t="s">
        <v>74</v>
      </c>
      <c r="BH771" t="s">
        <v>74</v>
      </c>
      <c r="BI771">
        <v>25</v>
      </c>
      <c r="BJ771" t="s">
        <v>426</v>
      </c>
      <c r="BK771" t="s">
        <v>103</v>
      </c>
      <c r="BL771" t="s">
        <v>426</v>
      </c>
      <c r="BM771" t="s">
        <v>14570</v>
      </c>
      <c r="BN771" t="s">
        <v>74</v>
      </c>
      <c r="BO771" t="s">
        <v>3283</v>
      </c>
      <c r="BP771" t="s">
        <v>74</v>
      </c>
      <c r="BQ771" t="s">
        <v>74</v>
      </c>
      <c r="BR771" t="s">
        <v>106</v>
      </c>
      <c r="BS771" t="s">
        <v>14571</v>
      </c>
      <c r="BT771" t="str">
        <f>HYPERLINK("https%3A%2F%2Fwww.webofscience.com%2Fwos%2Fwoscc%2Ffull-record%2FWOS:000603662700017","View Full Record in Web of Science")</f>
        <v>View Full Record in Web of Science</v>
      </c>
    </row>
    <row r="772" spans="1:72" x14ac:dyDescent="0.15">
      <c r="A772" t="s">
        <v>72</v>
      </c>
      <c r="B772" t="s">
        <v>14572</v>
      </c>
      <c r="C772" t="s">
        <v>74</v>
      </c>
      <c r="D772" t="s">
        <v>74</v>
      </c>
      <c r="E772" t="s">
        <v>74</v>
      </c>
      <c r="F772" t="s">
        <v>14573</v>
      </c>
      <c r="G772" t="s">
        <v>74</v>
      </c>
      <c r="H772" t="s">
        <v>74</v>
      </c>
      <c r="I772" t="s">
        <v>14574</v>
      </c>
      <c r="J772" t="s">
        <v>14575</v>
      </c>
      <c r="K772" t="s">
        <v>74</v>
      </c>
      <c r="L772" t="s">
        <v>74</v>
      </c>
      <c r="M772" t="s">
        <v>78</v>
      </c>
      <c r="N772" t="s">
        <v>79</v>
      </c>
      <c r="O772" t="s">
        <v>74</v>
      </c>
      <c r="P772" t="s">
        <v>74</v>
      </c>
      <c r="Q772" t="s">
        <v>74</v>
      </c>
      <c r="R772" t="s">
        <v>74</v>
      </c>
      <c r="S772" t="s">
        <v>74</v>
      </c>
      <c r="T772" t="s">
        <v>14576</v>
      </c>
      <c r="U772" t="s">
        <v>14577</v>
      </c>
      <c r="V772" t="s">
        <v>14578</v>
      </c>
      <c r="W772" t="s">
        <v>14579</v>
      </c>
      <c r="X772" t="s">
        <v>14580</v>
      </c>
      <c r="Y772" t="s">
        <v>14581</v>
      </c>
      <c r="Z772" t="s">
        <v>14582</v>
      </c>
      <c r="AA772" t="s">
        <v>14583</v>
      </c>
      <c r="AB772" t="s">
        <v>14584</v>
      </c>
      <c r="AC772" t="s">
        <v>14585</v>
      </c>
      <c r="AD772" t="s">
        <v>14586</v>
      </c>
      <c r="AE772" t="s">
        <v>14587</v>
      </c>
      <c r="AF772" t="s">
        <v>74</v>
      </c>
      <c r="AG772">
        <v>126</v>
      </c>
      <c r="AH772">
        <v>15</v>
      </c>
      <c r="AI772">
        <v>15</v>
      </c>
      <c r="AJ772">
        <v>1</v>
      </c>
      <c r="AK772">
        <v>13</v>
      </c>
      <c r="AL772" t="s">
        <v>1291</v>
      </c>
      <c r="AM772" t="s">
        <v>629</v>
      </c>
      <c r="AN772" t="s">
        <v>1292</v>
      </c>
      <c r="AO772" t="s">
        <v>14588</v>
      </c>
      <c r="AP772" t="s">
        <v>14589</v>
      </c>
      <c r="AQ772" t="s">
        <v>74</v>
      </c>
      <c r="AR772" t="s">
        <v>14590</v>
      </c>
      <c r="AS772" t="s">
        <v>14591</v>
      </c>
      <c r="AT772" t="s">
        <v>12678</v>
      </c>
      <c r="AU772">
        <v>2020</v>
      </c>
      <c r="AV772">
        <v>125</v>
      </c>
      <c r="AW772">
        <v>12</v>
      </c>
      <c r="AX772" t="s">
        <v>74</v>
      </c>
      <c r="AY772" t="s">
        <v>74</v>
      </c>
      <c r="AZ772" t="s">
        <v>74</v>
      </c>
      <c r="BA772" t="s">
        <v>74</v>
      </c>
      <c r="BB772" t="s">
        <v>74</v>
      </c>
      <c r="BC772" t="s">
        <v>74</v>
      </c>
      <c r="BD772" t="s">
        <v>14592</v>
      </c>
      <c r="BE772" t="s">
        <v>14593</v>
      </c>
      <c r="BF772" t="str">
        <f>HYPERLINK("http://dx.doi.org/10.1029/2020JC016130","http://dx.doi.org/10.1029/2020JC016130")</f>
        <v>http://dx.doi.org/10.1029/2020JC016130</v>
      </c>
      <c r="BG772" t="s">
        <v>74</v>
      </c>
      <c r="BH772" t="s">
        <v>74</v>
      </c>
      <c r="BI772">
        <v>19</v>
      </c>
      <c r="BJ772" t="s">
        <v>2250</v>
      </c>
      <c r="BK772" t="s">
        <v>103</v>
      </c>
      <c r="BL772" t="s">
        <v>2250</v>
      </c>
      <c r="BM772" t="s">
        <v>14594</v>
      </c>
      <c r="BN772" t="s">
        <v>74</v>
      </c>
      <c r="BO772" t="s">
        <v>1708</v>
      </c>
      <c r="BP772" t="s">
        <v>74</v>
      </c>
      <c r="BQ772" t="s">
        <v>74</v>
      </c>
      <c r="BR772" t="s">
        <v>106</v>
      </c>
      <c r="BS772" t="s">
        <v>14595</v>
      </c>
      <c r="BT772" t="str">
        <f>HYPERLINK("https%3A%2F%2Fwww.webofscience.com%2Fwos%2Fwoscc%2Ffull-record%2FWOS:000603643300005","View Full Record in Web of Science")</f>
        <v>View Full Record in Web of Science</v>
      </c>
    </row>
    <row r="773" spans="1:72" x14ac:dyDescent="0.15">
      <c r="A773" t="s">
        <v>72</v>
      </c>
      <c r="B773" t="s">
        <v>14596</v>
      </c>
      <c r="C773" t="s">
        <v>74</v>
      </c>
      <c r="D773" t="s">
        <v>74</v>
      </c>
      <c r="E773" t="s">
        <v>74</v>
      </c>
      <c r="F773" t="s">
        <v>14597</v>
      </c>
      <c r="G773" t="s">
        <v>74</v>
      </c>
      <c r="H773" t="s">
        <v>74</v>
      </c>
      <c r="I773" t="s">
        <v>14598</v>
      </c>
      <c r="J773" t="s">
        <v>14599</v>
      </c>
      <c r="K773" t="s">
        <v>74</v>
      </c>
      <c r="L773" t="s">
        <v>74</v>
      </c>
      <c r="M773" t="s">
        <v>78</v>
      </c>
      <c r="N773" t="s">
        <v>79</v>
      </c>
      <c r="O773" t="s">
        <v>74</v>
      </c>
      <c r="P773" t="s">
        <v>74</v>
      </c>
      <c r="Q773" t="s">
        <v>74</v>
      </c>
      <c r="R773" t="s">
        <v>74</v>
      </c>
      <c r="S773" t="s">
        <v>74</v>
      </c>
      <c r="T773" t="s">
        <v>14600</v>
      </c>
      <c r="U773" t="s">
        <v>14601</v>
      </c>
      <c r="V773" t="s">
        <v>14602</v>
      </c>
      <c r="W773" t="s">
        <v>14603</v>
      </c>
      <c r="X773" t="s">
        <v>14604</v>
      </c>
      <c r="Y773" t="s">
        <v>14605</v>
      </c>
      <c r="Z773" t="s">
        <v>14606</v>
      </c>
      <c r="AA773" t="s">
        <v>14607</v>
      </c>
      <c r="AB773" t="s">
        <v>14608</v>
      </c>
      <c r="AC773" t="s">
        <v>14609</v>
      </c>
      <c r="AD773" t="s">
        <v>14610</v>
      </c>
      <c r="AE773" t="s">
        <v>14611</v>
      </c>
      <c r="AF773" t="s">
        <v>74</v>
      </c>
      <c r="AG773">
        <v>56</v>
      </c>
      <c r="AH773">
        <v>5</v>
      </c>
      <c r="AI773">
        <v>5</v>
      </c>
      <c r="AJ773">
        <v>2</v>
      </c>
      <c r="AK773">
        <v>10</v>
      </c>
      <c r="AL773" t="s">
        <v>418</v>
      </c>
      <c r="AM773" t="s">
        <v>178</v>
      </c>
      <c r="AN773" t="s">
        <v>419</v>
      </c>
      <c r="AO773" t="s">
        <v>14612</v>
      </c>
      <c r="AP773" t="s">
        <v>14613</v>
      </c>
      <c r="AQ773" t="s">
        <v>74</v>
      </c>
      <c r="AR773" t="s">
        <v>14614</v>
      </c>
      <c r="AS773" t="s">
        <v>14615</v>
      </c>
      <c r="AT773" t="s">
        <v>12678</v>
      </c>
      <c r="AU773">
        <v>2020</v>
      </c>
      <c r="AV773">
        <v>181</v>
      </c>
      <c r="AW773" t="s">
        <v>74</v>
      </c>
      <c r="AX773" t="s">
        <v>74</v>
      </c>
      <c r="AY773" t="s">
        <v>74</v>
      </c>
      <c r="AZ773" t="s">
        <v>582</v>
      </c>
      <c r="BA773" t="s">
        <v>74</v>
      </c>
      <c r="BB773" t="s">
        <v>74</v>
      </c>
      <c r="BC773" t="s">
        <v>74</v>
      </c>
      <c r="BD773">
        <v>104898</v>
      </c>
      <c r="BE773" t="s">
        <v>14616</v>
      </c>
      <c r="BF773" t="str">
        <f>HYPERLINK("http://dx.doi.org/10.1016/j.dsr2.2020.104898","http://dx.doi.org/10.1016/j.dsr2.2020.104898")</f>
        <v>http://dx.doi.org/10.1016/j.dsr2.2020.104898</v>
      </c>
      <c r="BG773" t="s">
        <v>74</v>
      </c>
      <c r="BH773" t="s">
        <v>74</v>
      </c>
      <c r="BI773">
        <v>8</v>
      </c>
      <c r="BJ773" t="s">
        <v>2250</v>
      </c>
      <c r="BK773" t="s">
        <v>103</v>
      </c>
      <c r="BL773" t="s">
        <v>2250</v>
      </c>
      <c r="BM773" t="s">
        <v>14617</v>
      </c>
      <c r="BN773" t="s">
        <v>74</v>
      </c>
      <c r="BO773" t="s">
        <v>74</v>
      </c>
      <c r="BP773" t="s">
        <v>74</v>
      </c>
      <c r="BQ773" t="s">
        <v>74</v>
      </c>
      <c r="BR773" t="s">
        <v>106</v>
      </c>
      <c r="BS773" t="s">
        <v>14618</v>
      </c>
      <c r="BT773" t="str">
        <f>HYPERLINK("https%3A%2F%2Fwww.webofscience.com%2Fwos%2Fwoscc%2Ffull-record%2FWOS:000600873000008","View Full Record in Web of Science")</f>
        <v>View Full Record in Web of Science</v>
      </c>
    </row>
    <row r="774" spans="1:72" x14ac:dyDescent="0.15">
      <c r="A774" t="s">
        <v>72</v>
      </c>
      <c r="B774" t="s">
        <v>14619</v>
      </c>
      <c r="C774" t="s">
        <v>74</v>
      </c>
      <c r="D774" t="s">
        <v>74</v>
      </c>
      <c r="E774" t="s">
        <v>74</v>
      </c>
      <c r="F774" t="s">
        <v>14620</v>
      </c>
      <c r="G774" t="s">
        <v>74</v>
      </c>
      <c r="H774" t="s">
        <v>74</v>
      </c>
      <c r="I774" t="s">
        <v>14621</v>
      </c>
      <c r="J774" t="s">
        <v>14622</v>
      </c>
      <c r="K774" t="s">
        <v>74</v>
      </c>
      <c r="L774" t="s">
        <v>74</v>
      </c>
      <c r="M774" t="s">
        <v>78</v>
      </c>
      <c r="N774" t="s">
        <v>79</v>
      </c>
      <c r="O774" t="s">
        <v>74</v>
      </c>
      <c r="P774" t="s">
        <v>74</v>
      </c>
      <c r="Q774" t="s">
        <v>74</v>
      </c>
      <c r="R774" t="s">
        <v>74</v>
      </c>
      <c r="S774" t="s">
        <v>74</v>
      </c>
      <c r="T774" t="s">
        <v>14623</v>
      </c>
      <c r="U774" t="s">
        <v>14624</v>
      </c>
      <c r="V774" t="s">
        <v>14625</v>
      </c>
      <c r="W774" t="s">
        <v>14626</v>
      </c>
      <c r="X774" t="s">
        <v>14627</v>
      </c>
      <c r="Y774" t="s">
        <v>14628</v>
      </c>
      <c r="Z774" t="s">
        <v>14629</v>
      </c>
      <c r="AA774" t="s">
        <v>74</v>
      </c>
      <c r="AB774" t="s">
        <v>14630</v>
      </c>
      <c r="AC774" t="s">
        <v>14631</v>
      </c>
      <c r="AD774" t="s">
        <v>2818</v>
      </c>
      <c r="AE774" t="s">
        <v>14632</v>
      </c>
      <c r="AF774" t="s">
        <v>74</v>
      </c>
      <c r="AG774">
        <v>13</v>
      </c>
      <c r="AH774">
        <v>0</v>
      </c>
      <c r="AI774">
        <v>0</v>
      </c>
      <c r="AJ774">
        <v>0</v>
      </c>
      <c r="AK774">
        <v>7</v>
      </c>
      <c r="AL774" t="s">
        <v>14633</v>
      </c>
      <c r="AM774" t="s">
        <v>14634</v>
      </c>
      <c r="AN774" t="s">
        <v>14635</v>
      </c>
      <c r="AO774" t="s">
        <v>14636</v>
      </c>
      <c r="AP774" t="s">
        <v>14637</v>
      </c>
      <c r="AQ774" t="s">
        <v>74</v>
      </c>
      <c r="AR774" t="s">
        <v>14638</v>
      </c>
      <c r="AS774" t="s">
        <v>14639</v>
      </c>
      <c r="AT774" t="s">
        <v>14640</v>
      </c>
      <c r="AU774">
        <v>2020</v>
      </c>
      <c r="AV774" t="s">
        <v>74</v>
      </c>
      <c r="AW774" t="s">
        <v>74</v>
      </c>
      <c r="AX774" t="s">
        <v>74</v>
      </c>
      <c r="AY774" t="s">
        <v>74</v>
      </c>
      <c r="AZ774">
        <v>105</v>
      </c>
      <c r="BA774" t="s">
        <v>74</v>
      </c>
      <c r="BB774">
        <v>93</v>
      </c>
      <c r="BC774">
        <v>98</v>
      </c>
      <c r="BD774" t="s">
        <v>74</v>
      </c>
      <c r="BE774" t="s">
        <v>14641</v>
      </c>
      <c r="BF774" t="str">
        <f>HYPERLINK("http://dx.doi.org/10.2112/JCR-SI105-020.1","http://dx.doi.org/10.2112/JCR-SI105-020.1")</f>
        <v>http://dx.doi.org/10.2112/JCR-SI105-020.1</v>
      </c>
      <c r="BG774" t="s">
        <v>74</v>
      </c>
      <c r="BH774" t="s">
        <v>74</v>
      </c>
      <c r="BI774">
        <v>6</v>
      </c>
      <c r="BJ774" t="s">
        <v>14642</v>
      </c>
      <c r="BK774" t="s">
        <v>103</v>
      </c>
      <c r="BL774" t="s">
        <v>14643</v>
      </c>
      <c r="BM774" t="s">
        <v>14644</v>
      </c>
      <c r="BN774" t="s">
        <v>74</v>
      </c>
      <c r="BO774" t="s">
        <v>74</v>
      </c>
      <c r="BP774" t="s">
        <v>74</v>
      </c>
      <c r="BQ774" t="s">
        <v>74</v>
      </c>
      <c r="BR774" t="s">
        <v>106</v>
      </c>
      <c r="BS774" t="s">
        <v>14645</v>
      </c>
      <c r="BT774" t="str">
        <f>HYPERLINK("https%3A%2F%2Fwww.webofscience.com%2Fwos%2Fwoscc%2Ffull-record%2FWOS:000604796700020","View Full Record in Web of Science")</f>
        <v>View Full Record in Web of Science</v>
      </c>
    </row>
    <row r="775" spans="1:72" x14ac:dyDescent="0.15">
      <c r="A775" t="s">
        <v>72</v>
      </c>
      <c r="B775" t="s">
        <v>14646</v>
      </c>
      <c r="C775" t="s">
        <v>74</v>
      </c>
      <c r="D775" t="s">
        <v>74</v>
      </c>
      <c r="E775" t="s">
        <v>74</v>
      </c>
      <c r="F775" t="s">
        <v>14647</v>
      </c>
      <c r="G775" t="s">
        <v>74</v>
      </c>
      <c r="H775" t="s">
        <v>74</v>
      </c>
      <c r="I775" t="s">
        <v>14648</v>
      </c>
      <c r="J775" t="s">
        <v>14622</v>
      </c>
      <c r="K775" t="s">
        <v>74</v>
      </c>
      <c r="L775" t="s">
        <v>74</v>
      </c>
      <c r="M775" t="s">
        <v>78</v>
      </c>
      <c r="N775" t="s">
        <v>79</v>
      </c>
      <c r="O775" t="s">
        <v>74</v>
      </c>
      <c r="P775" t="s">
        <v>74</v>
      </c>
      <c r="Q775" t="s">
        <v>74</v>
      </c>
      <c r="R775" t="s">
        <v>74</v>
      </c>
      <c r="S775" t="s">
        <v>74</v>
      </c>
      <c r="T775" t="s">
        <v>14649</v>
      </c>
      <c r="U775" t="s">
        <v>74</v>
      </c>
      <c r="V775" t="s">
        <v>14650</v>
      </c>
      <c r="W775" t="s">
        <v>14651</v>
      </c>
      <c r="X775" t="s">
        <v>14652</v>
      </c>
      <c r="Y775" t="s">
        <v>14653</v>
      </c>
      <c r="Z775" t="s">
        <v>14654</v>
      </c>
      <c r="AA775" t="s">
        <v>14655</v>
      </c>
      <c r="AB775" t="s">
        <v>14656</v>
      </c>
      <c r="AC775" t="s">
        <v>14657</v>
      </c>
      <c r="AD775" t="s">
        <v>14658</v>
      </c>
      <c r="AE775" t="s">
        <v>14659</v>
      </c>
      <c r="AF775" t="s">
        <v>74</v>
      </c>
      <c r="AG775">
        <v>17</v>
      </c>
      <c r="AH775">
        <v>1</v>
      </c>
      <c r="AI775">
        <v>1</v>
      </c>
      <c r="AJ775">
        <v>0</v>
      </c>
      <c r="AK775">
        <v>11</v>
      </c>
      <c r="AL775" t="s">
        <v>14633</v>
      </c>
      <c r="AM775" t="s">
        <v>14634</v>
      </c>
      <c r="AN775" t="s">
        <v>14635</v>
      </c>
      <c r="AO775" t="s">
        <v>14636</v>
      </c>
      <c r="AP775" t="s">
        <v>14637</v>
      </c>
      <c r="AQ775" t="s">
        <v>74</v>
      </c>
      <c r="AR775" t="s">
        <v>14638</v>
      </c>
      <c r="AS775" t="s">
        <v>14639</v>
      </c>
      <c r="AT775" t="s">
        <v>14640</v>
      </c>
      <c r="AU775">
        <v>2020</v>
      </c>
      <c r="AV775" t="s">
        <v>74</v>
      </c>
      <c r="AW775" t="s">
        <v>74</v>
      </c>
      <c r="AX775" t="s">
        <v>74</v>
      </c>
      <c r="AY775" t="s">
        <v>74</v>
      </c>
      <c r="AZ775">
        <v>105</v>
      </c>
      <c r="BA775" t="s">
        <v>74</v>
      </c>
      <c r="BB775">
        <v>204</v>
      </c>
      <c r="BC775">
        <v>209</v>
      </c>
      <c r="BD775" t="s">
        <v>74</v>
      </c>
      <c r="BE775" t="s">
        <v>14660</v>
      </c>
      <c r="BF775" t="str">
        <f>HYPERLINK("http://dx.doi.org/10.2112/JCR-SI105-043.1","http://dx.doi.org/10.2112/JCR-SI105-043.1")</f>
        <v>http://dx.doi.org/10.2112/JCR-SI105-043.1</v>
      </c>
      <c r="BG775" t="s">
        <v>74</v>
      </c>
      <c r="BH775" t="s">
        <v>74</v>
      </c>
      <c r="BI775">
        <v>6</v>
      </c>
      <c r="BJ775" t="s">
        <v>14642</v>
      </c>
      <c r="BK775" t="s">
        <v>103</v>
      </c>
      <c r="BL775" t="s">
        <v>14643</v>
      </c>
      <c r="BM775" t="s">
        <v>14644</v>
      </c>
      <c r="BN775" t="s">
        <v>74</v>
      </c>
      <c r="BO775" t="s">
        <v>74</v>
      </c>
      <c r="BP775" t="s">
        <v>74</v>
      </c>
      <c r="BQ775" t="s">
        <v>74</v>
      </c>
      <c r="BR775" t="s">
        <v>106</v>
      </c>
      <c r="BS775" t="s">
        <v>14661</v>
      </c>
      <c r="BT775" t="str">
        <f>HYPERLINK("https%3A%2F%2Fwww.webofscience.com%2Fwos%2Fwoscc%2Ffull-record%2FWOS:000604796700043","View Full Record in Web of Science")</f>
        <v>View Full Record in Web of Science</v>
      </c>
    </row>
    <row r="776" spans="1:72" x14ac:dyDescent="0.15">
      <c r="A776" t="s">
        <v>72</v>
      </c>
      <c r="B776" t="s">
        <v>14662</v>
      </c>
      <c r="C776" t="s">
        <v>74</v>
      </c>
      <c r="D776" t="s">
        <v>74</v>
      </c>
      <c r="E776" t="s">
        <v>74</v>
      </c>
      <c r="F776" t="s">
        <v>14663</v>
      </c>
      <c r="G776" t="s">
        <v>74</v>
      </c>
      <c r="H776" t="s">
        <v>74</v>
      </c>
      <c r="I776" t="s">
        <v>14664</v>
      </c>
      <c r="J776" t="s">
        <v>8797</v>
      </c>
      <c r="K776" t="s">
        <v>74</v>
      </c>
      <c r="L776" t="s">
        <v>74</v>
      </c>
      <c r="M776" t="s">
        <v>78</v>
      </c>
      <c r="N776" t="s">
        <v>79</v>
      </c>
      <c r="O776" t="s">
        <v>74</v>
      </c>
      <c r="P776" t="s">
        <v>74</v>
      </c>
      <c r="Q776" t="s">
        <v>74</v>
      </c>
      <c r="R776" t="s">
        <v>74</v>
      </c>
      <c r="S776" t="s">
        <v>74</v>
      </c>
      <c r="T776" t="s">
        <v>14665</v>
      </c>
      <c r="U776" t="s">
        <v>14666</v>
      </c>
      <c r="V776" t="s">
        <v>14667</v>
      </c>
      <c r="W776" t="s">
        <v>14668</v>
      </c>
      <c r="X776" t="s">
        <v>14669</v>
      </c>
      <c r="Y776" t="s">
        <v>14670</v>
      </c>
      <c r="Z776" t="s">
        <v>14671</v>
      </c>
      <c r="AA776" t="s">
        <v>14672</v>
      </c>
      <c r="AB776" t="s">
        <v>14673</v>
      </c>
      <c r="AC776" t="s">
        <v>14674</v>
      </c>
      <c r="AD776" t="s">
        <v>14675</v>
      </c>
      <c r="AE776" t="s">
        <v>14676</v>
      </c>
      <c r="AF776" t="s">
        <v>74</v>
      </c>
      <c r="AG776">
        <v>150</v>
      </c>
      <c r="AH776">
        <v>9</v>
      </c>
      <c r="AI776">
        <v>9</v>
      </c>
      <c r="AJ776">
        <v>0</v>
      </c>
      <c r="AK776">
        <v>6</v>
      </c>
      <c r="AL776" t="s">
        <v>1291</v>
      </c>
      <c r="AM776" t="s">
        <v>629</v>
      </c>
      <c r="AN776" t="s">
        <v>1292</v>
      </c>
      <c r="AO776" t="s">
        <v>8810</v>
      </c>
      <c r="AP776" t="s">
        <v>8811</v>
      </c>
      <c r="AQ776" t="s">
        <v>74</v>
      </c>
      <c r="AR776" t="s">
        <v>8812</v>
      </c>
      <c r="AS776" t="s">
        <v>8813</v>
      </c>
      <c r="AT776" t="s">
        <v>12678</v>
      </c>
      <c r="AU776">
        <v>2020</v>
      </c>
      <c r="AV776">
        <v>35</v>
      </c>
      <c r="AW776">
        <v>12</v>
      </c>
      <c r="AX776" t="s">
        <v>74</v>
      </c>
      <c r="AY776" t="s">
        <v>74</v>
      </c>
      <c r="AZ776" t="s">
        <v>74</v>
      </c>
      <c r="BA776" t="s">
        <v>74</v>
      </c>
      <c r="BB776" t="s">
        <v>74</v>
      </c>
      <c r="BC776" t="s">
        <v>74</v>
      </c>
      <c r="BD776" t="s">
        <v>14677</v>
      </c>
      <c r="BE776" t="s">
        <v>14678</v>
      </c>
      <c r="BF776" t="str">
        <f>HYPERLINK("http://dx.doi.org/10.1029/2020PA003981","http://dx.doi.org/10.1029/2020PA003981")</f>
        <v>http://dx.doi.org/10.1029/2020PA003981</v>
      </c>
      <c r="BG776" t="s">
        <v>74</v>
      </c>
      <c r="BH776" t="s">
        <v>74</v>
      </c>
      <c r="BI776">
        <v>25</v>
      </c>
      <c r="BJ776" t="s">
        <v>8816</v>
      </c>
      <c r="BK776" t="s">
        <v>103</v>
      </c>
      <c r="BL776" t="s">
        <v>8817</v>
      </c>
      <c r="BM776" t="s">
        <v>14679</v>
      </c>
      <c r="BN776" t="s">
        <v>74</v>
      </c>
      <c r="BO776" t="s">
        <v>6026</v>
      </c>
      <c r="BP776" t="s">
        <v>74</v>
      </c>
      <c r="BQ776" t="s">
        <v>74</v>
      </c>
      <c r="BR776" t="s">
        <v>106</v>
      </c>
      <c r="BS776" t="s">
        <v>14680</v>
      </c>
      <c r="BT776" t="str">
        <f>HYPERLINK("https%3A%2F%2Fwww.webofscience.com%2Fwos%2Fwoscc%2Ffull-record%2FWOS:000603661700004","View Full Record in Web of Science")</f>
        <v>View Full Record in Web of Science</v>
      </c>
    </row>
    <row r="777" spans="1:72" x14ac:dyDescent="0.15">
      <c r="A777" t="s">
        <v>72</v>
      </c>
      <c r="B777" t="s">
        <v>14681</v>
      </c>
      <c r="C777" t="s">
        <v>74</v>
      </c>
      <c r="D777" t="s">
        <v>74</v>
      </c>
      <c r="E777" t="s">
        <v>74</v>
      </c>
      <c r="F777" t="s">
        <v>14682</v>
      </c>
      <c r="G777" t="s">
        <v>74</v>
      </c>
      <c r="H777" t="s">
        <v>74</v>
      </c>
      <c r="I777" t="s">
        <v>14683</v>
      </c>
      <c r="J777" t="s">
        <v>8797</v>
      </c>
      <c r="K777" t="s">
        <v>74</v>
      </c>
      <c r="L777" t="s">
        <v>74</v>
      </c>
      <c r="M777" t="s">
        <v>78</v>
      </c>
      <c r="N777" t="s">
        <v>79</v>
      </c>
      <c r="O777" t="s">
        <v>74</v>
      </c>
      <c r="P777" t="s">
        <v>74</v>
      </c>
      <c r="Q777" t="s">
        <v>74</v>
      </c>
      <c r="R777" t="s">
        <v>74</v>
      </c>
      <c r="S777" t="s">
        <v>74</v>
      </c>
      <c r="T777" t="s">
        <v>14684</v>
      </c>
      <c r="U777" t="s">
        <v>14685</v>
      </c>
      <c r="V777" t="s">
        <v>14686</v>
      </c>
      <c r="W777" t="s">
        <v>14687</v>
      </c>
      <c r="X777" t="s">
        <v>14688</v>
      </c>
      <c r="Y777" t="s">
        <v>14689</v>
      </c>
      <c r="Z777" t="s">
        <v>14690</v>
      </c>
      <c r="AA777" t="s">
        <v>14691</v>
      </c>
      <c r="AB777" t="s">
        <v>14692</v>
      </c>
      <c r="AC777" t="s">
        <v>14693</v>
      </c>
      <c r="AD777" t="s">
        <v>14694</v>
      </c>
      <c r="AE777" t="s">
        <v>14695</v>
      </c>
      <c r="AF777" t="s">
        <v>74</v>
      </c>
      <c r="AG777">
        <v>145</v>
      </c>
      <c r="AH777">
        <v>8</v>
      </c>
      <c r="AI777">
        <v>10</v>
      </c>
      <c r="AJ777">
        <v>0</v>
      </c>
      <c r="AK777">
        <v>8</v>
      </c>
      <c r="AL777" t="s">
        <v>1291</v>
      </c>
      <c r="AM777" t="s">
        <v>629</v>
      </c>
      <c r="AN777" t="s">
        <v>1292</v>
      </c>
      <c r="AO777" t="s">
        <v>8810</v>
      </c>
      <c r="AP777" t="s">
        <v>8811</v>
      </c>
      <c r="AQ777" t="s">
        <v>74</v>
      </c>
      <c r="AR777" t="s">
        <v>8812</v>
      </c>
      <c r="AS777" t="s">
        <v>8813</v>
      </c>
      <c r="AT777" t="s">
        <v>12678</v>
      </c>
      <c r="AU777">
        <v>2020</v>
      </c>
      <c r="AV777">
        <v>35</v>
      </c>
      <c r="AW777">
        <v>12</v>
      </c>
      <c r="AX777" t="s">
        <v>74</v>
      </c>
      <c r="AY777" t="s">
        <v>74</v>
      </c>
      <c r="AZ777" t="s">
        <v>74</v>
      </c>
      <c r="BA777" t="s">
        <v>74</v>
      </c>
      <c r="BB777" t="s">
        <v>74</v>
      </c>
      <c r="BC777" t="s">
        <v>74</v>
      </c>
      <c r="BD777" t="s">
        <v>14696</v>
      </c>
      <c r="BE777" t="s">
        <v>14697</v>
      </c>
      <c r="BF777" t="str">
        <f>HYPERLINK("http://dx.doi.org/10.1029/2020PA003997","http://dx.doi.org/10.1029/2020PA003997")</f>
        <v>http://dx.doi.org/10.1029/2020PA003997</v>
      </c>
      <c r="BG777" t="s">
        <v>74</v>
      </c>
      <c r="BH777" t="s">
        <v>74</v>
      </c>
      <c r="BI777">
        <v>21</v>
      </c>
      <c r="BJ777" t="s">
        <v>8816</v>
      </c>
      <c r="BK777" t="s">
        <v>103</v>
      </c>
      <c r="BL777" t="s">
        <v>8817</v>
      </c>
      <c r="BM777" t="s">
        <v>14679</v>
      </c>
      <c r="BN777">
        <v>34222817</v>
      </c>
      <c r="BO777" t="s">
        <v>985</v>
      </c>
      <c r="BP777" t="s">
        <v>74</v>
      </c>
      <c r="BQ777" t="s">
        <v>74</v>
      </c>
      <c r="BR777" t="s">
        <v>106</v>
      </c>
      <c r="BS777" t="s">
        <v>14698</v>
      </c>
      <c r="BT777" t="str">
        <f>HYPERLINK("https%3A%2F%2Fwww.webofscience.com%2Fwos%2Fwoscc%2Ffull-record%2FWOS:000603661700002","View Full Record in Web of Science")</f>
        <v>View Full Record in Web of Science</v>
      </c>
    </row>
    <row r="778" spans="1:72" x14ac:dyDescent="0.15">
      <c r="A778" t="s">
        <v>72</v>
      </c>
      <c r="B778" t="s">
        <v>14699</v>
      </c>
      <c r="C778" t="s">
        <v>74</v>
      </c>
      <c r="D778" t="s">
        <v>74</v>
      </c>
      <c r="E778" t="s">
        <v>74</v>
      </c>
      <c r="F778" t="s">
        <v>14700</v>
      </c>
      <c r="G778" t="s">
        <v>74</v>
      </c>
      <c r="H778" t="s">
        <v>74</v>
      </c>
      <c r="I778" t="s">
        <v>14701</v>
      </c>
      <c r="J778" t="s">
        <v>8797</v>
      </c>
      <c r="K778" t="s">
        <v>74</v>
      </c>
      <c r="L778" t="s">
        <v>74</v>
      </c>
      <c r="M778" t="s">
        <v>78</v>
      </c>
      <c r="N778" t="s">
        <v>79</v>
      </c>
      <c r="O778" t="s">
        <v>74</v>
      </c>
      <c r="P778" t="s">
        <v>74</v>
      </c>
      <c r="Q778" t="s">
        <v>74</v>
      </c>
      <c r="R778" t="s">
        <v>74</v>
      </c>
      <c r="S778" t="s">
        <v>74</v>
      </c>
      <c r="T778" t="s">
        <v>14702</v>
      </c>
      <c r="U778" t="s">
        <v>14703</v>
      </c>
      <c r="V778" t="s">
        <v>14704</v>
      </c>
      <c r="W778" t="s">
        <v>14705</v>
      </c>
      <c r="X778" t="s">
        <v>14706</v>
      </c>
      <c r="Y778" t="s">
        <v>14707</v>
      </c>
      <c r="Z778" t="s">
        <v>14708</v>
      </c>
      <c r="AA778" t="s">
        <v>14709</v>
      </c>
      <c r="AB778" t="s">
        <v>14710</v>
      </c>
      <c r="AC778" t="s">
        <v>14711</v>
      </c>
      <c r="AD778" t="s">
        <v>14712</v>
      </c>
      <c r="AE778" t="s">
        <v>14713</v>
      </c>
      <c r="AF778" t="s">
        <v>74</v>
      </c>
      <c r="AG778">
        <v>108</v>
      </c>
      <c r="AH778">
        <v>14</v>
      </c>
      <c r="AI778">
        <v>14</v>
      </c>
      <c r="AJ778">
        <v>1</v>
      </c>
      <c r="AK778">
        <v>16</v>
      </c>
      <c r="AL778" t="s">
        <v>1291</v>
      </c>
      <c r="AM778" t="s">
        <v>629</v>
      </c>
      <c r="AN778" t="s">
        <v>1292</v>
      </c>
      <c r="AO778" t="s">
        <v>8810</v>
      </c>
      <c r="AP778" t="s">
        <v>8811</v>
      </c>
      <c r="AQ778" t="s">
        <v>74</v>
      </c>
      <c r="AR778" t="s">
        <v>8812</v>
      </c>
      <c r="AS778" t="s">
        <v>8813</v>
      </c>
      <c r="AT778" t="s">
        <v>12678</v>
      </c>
      <c r="AU778">
        <v>2020</v>
      </c>
      <c r="AV778">
        <v>35</v>
      </c>
      <c r="AW778">
        <v>12</v>
      </c>
      <c r="AX778" t="s">
        <v>74</v>
      </c>
      <c r="AY778" t="s">
        <v>74</v>
      </c>
      <c r="AZ778" t="s">
        <v>74</v>
      </c>
      <c r="BA778" t="s">
        <v>74</v>
      </c>
      <c r="BB778" t="s">
        <v>74</v>
      </c>
      <c r="BC778" t="s">
        <v>74</v>
      </c>
      <c r="BD778" t="s">
        <v>14714</v>
      </c>
      <c r="BE778" t="s">
        <v>14715</v>
      </c>
      <c r="BF778" t="str">
        <f>HYPERLINK("http://dx.doi.org/10.1029/2020PA004020","http://dx.doi.org/10.1029/2020PA004020")</f>
        <v>http://dx.doi.org/10.1029/2020PA004020</v>
      </c>
      <c r="BG778" t="s">
        <v>74</v>
      </c>
      <c r="BH778" t="s">
        <v>74</v>
      </c>
      <c r="BI778">
        <v>23</v>
      </c>
      <c r="BJ778" t="s">
        <v>8816</v>
      </c>
      <c r="BK778" t="s">
        <v>103</v>
      </c>
      <c r="BL778" t="s">
        <v>8817</v>
      </c>
      <c r="BM778" t="s">
        <v>14679</v>
      </c>
      <c r="BN778" t="s">
        <v>74</v>
      </c>
      <c r="BO778" t="s">
        <v>1708</v>
      </c>
      <c r="BP778" t="s">
        <v>74</v>
      </c>
      <c r="BQ778" t="s">
        <v>74</v>
      </c>
      <c r="BR778" t="s">
        <v>106</v>
      </c>
      <c r="BS778" t="s">
        <v>14716</v>
      </c>
      <c r="BT778" t="str">
        <f>HYPERLINK("https%3A%2F%2Fwww.webofscience.com%2Fwos%2Fwoscc%2Ffull-record%2FWOS:000603661700006","View Full Record in Web of Science")</f>
        <v>View Full Record in Web of Science</v>
      </c>
    </row>
    <row r="779" spans="1:72" x14ac:dyDescent="0.15">
      <c r="A779" t="s">
        <v>72</v>
      </c>
      <c r="B779" t="s">
        <v>14717</v>
      </c>
      <c r="C779" t="s">
        <v>74</v>
      </c>
      <c r="D779" t="s">
        <v>74</v>
      </c>
      <c r="E779" t="s">
        <v>74</v>
      </c>
      <c r="F779" t="s">
        <v>14718</v>
      </c>
      <c r="G779" t="s">
        <v>74</v>
      </c>
      <c r="H779" t="s">
        <v>74</v>
      </c>
      <c r="I779" t="s">
        <v>14719</v>
      </c>
      <c r="J779" t="s">
        <v>8797</v>
      </c>
      <c r="K779" t="s">
        <v>74</v>
      </c>
      <c r="L779" t="s">
        <v>74</v>
      </c>
      <c r="M779" t="s">
        <v>78</v>
      </c>
      <c r="N779" t="s">
        <v>79</v>
      </c>
      <c r="O779" t="s">
        <v>74</v>
      </c>
      <c r="P779" t="s">
        <v>74</v>
      </c>
      <c r="Q779" t="s">
        <v>74</v>
      </c>
      <c r="R779" t="s">
        <v>74</v>
      </c>
      <c r="S779" t="s">
        <v>74</v>
      </c>
      <c r="T779" t="s">
        <v>14720</v>
      </c>
      <c r="U779" t="s">
        <v>14721</v>
      </c>
      <c r="V779" t="s">
        <v>14722</v>
      </c>
      <c r="W779" t="s">
        <v>14723</v>
      </c>
      <c r="X779" t="s">
        <v>14724</v>
      </c>
      <c r="Y779" t="s">
        <v>14725</v>
      </c>
      <c r="Z779" t="s">
        <v>14726</v>
      </c>
      <c r="AA779" t="s">
        <v>14727</v>
      </c>
      <c r="AB779" t="s">
        <v>14728</v>
      </c>
      <c r="AC779" t="s">
        <v>14729</v>
      </c>
      <c r="AD779" t="s">
        <v>14730</v>
      </c>
      <c r="AE779" t="s">
        <v>14731</v>
      </c>
      <c r="AF779" t="s">
        <v>74</v>
      </c>
      <c r="AG779">
        <v>109</v>
      </c>
      <c r="AH779">
        <v>24</v>
      </c>
      <c r="AI779">
        <v>24</v>
      </c>
      <c r="AJ779">
        <v>2</v>
      </c>
      <c r="AK779">
        <v>24</v>
      </c>
      <c r="AL779" t="s">
        <v>1291</v>
      </c>
      <c r="AM779" t="s">
        <v>629</v>
      </c>
      <c r="AN779" t="s">
        <v>1292</v>
      </c>
      <c r="AO779" t="s">
        <v>8810</v>
      </c>
      <c r="AP779" t="s">
        <v>8811</v>
      </c>
      <c r="AQ779" t="s">
        <v>74</v>
      </c>
      <c r="AR779" t="s">
        <v>8812</v>
      </c>
      <c r="AS779" t="s">
        <v>8813</v>
      </c>
      <c r="AT779" t="s">
        <v>12678</v>
      </c>
      <c r="AU779">
        <v>2020</v>
      </c>
      <c r="AV779">
        <v>35</v>
      </c>
      <c r="AW779">
        <v>12</v>
      </c>
      <c r="AX779" t="s">
        <v>74</v>
      </c>
      <c r="AY779" t="s">
        <v>74</v>
      </c>
      <c r="AZ779" t="s">
        <v>74</v>
      </c>
      <c r="BA779" t="s">
        <v>74</v>
      </c>
      <c r="BB779" t="s">
        <v>74</v>
      </c>
      <c r="BC779" t="s">
        <v>74</v>
      </c>
      <c r="BD779" t="s">
        <v>14732</v>
      </c>
      <c r="BE779" t="s">
        <v>14733</v>
      </c>
      <c r="BF779" t="str">
        <f>HYPERLINK("http://dx.doi.org/10.1029/2020PA003920","http://dx.doi.org/10.1029/2020PA003920")</f>
        <v>http://dx.doi.org/10.1029/2020PA003920</v>
      </c>
      <c r="BG779" t="s">
        <v>74</v>
      </c>
      <c r="BH779" t="s">
        <v>74</v>
      </c>
      <c r="BI779">
        <v>20</v>
      </c>
      <c r="BJ779" t="s">
        <v>8816</v>
      </c>
      <c r="BK779" t="s">
        <v>103</v>
      </c>
      <c r="BL779" t="s">
        <v>8817</v>
      </c>
      <c r="BM779" t="s">
        <v>14679</v>
      </c>
      <c r="BN779" t="s">
        <v>74</v>
      </c>
      <c r="BO779" t="s">
        <v>189</v>
      </c>
      <c r="BP779" t="s">
        <v>74</v>
      </c>
      <c r="BQ779" t="s">
        <v>74</v>
      </c>
      <c r="BR779" t="s">
        <v>106</v>
      </c>
      <c r="BS779" t="s">
        <v>14734</v>
      </c>
      <c r="BT779" t="str">
        <f>HYPERLINK("https%3A%2F%2Fwww.webofscience.com%2Fwos%2Fwoscc%2Ffull-record%2FWOS:000603661700012","View Full Record in Web of Science")</f>
        <v>View Full Record in Web of Science</v>
      </c>
    </row>
    <row r="780" spans="1:72" x14ac:dyDescent="0.15">
      <c r="A780" t="s">
        <v>72</v>
      </c>
      <c r="B780" t="s">
        <v>14735</v>
      </c>
      <c r="C780" t="s">
        <v>74</v>
      </c>
      <c r="D780" t="s">
        <v>74</v>
      </c>
      <c r="E780" t="s">
        <v>74</v>
      </c>
      <c r="F780" t="s">
        <v>14736</v>
      </c>
      <c r="G780" t="s">
        <v>74</v>
      </c>
      <c r="H780" t="s">
        <v>74</v>
      </c>
      <c r="I780" t="s">
        <v>14737</v>
      </c>
      <c r="J780" t="s">
        <v>8797</v>
      </c>
      <c r="K780" t="s">
        <v>74</v>
      </c>
      <c r="L780" t="s">
        <v>74</v>
      </c>
      <c r="M780" t="s">
        <v>78</v>
      </c>
      <c r="N780" t="s">
        <v>79</v>
      </c>
      <c r="O780" t="s">
        <v>74</v>
      </c>
      <c r="P780" t="s">
        <v>74</v>
      </c>
      <c r="Q780" t="s">
        <v>74</v>
      </c>
      <c r="R780" t="s">
        <v>74</v>
      </c>
      <c r="S780" t="s">
        <v>74</v>
      </c>
      <c r="T780" t="s">
        <v>14738</v>
      </c>
      <c r="U780" t="s">
        <v>14739</v>
      </c>
      <c r="V780" t="s">
        <v>14740</v>
      </c>
      <c r="W780" t="s">
        <v>14741</v>
      </c>
      <c r="X780" t="s">
        <v>14742</v>
      </c>
      <c r="Y780" t="s">
        <v>14743</v>
      </c>
      <c r="Z780" t="s">
        <v>14744</v>
      </c>
      <c r="AA780" t="s">
        <v>14745</v>
      </c>
      <c r="AB780" t="s">
        <v>14746</v>
      </c>
      <c r="AC780" t="s">
        <v>14747</v>
      </c>
      <c r="AD780" t="s">
        <v>14748</v>
      </c>
      <c r="AE780" t="s">
        <v>14749</v>
      </c>
      <c r="AF780" t="s">
        <v>74</v>
      </c>
      <c r="AG780">
        <v>106</v>
      </c>
      <c r="AH780">
        <v>27</v>
      </c>
      <c r="AI780">
        <v>28</v>
      </c>
      <c r="AJ780">
        <v>6</v>
      </c>
      <c r="AK780">
        <v>27</v>
      </c>
      <c r="AL780" t="s">
        <v>1291</v>
      </c>
      <c r="AM780" t="s">
        <v>629</v>
      </c>
      <c r="AN780" t="s">
        <v>1292</v>
      </c>
      <c r="AO780" t="s">
        <v>8810</v>
      </c>
      <c r="AP780" t="s">
        <v>8811</v>
      </c>
      <c r="AQ780" t="s">
        <v>74</v>
      </c>
      <c r="AR780" t="s">
        <v>8812</v>
      </c>
      <c r="AS780" t="s">
        <v>8813</v>
      </c>
      <c r="AT780" t="s">
        <v>12678</v>
      </c>
      <c r="AU780">
        <v>2020</v>
      </c>
      <c r="AV780">
        <v>35</v>
      </c>
      <c r="AW780">
        <v>12</v>
      </c>
      <c r="AX780" t="s">
        <v>74</v>
      </c>
      <c r="AY780" t="s">
        <v>74</v>
      </c>
      <c r="AZ780" t="s">
        <v>74</v>
      </c>
      <c r="BA780" t="s">
        <v>74</v>
      </c>
      <c r="BB780" t="s">
        <v>74</v>
      </c>
      <c r="BC780" t="s">
        <v>74</v>
      </c>
      <c r="BD780" t="s">
        <v>14750</v>
      </c>
      <c r="BE780" t="s">
        <v>14751</v>
      </c>
      <c r="BF780" t="str">
        <f>HYPERLINK("http://dx.doi.org/10.1029/2020PA003925","http://dx.doi.org/10.1029/2020PA003925")</f>
        <v>http://dx.doi.org/10.1029/2020PA003925</v>
      </c>
      <c r="BG780" t="s">
        <v>74</v>
      </c>
      <c r="BH780" t="s">
        <v>74</v>
      </c>
      <c r="BI780">
        <v>25</v>
      </c>
      <c r="BJ780" t="s">
        <v>8816</v>
      </c>
      <c r="BK780" t="s">
        <v>103</v>
      </c>
      <c r="BL780" t="s">
        <v>8817</v>
      </c>
      <c r="BM780" t="s">
        <v>14679</v>
      </c>
      <c r="BN780" t="s">
        <v>74</v>
      </c>
      <c r="BO780" t="s">
        <v>74</v>
      </c>
      <c r="BP780" t="s">
        <v>74</v>
      </c>
      <c r="BQ780" t="s">
        <v>74</v>
      </c>
      <c r="BR780" t="s">
        <v>106</v>
      </c>
      <c r="BS780" t="s">
        <v>14752</v>
      </c>
      <c r="BT780" t="str">
        <f>HYPERLINK("https%3A%2F%2Fwww.webofscience.com%2Fwos%2Fwoscc%2Ffull-record%2FWOS:000603661700015","View Full Record in Web of Science")</f>
        <v>View Full Record in Web of Science</v>
      </c>
    </row>
    <row r="781" spans="1:72" x14ac:dyDescent="0.15">
      <c r="A781" t="s">
        <v>72</v>
      </c>
      <c r="B781" t="s">
        <v>14753</v>
      </c>
      <c r="C781" t="s">
        <v>74</v>
      </c>
      <c r="D781" t="s">
        <v>74</v>
      </c>
      <c r="E781" t="s">
        <v>74</v>
      </c>
      <c r="F781" t="s">
        <v>14754</v>
      </c>
      <c r="G781" t="s">
        <v>74</v>
      </c>
      <c r="H781" t="s">
        <v>74</v>
      </c>
      <c r="I781" t="s">
        <v>14755</v>
      </c>
      <c r="J781" t="s">
        <v>8797</v>
      </c>
      <c r="K781" t="s">
        <v>74</v>
      </c>
      <c r="L781" t="s">
        <v>74</v>
      </c>
      <c r="M781" t="s">
        <v>78</v>
      </c>
      <c r="N781" t="s">
        <v>79</v>
      </c>
      <c r="O781" t="s">
        <v>74</v>
      </c>
      <c r="P781" t="s">
        <v>74</v>
      </c>
      <c r="Q781" t="s">
        <v>74</v>
      </c>
      <c r="R781" t="s">
        <v>74</v>
      </c>
      <c r="S781" t="s">
        <v>74</v>
      </c>
      <c r="T781" t="s">
        <v>14756</v>
      </c>
      <c r="U781" t="s">
        <v>14757</v>
      </c>
      <c r="V781" t="s">
        <v>14758</v>
      </c>
      <c r="W781" t="s">
        <v>14759</v>
      </c>
      <c r="X781" t="s">
        <v>14760</v>
      </c>
      <c r="Y781" t="s">
        <v>14761</v>
      </c>
      <c r="Z781" t="s">
        <v>14762</v>
      </c>
      <c r="AA781" t="s">
        <v>14763</v>
      </c>
      <c r="AB781" t="s">
        <v>74</v>
      </c>
      <c r="AC781" t="s">
        <v>14764</v>
      </c>
      <c r="AD781" t="s">
        <v>14765</v>
      </c>
      <c r="AE781" t="s">
        <v>14766</v>
      </c>
      <c r="AF781" t="s">
        <v>74</v>
      </c>
      <c r="AG781">
        <v>87</v>
      </c>
      <c r="AH781">
        <v>3</v>
      </c>
      <c r="AI781">
        <v>3</v>
      </c>
      <c r="AJ781">
        <v>0</v>
      </c>
      <c r="AK781">
        <v>8</v>
      </c>
      <c r="AL781" t="s">
        <v>1291</v>
      </c>
      <c r="AM781" t="s">
        <v>629</v>
      </c>
      <c r="AN781" t="s">
        <v>1292</v>
      </c>
      <c r="AO781" t="s">
        <v>8810</v>
      </c>
      <c r="AP781" t="s">
        <v>8811</v>
      </c>
      <c r="AQ781" t="s">
        <v>74</v>
      </c>
      <c r="AR781" t="s">
        <v>8812</v>
      </c>
      <c r="AS781" t="s">
        <v>8813</v>
      </c>
      <c r="AT781" t="s">
        <v>12678</v>
      </c>
      <c r="AU781">
        <v>2020</v>
      </c>
      <c r="AV781">
        <v>35</v>
      </c>
      <c r="AW781">
        <v>12</v>
      </c>
      <c r="AX781" t="s">
        <v>74</v>
      </c>
      <c r="AY781" t="s">
        <v>74</v>
      </c>
      <c r="AZ781" t="s">
        <v>74</v>
      </c>
      <c r="BA781" t="s">
        <v>74</v>
      </c>
      <c r="BB781" t="s">
        <v>74</v>
      </c>
      <c r="BC781" t="s">
        <v>74</v>
      </c>
      <c r="BD781" t="s">
        <v>14767</v>
      </c>
      <c r="BE781" t="s">
        <v>14768</v>
      </c>
      <c r="BF781" t="str">
        <f>HYPERLINK("http://dx.doi.org/10.1029/2019PA003804","http://dx.doi.org/10.1029/2019PA003804")</f>
        <v>http://dx.doi.org/10.1029/2019PA003804</v>
      </c>
      <c r="BG781" t="s">
        <v>74</v>
      </c>
      <c r="BH781" t="s">
        <v>74</v>
      </c>
      <c r="BI781">
        <v>19</v>
      </c>
      <c r="BJ781" t="s">
        <v>8816</v>
      </c>
      <c r="BK781" t="s">
        <v>103</v>
      </c>
      <c r="BL781" t="s">
        <v>8817</v>
      </c>
      <c r="BM781" t="s">
        <v>14679</v>
      </c>
      <c r="BN781" t="s">
        <v>74</v>
      </c>
      <c r="BO781" t="s">
        <v>561</v>
      </c>
      <c r="BP781" t="s">
        <v>74</v>
      </c>
      <c r="BQ781" t="s">
        <v>74</v>
      </c>
      <c r="BR781" t="s">
        <v>106</v>
      </c>
      <c r="BS781" t="s">
        <v>14769</v>
      </c>
      <c r="BT781" t="str">
        <f>HYPERLINK("https%3A%2F%2Fwww.webofscience.com%2Fwos%2Fwoscc%2Ffull-record%2FWOS:000603661700017","View Full Record in Web of Science")</f>
        <v>View Full Record in Web of Science</v>
      </c>
    </row>
    <row r="782" spans="1:72" x14ac:dyDescent="0.15">
      <c r="A782" t="s">
        <v>72</v>
      </c>
      <c r="B782" t="s">
        <v>14770</v>
      </c>
      <c r="C782" t="s">
        <v>74</v>
      </c>
      <c r="D782" t="s">
        <v>74</v>
      </c>
      <c r="E782" t="s">
        <v>74</v>
      </c>
      <c r="F782" t="s">
        <v>14771</v>
      </c>
      <c r="G782" t="s">
        <v>74</v>
      </c>
      <c r="H782" t="s">
        <v>74</v>
      </c>
      <c r="I782" t="s">
        <v>14772</v>
      </c>
      <c r="J782" t="s">
        <v>8797</v>
      </c>
      <c r="K782" t="s">
        <v>74</v>
      </c>
      <c r="L782" t="s">
        <v>74</v>
      </c>
      <c r="M782" t="s">
        <v>78</v>
      </c>
      <c r="N782" t="s">
        <v>79</v>
      </c>
      <c r="O782" t="s">
        <v>74</v>
      </c>
      <c r="P782" t="s">
        <v>74</v>
      </c>
      <c r="Q782" t="s">
        <v>74</v>
      </c>
      <c r="R782" t="s">
        <v>74</v>
      </c>
      <c r="S782" t="s">
        <v>74</v>
      </c>
      <c r="T782" t="s">
        <v>14773</v>
      </c>
      <c r="U782" t="s">
        <v>14774</v>
      </c>
      <c r="V782" t="s">
        <v>14775</v>
      </c>
      <c r="W782" t="s">
        <v>14776</v>
      </c>
      <c r="X782" t="s">
        <v>14777</v>
      </c>
      <c r="Y782" t="s">
        <v>14778</v>
      </c>
      <c r="Z782" t="s">
        <v>14779</v>
      </c>
      <c r="AA782" t="s">
        <v>74</v>
      </c>
      <c r="AB782" t="s">
        <v>14780</v>
      </c>
      <c r="AC782" t="s">
        <v>14781</v>
      </c>
      <c r="AD782" t="s">
        <v>14782</v>
      </c>
      <c r="AE782" t="s">
        <v>14783</v>
      </c>
      <c r="AF782" t="s">
        <v>74</v>
      </c>
      <c r="AG782">
        <v>86</v>
      </c>
      <c r="AH782">
        <v>11</v>
      </c>
      <c r="AI782">
        <v>11</v>
      </c>
      <c r="AJ782">
        <v>2</v>
      </c>
      <c r="AK782">
        <v>46</v>
      </c>
      <c r="AL782" t="s">
        <v>1291</v>
      </c>
      <c r="AM782" t="s">
        <v>629</v>
      </c>
      <c r="AN782" t="s">
        <v>1292</v>
      </c>
      <c r="AO782" t="s">
        <v>8810</v>
      </c>
      <c r="AP782" t="s">
        <v>8811</v>
      </c>
      <c r="AQ782" t="s">
        <v>74</v>
      </c>
      <c r="AR782" t="s">
        <v>8812</v>
      </c>
      <c r="AS782" t="s">
        <v>8813</v>
      </c>
      <c r="AT782" t="s">
        <v>12678</v>
      </c>
      <c r="AU782">
        <v>2020</v>
      </c>
      <c r="AV782">
        <v>35</v>
      </c>
      <c r="AW782">
        <v>12</v>
      </c>
      <c r="AX782" t="s">
        <v>74</v>
      </c>
      <c r="AY782" t="s">
        <v>74</v>
      </c>
      <c r="AZ782" t="s">
        <v>74</v>
      </c>
      <c r="BA782" t="s">
        <v>74</v>
      </c>
      <c r="BB782" t="s">
        <v>74</v>
      </c>
      <c r="BC782" t="s">
        <v>74</v>
      </c>
      <c r="BD782" t="s">
        <v>14784</v>
      </c>
      <c r="BE782" t="s">
        <v>14785</v>
      </c>
      <c r="BF782" t="str">
        <f>HYPERLINK("http://dx.doi.org/10.1029/2020PA003853","http://dx.doi.org/10.1029/2020PA003853")</f>
        <v>http://dx.doi.org/10.1029/2020PA003853</v>
      </c>
      <c r="BG782" t="s">
        <v>74</v>
      </c>
      <c r="BH782" t="s">
        <v>74</v>
      </c>
      <c r="BI782">
        <v>18</v>
      </c>
      <c r="BJ782" t="s">
        <v>8816</v>
      </c>
      <c r="BK782" t="s">
        <v>103</v>
      </c>
      <c r="BL782" t="s">
        <v>8817</v>
      </c>
      <c r="BM782" t="s">
        <v>14679</v>
      </c>
      <c r="BN782" t="s">
        <v>74</v>
      </c>
      <c r="BO782" t="s">
        <v>561</v>
      </c>
      <c r="BP782" t="s">
        <v>74</v>
      </c>
      <c r="BQ782" t="s">
        <v>74</v>
      </c>
      <c r="BR782" t="s">
        <v>106</v>
      </c>
      <c r="BS782" t="s">
        <v>14786</v>
      </c>
      <c r="BT782" t="str">
        <f>HYPERLINK("https%3A%2F%2Fwww.webofscience.com%2Fwos%2Fwoscc%2Ffull-record%2FWOS:000603661700001","View Full Record in Web of Science")</f>
        <v>View Full Record in Web of Science</v>
      </c>
    </row>
    <row r="783" spans="1:72" x14ac:dyDescent="0.15">
      <c r="A783" t="s">
        <v>72</v>
      </c>
      <c r="B783" t="s">
        <v>14787</v>
      </c>
      <c r="C783" t="s">
        <v>74</v>
      </c>
      <c r="D783" t="s">
        <v>74</v>
      </c>
      <c r="E783" t="s">
        <v>74</v>
      </c>
      <c r="F783" t="s">
        <v>14788</v>
      </c>
      <c r="G783" t="s">
        <v>74</v>
      </c>
      <c r="H783" t="s">
        <v>74</v>
      </c>
      <c r="I783" t="s">
        <v>14789</v>
      </c>
      <c r="J783" t="s">
        <v>14790</v>
      </c>
      <c r="K783" t="s">
        <v>74</v>
      </c>
      <c r="L783" t="s">
        <v>74</v>
      </c>
      <c r="M783" t="s">
        <v>78</v>
      </c>
      <c r="N783" t="s">
        <v>141</v>
      </c>
      <c r="O783" t="s">
        <v>74</v>
      </c>
      <c r="P783" t="s">
        <v>74</v>
      </c>
      <c r="Q783" t="s">
        <v>74</v>
      </c>
      <c r="R783" t="s">
        <v>74</v>
      </c>
      <c r="S783" t="s">
        <v>74</v>
      </c>
      <c r="T783" t="s">
        <v>14791</v>
      </c>
      <c r="U783" t="s">
        <v>14792</v>
      </c>
      <c r="V783" t="s">
        <v>14793</v>
      </c>
      <c r="W783" t="s">
        <v>14794</v>
      </c>
      <c r="X783" t="s">
        <v>14795</v>
      </c>
      <c r="Y783" t="s">
        <v>14796</v>
      </c>
      <c r="Z783" t="s">
        <v>14797</v>
      </c>
      <c r="AA783" t="s">
        <v>14798</v>
      </c>
      <c r="AB783" t="s">
        <v>14799</v>
      </c>
      <c r="AC783" t="s">
        <v>14800</v>
      </c>
      <c r="AD783" t="s">
        <v>14801</v>
      </c>
      <c r="AE783" t="s">
        <v>14802</v>
      </c>
      <c r="AF783" t="s">
        <v>74</v>
      </c>
      <c r="AG783">
        <v>806</v>
      </c>
      <c r="AH783">
        <v>46</v>
      </c>
      <c r="AI783">
        <v>54</v>
      </c>
      <c r="AJ783">
        <v>11</v>
      </c>
      <c r="AK783">
        <v>95</v>
      </c>
      <c r="AL783" t="s">
        <v>1291</v>
      </c>
      <c r="AM783" t="s">
        <v>629</v>
      </c>
      <c r="AN783" t="s">
        <v>1292</v>
      </c>
      <c r="AO783" t="s">
        <v>14803</v>
      </c>
      <c r="AP783" t="s">
        <v>14804</v>
      </c>
      <c r="AQ783" t="s">
        <v>74</v>
      </c>
      <c r="AR783" t="s">
        <v>14805</v>
      </c>
      <c r="AS783" t="s">
        <v>14806</v>
      </c>
      <c r="AT783" t="s">
        <v>12678</v>
      </c>
      <c r="AU783">
        <v>2020</v>
      </c>
      <c r="AV783">
        <v>58</v>
      </c>
      <c r="AW783">
        <v>4</v>
      </c>
      <c r="AX783" t="s">
        <v>74</v>
      </c>
      <c r="AY783" t="s">
        <v>74</v>
      </c>
      <c r="AZ783" t="s">
        <v>74</v>
      </c>
      <c r="BA783" t="s">
        <v>74</v>
      </c>
      <c r="BB783" t="s">
        <v>74</v>
      </c>
      <c r="BC783" t="s">
        <v>74</v>
      </c>
      <c r="BD783" t="s">
        <v>14807</v>
      </c>
      <c r="BE783" t="s">
        <v>14808</v>
      </c>
      <c r="BF783" t="str">
        <f>HYPERLINK("http://dx.doi.org/10.1029/2019RG000663","http://dx.doi.org/10.1029/2019RG000663")</f>
        <v>http://dx.doi.org/10.1029/2019RG000663</v>
      </c>
      <c r="BG783" t="s">
        <v>74</v>
      </c>
      <c r="BH783" t="s">
        <v>74</v>
      </c>
      <c r="BI783">
        <v>89</v>
      </c>
      <c r="BJ783" t="s">
        <v>426</v>
      </c>
      <c r="BK783" t="s">
        <v>103</v>
      </c>
      <c r="BL783" t="s">
        <v>426</v>
      </c>
      <c r="BM783" t="s">
        <v>14809</v>
      </c>
      <c r="BN783" t="s">
        <v>74</v>
      </c>
      <c r="BO783" t="s">
        <v>11922</v>
      </c>
      <c r="BP783" t="s">
        <v>74</v>
      </c>
      <c r="BQ783" t="s">
        <v>74</v>
      </c>
      <c r="BR783" t="s">
        <v>106</v>
      </c>
      <c r="BS783" t="s">
        <v>14810</v>
      </c>
      <c r="BT783" t="str">
        <f>HYPERLINK("https%3A%2F%2Fwww.webofscience.com%2Fwos%2Fwoscc%2Ffull-record%2FWOS:000603664800001","View Full Record in Web of Science")</f>
        <v>View Full Record in Web of Science</v>
      </c>
    </row>
    <row r="784" spans="1:72" x14ac:dyDescent="0.15">
      <c r="A784" t="s">
        <v>72</v>
      </c>
      <c r="B784" t="s">
        <v>14811</v>
      </c>
      <c r="C784" t="s">
        <v>74</v>
      </c>
      <c r="D784" t="s">
        <v>74</v>
      </c>
      <c r="E784" t="s">
        <v>74</v>
      </c>
      <c r="F784" t="s">
        <v>14812</v>
      </c>
      <c r="G784" t="s">
        <v>74</v>
      </c>
      <c r="H784" t="s">
        <v>74</v>
      </c>
      <c r="I784" t="s">
        <v>14813</v>
      </c>
      <c r="J784" t="s">
        <v>14814</v>
      </c>
      <c r="K784" t="s">
        <v>74</v>
      </c>
      <c r="L784" t="s">
        <v>74</v>
      </c>
      <c r="M784" t="s">
        <v>78</v>
      </c>
      <c r="N784" t="s">
        <v>79</v>
      </c>
      <c r="O784" t="s">
        <v>74</v>
      </c>
      <c r="P784" t="s">
        <v>74</v>
      </c>
      <c r="Q784" t="s">
        <v>74</v>
      </c>
      <c r="R784" t="s">
        <v>74</v>
      </c>
      <c r="S784" t="s">
        <v>74</v>
      </c>
      <c r="T784" t="s">
        <v>14815</v>
      </c>
      <c r="U784" t="s">
        <v>14816</v>
      </c>
      <c r="V784" t="s">
        <v>14817</v>
      </c>
      <c r="W784" t="s">
        <v>14818</v>
      </c>
      <c r="X784" t="s">
        <v>14819</v>
      </c>
      <c r="Y784" t="s">
        <v>14820</v>
      </c>
      <c r="Z784" t="s">
        <v>14821</v>
      </c>
      <c r="AA784" t="s">
        <v>14822</v>
      </c>
      <c r="AB784" t="s">
        <v>14823</v>
      </c>
      <c r="AC784" t="s">
        <v>14824</v>
      </c>
      <c r="AD784" t="s">
        <v>14825</v>
      </c>
      <c r="AE784" t="s">
        <v>14826</v>
      </c>
      <c r="AF784" t="s">
        <v>74</v>
      </c>
      <c r="AG784">
        <v>153</v>
      </c>
      <c r="AH784">
        <v>108</v>
      </c>
      <c r="AI784">
        <v>115</v>
      </c>
      <c r="AJ784">
        <v>9</v>
      </c>
      <c r="AK784">
        <v>53</v>
      </c>
      <c r="AL784" t="s">
        <v>1291</v>
      </c>
      <c r="AM784" t="s">
        <v>629</v>
      </c>
      <c r="AN784" t="s">
        <v>1292</v>
      </c>
      <c r="AO784" t="s">
        <v>74</v>
      </c>
      <c r="AP784" t="s">
        <v>14827</v>
      </c>
      <c r="AQ784" t="s">
        <v>74</v>
      </c>
      <c r="AR784" t="s">
        <v>14828</v>
      </c>
      <c r="AS784" t="s">
        <v>14829</v>
      </c>
      <c r="AT784" t="s">
        <v>12678</v>
      </c>
      <c r="AU784">
        <v>2020</v>
      </c>
      <c r="AV784">
        <v>12</v>
      </c>
      <c r="AW784">
        <v>12</v>
      </c>
      <c r="AX784" t="s">
        <v>74</v>
      </c>
      <c r="AY784" t="s">
        <v>74</v>
      </c>
      <c r="AZ784" t="s">
        <v>74</v>
      </c>
      <c r="BA784" t="s">
        <v>74</v>
      </c>
      <c r="BB784" t="s">
        <v>74</v>
      </c>
      <c r="BC784" t="s">
        <v>74</v>
      </c>
      <c r="BD784" t="s">
        <v>14830</v>
      </c>
      <c r="BE784" t="s">
        <v>14831</v>
      </c>
      <c r="BF784" t="str">
        <f>HYPERLINK("http://dx.doi.org/10.1029/2020MS002298","http://dx.doi.org/10.1029/2020MS002298")</f>
        <v>http://dx.doi.org/10.1029/2020MS002298</v>
      </c>
      <c r="BG784" t="s">
        <v>74</v>
      </c>
      <c r="BH784" t="s">
        <v>74</v>
      </c>
      <c r="BI784">
        <v>52</v>
      </c>
      <c r="BJ784" t="s">
        <v>687</v>
      </c>
      <c r="BK784" t="s">
        <v>103</v>
      </c>
      <c r="BL784" t="s">
        <v>687</v>
      </c>
      <c r="BM784" t="s">
        <v>14832</v>
      </c>
      <c r="BN784" t="s">
        <v>74</v>
      </c>
      <c r="BO784" t="s">
        <v>326</v>
      </c>
      <c r="BP784" t="s">
        <v>1589</v>
      </c>
      <c r="BQ784" t="s">
        <v>1590</v>
      </c>
      <c r="BR784" t="s">
        <v>106</v>
      </c>
      <c r="BS784" t="s">
        <v>14833</v>
      </c>
      <c r="BT784" t="str">
        <f>HYPERLINK("https%3A%2F%2Fwww.webofscience.com%2Fwos%2Fwoscc%2Ffull-record%2FWOS:000603662500019","View Full Record in Web of Science")</f>
        <v>View Full Record in Web of Science</v>
      </c>
    </row>
    <row r="785" spans="1:72" x14ac:dyDescent="0.15">
      <c r="A785" t="s">
        <v>72</v>
      </c>
      <c r="B785" t="s">
        <v>14834</v>
      </c>
      <c r="C785" t="s">
        <v>74</v>
      </c>
      <c r="D785" t="s">
        <v>74</v>
      </c>
      <c r="E785" t="s">
        <v>74</v>
      </c>
      <c r="F785" t="s">
        <v>14835</v>
      </c>
      <c r="G785" t="s">
        <v>74</v>
      </c>
      <c r="H785" t="s">
        <v>74</v>
      </c>
      <c r="I785" t="s">
        <v>14836</v>
      </c>
      <c r="J785" t="s">
        <v>1259</v>
      </c>
      <c r="K785" t="s">
        <v>74</v>
      </c>
      <c r="L785" t="s">
        <v>74</v>
      </c>
      <c r="M785" t="s">
        <v>78</v>
      </c>
      <c r="N785" t="s">
        <v>79</v>
      </c>
      <c r="O785" t="s">
        <v>74</v>
      </c>
      <c r="P785" t="s">
        <v>74</v>
      </c>
      <c r="Q785" t="s">
        <v>74</v>
      </c>
      <c r="R785" t="s">
        <v>74</v>
      </c>
      <c r="S785" t="s">
        <v>74</v>
      </c>
      <c r="T785" t="s">
        <v>14837</v>
      </c>
      <c r="U785" t="s">
        <v>14838</v>
      </c>
      <c r="V785" t="s">
        <v>14839</v>
      </c>
      <c r="W785" t="s">
        <v>14840</v>
      </c>
      <c r="X785" t="s">
        <v>14841</v>
      </c>
      <c r="Y785" t="s">
        <v>14842</v>
      </c>
      <c r="Z785" t="s">
        <v>14843</v>
      </c>
      <c r="AA785" t="s">
        <v>14844</v>
      </c>
      <c r="AB785" t="s">
        <v>14845</v>
      </c>
      <c r="AC785" t="s">
        <v>14846</v>
      </c>
      <c r="AD785" t="s">
        <v>14847</v>
      </c>
      <c r="AE785" t="s">
        <v>14848</v>
      </c>
      <c r="AF785" t="s">
        <v>74</v>
      </c>
      <c r="AG785">
        <v>80</v>
      </c>
      <c r="AH785">
        <v>41</v>
      </c>
      <c r="AI785">
        <v>42</v>
      </c>
      <c r="AJ785">
        <v>3</v>
      </c>
      <c r="AK785">
        <v>44</v>
      </c>
      <c r="AL785" t="s">
        <v>177</v>
      </c>
      <c r="AM785" t="s">
        <v>178</v>
      </c>
      <c r="AN785" t="s">
        <v>179</v>
      </c>
      <c r="AO785" t="s">
        <v>1267</v>
      </c>
      <c r="AP785" t="s">
        <v>1268</v>
      </c>
      <c r="AQ785" t="s">
        <v>74</v>
      </c>
      <c r="AR785" t="s">
        <v>1269</v>
      </c>
      <c r="AS785" t="s">
        <v>1270</v>
      </c>
      <c r="AT785" t="s">
        <v>12678</v>
      </c>
      <c r="AU785">
        <v>2020</v>
      </c>
      <c r="AV785">
        <v>252</v>
      </c>
      <c r="AW785" t="s">
        <v>74</v>
      </c>
      <c r="AX785" t="s">
        <v>74</v>
      </c>
      <c r="AY785" t="s">
        <v>74</v>
      </c>
      <c r="AZ785" t="s">
        <v>74</v>
      </c>
      <c r="BA785" t="s">
        <v>74</v>
      </c>
      <c r="BB785" t="s">
        <v>74</v>
      </c>
      <c r="BC785" t="s">
        <v>74</v>
      </c>
      <c r="BD785">
        <v>108855</v>
      </c>
      <c r="BE785" t="s">
        <v>14849</v>
      </c>
      <c r="BF785" t="str">
        <f>HYPERLINK("http://dx.doi.org/10.1016/j.biocon.2020.108855","http://dx.doi.org/10.1016/j.biocon.2020.108855")</f>
        <v>http://dx.doi.org/10.1016/j.biocon.2020.108855</v>
      </c>
      <c r="BG785" t="s">
        <v>74</v>
      </c>
      <c r="BH785" t="s">
        <v>74</v>
      </c>
      <c r="BI785">
        <v>14</v>
      </c>
      <c r="BJ785" t="s">
        <v>1272</v>
      </c>
      <c r="BK785" t="s">
        <v>103</v>
      </c>
      <c r="BL785" t="s">
        <v>1053</v>
      </c>
      <c r="BM785" t="s">
        <v>14850</v>
      </c>
      <c r="BN785" t="s">
        <v>74</v>
      </c>
      <c r="BO785" t="s">
        <v>1220</v>
      </c>
      <c r="BP785" t="s">
        <v>74</v>
      </c>
      <c r="BQ785" t="s">
        <v>74</v>
      </c>
      <c r="BR785" t="s">
        <v>106</v>
      </c>
      <c r="BS785" t="s">
        <v>14851</v>
      </c>
      <c r="BT785" t="str">
        <f>HYPERLINK("https%3A%2F%2Fwww.webofscience.com%2Fwos%2Fwoscc%2Ffull-record%2FWOS:000600455000001","View Full Record in Web of Science")</f>
        <v>View Full Record in Web of Science</v>
      </c>
    </row>
    <row r="786" spans="1:72" x14ac:dyDescent="0.15">
      <c r="A786" t="s">
        <v>72</v>
      </c>
      <c r="B786" t="s">
        <v>14852</v>
      </c>
      <c r="C786" t="s">
        <v>74</v>
      </c>
      <c r="D786" t="s">
        <v>74</v>
      </c>
      <c r="E786" t="s">
        <v>74</v>
      </c>
      <c r="F786" t="s">
        <v>14853</v>
      </c>
      <c r="G786" t="s">
        <v>74</v>
      </c>
      <c r="H786" t="s">
        <v>74</v>
      </c>
      <c r="I786" t="s">
        <v>14854</v>
      </c>
      <c r="J786" t="s">
        <v>14855</v>
      </c>
      <c r="K786" t="s">
        <v>74</v>
      </c>
      <c r="L786" t="s">
        <v>74</v>
      </c>
      <c r="M786" t="s">
        <v>78</v>
      </c>
      <c r="N786" t="s">
        <v>79</v>
      </c>
      <c r="O786" t="s">
        <v>74</v>
      </c>
      <c r="P786" t="s">
        <v>74</v>
      </c>
      <c r="Q786" t="s">
        <v>74</v>
      </c>
      <c r="R786" t="s">
        <v>74</v>
      </c>
      <c r="S786" t="s">
        <v>74</v>
      </c>
      <c r="T786" t="s">
        <v>14856</v>
      </c>
      <c r="U786" t="s">
        <v>14857</v>
      </c>
      <c r="V786" t="s">
        <v>14858</v>
      </c>
      <c r="W786" t="s">
        <v>14859</v>
      </c>
      <c r="X786" t="s">
        <v>14860</v>
      </c>
      <c r="Y786" t="s">
        <v>14861</v>
      </c>
      <c r="Z786" t="s">
        <v>14862</v>
      </c>
      <c r="AA786" t="s">
        <v>14863</v>
      </c>
      <c r="AB786" t="s">
        <v>14864</v>
      </c>
      <c r="AC786" t="s">
        <v>74</v>
      </c>
      <c r="AD786" t="s">
        <v>74</v>
      </c>
      <c r="AE786" t="s">
        <v>74</v>
      </c>
      <c r="AF786" t="s">
        <v>74</v>
      </c>
      <c r="AG786">
        <v>140</v>
      </c>
      <c r="AH786">
        <v>16</v>
      </c>
      <c r="AI786">
        <v>16</v>
      </c>
      <c r="AJ786">
        <v>3</v>
      </c>
      <c r="AK786">
        <v>20</v>
      </c>
      <c r="AL786" t="s">
        <v>92</v>
      </c>
      <c r="AM786" t="s">
        <v>93</v>
      </c>
      <c r="AN786" t="s">
        <v>94</v>
      </c>
      <c r="AO786" t="s">
        <v>14865</v>
      </c>
      <c r="AP786" t="s">
        <v>14866</v>
      </c>
      <c r="AQ786" t="s">
        <v>74</v>
      </c>
      <c r="AR786" t="s">
        <v>14867</v>
      </c>
      <c r="AS786" t="s">
        <v>14868</v>
      </c>
      <c r="AT786" t="s">
        <v>12678</v>
      </c>
      <c r="AU786">
        <v>2020</v>
      </c>
      <c r="AV786">
        <v>36</v>
      </c>
      <c r="AW786" t="s">
        <v>74</v>
      </c>
      <c r="AX786" t="s">
        <v>74</v>
      </c>
      <c r="AY786" t="s">
        <v>74</v>
      </c>
      <c r="AZ786" t="s">
        <v>582</v>
      </c>
      <c r="BA786" t="s">
        <v>74</v>
      </c>
      <c r="BB786" t="s">
        <v>74</v>
      </c>
      <c r="BC786" t="s">
        <v>74</v>
      </c>
      <c r="BD786">
        <v>100529</v>
      </c>
      <c r="BE786" t="s">
        <v>14869</v>
      </c>
      <c r="BF786" t="str">
        <f>HYPERLINK("http://dx.doi.org/10.1016/j.envdev.2020.100529","http://dx.doi.org/10.1016/j.envdev.2020.100529")</f>
        <v>http://dx.doi.org/10.1016/j.envdev.2020.100529</v>
      </c>
      <c r="BG786" t="s">
        <v>74</v>
      </c>
      <c r="BH786" t="s">
        <v>74</v>
      </c>
      <c r="BI786">
        <v>18</v>
      </c>
      <c r="BJ786" t="s">
        <v>102</v>
      </c>
      <c r="BK786" t="s">
        <v>271</v>
      </c>
      <c r="BL786" t="s">
        <v>104</v>
      </c>
      <c r="BM786" t="s">
        <v>14870</v>
      </c>
      <c r="BN786" t="s">
        <v>74</v>
      </c>
      <c r="BO786" t="s">
        <v>74</v>
      </c>
      <c r="BP786" t="s">
        <v>74</v>
      </c>
      <c r="BQ786" t="s">
        <v>74</v>
      </c>
      <c r="BR786" t="s">
        <v>106</v>
      </c>
      <c r="BS786" t="s">
        <v>14871</v>
      </c>
      <c r="BT786" t="str">
        <f>HYPERLINK("https%3A%2F%2Fwww.webofscience.com%2Fwos%2Fwoscc%2Ffull-record%2FWOS:000599933700005","View Full Record in Web of Science")</f>
        <v>View Full Record in Web of Science</v>
      </c>
    </row>
    <row r="787" spans="1:72" x14ac:dyDescent="0.15">
      <c r="A787" t="s">
        <v>72</v>
      </c>
      <c r="B787" t="s">
        <v>14872</v>
      </c>
      <c r="C787" t="s">
        <v>74</v>
      </c>
      <c r="D787" t="s">
        <v>74</v>
      </c>
      <c r="E787" t="s">
        <v>74</v>
      </c>
      <c r="F787" t="s">
        <v>14873</v>
      </c>
      <c r="G787" t="s">
        <v>74</v>
      </c>
      <c r="H787" t="s">
        <v>74</v>
      </c>
      <c r="I787" t="s">
        <v>14874</v>
      </c>
      <c r="J787" t="s">
        <v>14875</v>
      </c>
      <c r="K787" t="s">
        <v>74</v>
      </c>
      <c r="L787" t="s">
        <v>74</v>
      </c>
      <c r="M787" t="s">
        <v>78</v>
      </c>
      <c r="N787" t="s">
        <v>79</v>
      </c>
      <c r="O787" t="s">
        <v>74</v>
      </c>
      <c r="P787" t="s">
        <v>74</v>
      </c>
      <c r="Q787" t="s">
        <v>74</v>
      </c>
      <c r="R787" t="s">
        <v>74</v>
      </c>
      <c r="S787" t="s">
        <v>74</v>
      </c>
      <c r="T787" t="s">
        <v>14876</v>
      </c>
      <c r="U787" t="s">
        <v>14877</v>
      </c>
      <c r="V787" t="s">
        <v>14878</v>
      </c>
      <c r="W787" t="s">
        <v>14879</v>
      </c>
      <c r="X787" t="s">
        <v>14880</v>
      </c>
      <c r="Y787" t="s">
        <v>14881</v>
      </c>
      <c r="Z787" t="s">
        <v>14882</v>
      </c>
      <c r="AA787" t="s">
        <v>14883</v>
      </c>
      <c r="AB787" t="s">
        <v>14884</v>
      </c>
      <c r="AC787" t="s">
        <v>14885</v>
      </c>
      <c r="AD787" t="s">
        <v>14886</v>
      </c>
      <c r="AE787" t="s">
        <v>14887</v>
      </c>
      <c r="AF787" t="s">
        <v>74</v>
      </c>
      <c r="AG787">
        <v>73</v>
      </c>
      <c r="AH787">
        <v>11</v>
      </c>
      <c r="AI787">
        <v>11</v>
      </c>
      <c r="AJ787">
        <v>1</v>
      </c>
      <c r="AK787">
        <v>11</v>
      </c>
      <c r="AL787" t="s">
        <v>1291</v>
      </c>
      <c r="AM787" t="s">
        <v>629</v>
      </c>
      <c r="AN787" t="s">
        <v>1292</v>
      </c>
      <c r="AO787" t="s">
        <v>14888</v>
      </c>
      <c r="AP787" t="s">
        <v>14889</v>
      </c>
      <c r="AQ787" t="s">
        <v>74</v>
      </c>
      <c r="AR787" t="s">
        <v>14890</v>
      </c>
      <c r="AS787" t="s">
        <v>14891</v>
      </c>
      <c r="AT787" t="s">
        <v>12678</v>
      </c>
      <c r="AU787">
        <v>2020</v>
      </c>
      <c r="AV787">
        <v>34</v>
      </c>
      <c r="AW787">
        <v>12</v>
      </c>
      <c r="AX787" t="s">
        <v>74</v>
      </c>
      <c r="AY787" t="s">
        <v>74</v>
      </c>
      <c r="AZ787" t="s">
        <v>74</v>
      </c>
      <c r="BA787" t="s">
        <v>74</v>
      </c>
      <c r="BB787" t="s">
        <v>74</v>
      </c>
      <c r="BC787" t="s">
        <v>74</v>
      </c>
      <c r="BD787" t="s">
        <v>14892</v>
      </c>
      <c r="BE787" t="s">
        <v>14893</v>
      </c>
      <c r="BF787" t="str">
        <f>HYPERLINK("http://dx.doi.org/10.1029/2019GB006486","http://dx.doi.org/10.1029/2019GB006486")</f>
        <v>http://dx.doi.org/10.1029/2019GB006486</v>
      </c>
      <c r="BG787" t="s">
        <v>74</v>
      </c>
      <c r="BH787" t="s">
        <v>74</v>
      </c>
      <c r="BI787">
        <v>17</v>
      </c>
      <c r="BJ787" t="s">
        <v>243</v>
      </c>
      <c r="BK787" t="s">
        <v>103</v>
      </c>
      <c r="BL787" t="s">
        <v>244</v>
      </c>
      <c r="BM787" t="s">
        <v>14894</v>
      </c>
      <c r="BN787" t="s">
        <v>74</v>
      </c>
      <c r="BO787" t="s">
        <v>11922</v>
      </c>
      <c r="BP787" t="s">
        <v>74</v>
      </c>
      <c r="BQ787" t="s">
        <v>74</v>
      </c>
      <c r="BR787" t="s">
        <v>106</v>
      </c>
      <c r="BS787" t="s">
        <v>14895</v>
      </c>
      <c r="BT787" t="str">
        <f>HYPERLINK("https%3A%2F%2Fwww.webofscience.com%2Fwos%2Fwoscc%2Ffull-record%2FWOS:000603665500014","View Full Record in Web of Science")</f>
        <v>View Full Record in Web of Science</v>
      </c>
    </row>
    <row r="788" spans="1:72" x14ac:dyDescent="0.15">
      <c r="A788" t="s">
        <v>72</v>
      </c>
      <c r="B788" t="s">
        <v>14896</v>
      </c>
      <c r="C788" t="s">
        <v>74</v>
      </c>
      <c r="D788" t="s">
        <v>74</v>
      </c>
      <c r="E788" t="s">
        <v>74</v>
      </c>
      <c r="F788" t="s">
        <v>14897</v>
      </c>
      <c r="G788" t="s">
        <v>74</v>
      </c>
      <c r="H788" t="s">
        <v>74</v>
      </c>
      <c r="I788" t="s">
        <v>14898</v>
      </c>
      <c r="J788" t="s">
        <v>14875</v>
      </c>
      <c r="K788" t="s">
        <v>74</v>
      </c>
      <c r="L788" t="s">
        <v>74</v>
      </c>
      <c r="M788" t="s">
        <v>78</v>
      </c>
      <c r="N788" t="s">
        <v>79</v>
      </c>
      <c r="O788" t="s">
        <v>74</v>
      </c>
      <c r="P788" t="s">
        <v>74</v>
      </c>
      <c r="Q788" t="s">
        <v>74</v>
      </c>
      <c r="R788" t="s">
        <v>74</v>
      </c>
      <c r="S788" t="s">
        <v>74</v>
      </c>
      <c r="T788" t="s">
        <v>14899</v>
      </c>
      <c r="U788" t="s">
        <v>14900</v>
      </c>
      <c r="V788" t="s">
        <v>14901</v>
      </c>
      <c r="W788" t="s">
        <v>14902</v>
      </c>
      <c r="X788" t="s">
        <v>14903</v>
      </c>
      <c r="Y788" t="s">
        <v>14904</v>
      </c>
      <c r="Z788" t="s">
        <v>14905</v>
      </c>
      <c r="AA788" t="s">
        <v>14906</v>
      </c>
      <c r="AB788" t="s">
        <v>14907</v>
      </c>
      <c r="AC788" t="s">
        <v>14908</v>
      </c>
      <c r="AD788" t="s">
        <v>14909</v>
      </c>
      <c r="AE788" t="s">
        <v>14910</v>
      </c>
      <c r="AF788" t="s">
        <v>74</v>
      </c>
      <c r="AG788">
        <v>72</v>
      </c>
      <c r="AH788">
        <v>4</v>
      </c>
      <c r="AI788">
        <v>4</v>
      </c>
      <c r="AJ788">
        <v>1</v>
      </c>
      <c r="AK788">
        <v>11</v>
      </c>
      <c r="AL788" t="s">
        <v>1291</v>
      </c>
      <c r="AM788" t="s">
        <v>629</v>
      </c>
      <c r="AN788" t="s">
        <v>1292</v>
      </c>
      <c r="AO788" t="s">
        <v>14888</v>
      </c>
      <c r="AP788" t="s">
        <v>14889</v>
      </c>
      <c r="AQ788" t="s">
        <v>74</v>
      </c>
      <c r="AR788" t="s">
        <v>14890</v>
      </c>
      <c r="AS788" t="s">
        <v>14891</v>
      </c>
      <c r="AT788" t="s">
        <v>12678</v>
      </c>
      <c r="AU788">
        <v>2020</v>
      </c>
      <c r="AV788">
        <v>34</v>
      </c>
      <c r="AW788">
        <v>12</v>
      </c>
      <c r="AX788" t="s">
        <v>74</v>
      </c>
      <c r="AY788" t="s">
        <v>74</v>
      </c>
      <c r="AZ788" t="s">
        <v>74</v>
      </c>
      <c r="BA788" t="s">
        <v>74</v>
      </c>
      <c r="BB788" t="s">
        <v>74</v>
      </c>
      <c r="BC788" t="s">
        <v>74</v>
      </c>
      <c r="BD788" t="s">
        <v>14911</v>
      </c>
      <c r="BE788" t="s">
        <v>14912</v>
      </c>
      <c r="BF788" t="str">
        <f>HYPERLINK("http://dx.doi.org/10.1029/2020GB006760","http://dx.doi.org/10.1029/2020GB006760")</f>
        <v>http://dx.doi.org/10.1029/2020GB006760</v>
      </c>
      <c r="BG788" t="s">
        <v>74</v>
      </c>
      <c r="BH788" t="s">
        <v>74</v>
      </c>
      <c r="BI788">
        <v>16</v>
      </c>
      <c r="BJ788" t="s">
        <v>243</v>
      </c>
      <c r="BK788" t="s">
        <v>103</v>
      </c>
      <c r="BL788" t="s">
        <v>244</v>
      </c>
      <c r="BM788" t="s">
        <v>14894</v>
      </c>
      <c r="BN788" t="s">
        <v>74</v>
      </c>
      <c r="BO788" t="s">
        <v>189</v>
      </c>
      <c r="BP788" t="s">
        <v>74</v>
      </c>
      <c r="BQ788" t="s">
        <v>74</v>
      </c>
      <c r="BR788" t="s">
        <v>106</v>
      </c>
      <c r="BS788" t="s">
        <v>14913</v>
      </c>
      <c r="BT788" t="str">
        <f>HYPERLINK("https%3A%2F%2Fwww.webofscience.com%2Fwos%2Fwoscc%2Ffull-record%2FWOS:000603665500002","View Full Record in Web of Science")</f>
        <v>View Full Record in Web of Science</v>
      </c>
    </row>
    <row r="789" spans="1:72" x14ac:dyDescent="0.15">
      <c r="A789" t="s">
        <v>72</v>
      </c>
      <c r="B789" t="s">
        <v>14914</v>
      </c>
      <c r="C789" t="s">
        <v>74</v>
      </c>
      <c r="D789" t="s">
        <v>74</v>
      </c>
      <c r="E789" t="s">
        <v>74</v>
      </c>
      <c r="F789" t="s">
        <v>14915</v>
      </c>
      <c r="G789" t="s">
        <v>74</v>
      </c>
      <c r="H789" t="s">
        <v>74</v>
      </c>
      <c r="I789" t="s">
        <v>14916</v>
      </c>
      <c r="J789" t="s">
        <v>14917</v>
      </c>
      <c r="K789" t="s">
        <v>74</v>
      </c>
      <c r="L789" t="s">
        <v>74</v>
      </c>
      <c r="M789" t="s">
        <v>78</v>
      </c>
      <c r="N789" t="s">
        <v>79</v>
      </c>
      <c r="O789" t="s">
        <v>74</v>
      </c>
      <c r="P789" t="s">
        <v>74</v>
      </c>
      <c r="Q789" t="s">
        <v>74</v>
      </c>
      <c r="R789" t="s">
        <v>74</v>
      </c>
      <c r="S789" t="s">
        <v>74</v>
      </c>
      <c r="T789" t="s">
        <v>14918</v>
      </c>
      <c r="U789" t="s">
        <v>14919</v>
      </c>
      <c r="V789" t="s">
        <v>14920</v>
      </c>
      <c r="W789" t="s">
        <v>14921</v>
      </c>
      <c r="X789" t="s">
        <v>14922</v>
      </c>
      <c r="Y789" t="s">
        <v>14923</v>
      </c>
      <c r="Z789" t="s">
        <v>14924</v>
      </c>
      <c r="AA789" t="s">
        <v>14925</v>
      </c>
      <c r="AB789" t="s">
        <v>74</v>
      </c>
      <c r="AC789" t="s">
        <v>14926</v>
      </c>
      <c r="AD789" t="s">
        <v>14927</v>
      </c>
      <c r="AE789" t="s">
        <v>14928</v>
      </c>
      <c r="AF789" t="s">
        <v>74</v>
      </c>
      <c r="AG789">
        <v>72</v>
      </c>
      <c r="AH789">
        <v>10</v>
      </c>
      <c r="AI789">
        <v>10</v>
      </c>
      <c r="AJ789">
        <v>12</v>
      </c>
      <c r="AK789">
        <v>70</v>
      </c>
      <c r="AL789" t="s">
        <v>418</v>
      </c>
      <c r="AM789" t="s">
        <v>178</v>
      </c>
      <c r="AN789" t="s">
        <v>419</v>
      </c>
      <c r="AO789" t="s">
        <v>14929</v>
      </c>
      <c r="AP789" t="s">
        <v>14930</v>
      </c>
      <c r="AQ789" t="s">
        <v>74</v>
      </c>
      <c r="AR789" t="s">
        <v>14931</v>
      </c>
      <c r="AS789" t="s">
        <v>14932</v>
      </c>
      <c r="AT789" t="s">
        <v>12678</v>
      </c>
      <c r="AU789">
        <v>2020</v>
      </c>
      <c r="AV789">
        <v>161</v>
      </c>
      <c r="AW789" t="s">
        <v>74</v>
      </c>
      <c r="AX789" t="s">
        <v>14933</v>
      </c>
      <c r="AY789" t="s">
        <v>74</v>
      </c>
      <c r="AZ789" t="s">
        <v>74</v>
      </c>
      <c r="BA789" t="s">
        <v>74</v>
      </c>
      <c r="BB789" t="s">
        <v>74</v>
      </c>
      <c r="BC789" t="s">
        <v>74</v>
      </c>
      <c r="BD789">
        <v>111710</v>
      </c>
      <c r="BE789" t="s">
        <v>14934</v>
      </c>
      <c r="BF789" t="str">
        <f>HYPERLINK("http://dx.doi.org/10.1016/j.marpolbul.2020.111710","http://dx.doi.org/10.1016/j.marpolbul.2020.111710")</f>
        <v>http://dx.doi.org/10.1016/j.marpolbul.2020.111710</v>
      </c>
      <c r="BG789" t="s">
        <v>74</v>
      </c>
      <c r="BH789" t="s">
        <v>74</v>
      </c>
      <c r="BI789">
        <v>6</v>
      </c>
      <c r="BJ789" t="s">
        <v>507</v>
      </c>
      <c r="BK789" t="s">
        <v>103</v>
      </c>
      <c r="BL789" t="s">
        <v>508</v>
      </c>
      <c r="BM789" t="s">
        <v>14935</v>
      </c>
      <c r="BN789">
        <v>33022494</v>
      </c>
      <c r="BO789" t="s">
        <v>74</v>
      </c>
      <c r="BP789" t="s">
        <v>74</v>
      </c>
      <c r="BQ789" t="s">
        <v>74</v>
      </c>
      <c r="BR789" t="s">
        <v>106</v>
      </c>
      <c r="BS789" t="s">
        <v>14936</v>
      </c>
      <c r="BT789" t="str">
        <f>HYPERLINK("https%3A%2F%2Fwww.webofscience.com%2Fwos%2Fwoscc%2Ffull-record%2FWOS:000600320100006","View Full Record in Web of Science")</f>
        <v>View Full Record in Web of Science</v>
      </c>
    </row>
    <row r="790" spans="1:72" x14ac:dyDescent="0.15">
      <c r="A790" t="s">
        <v>72</v>
      </c>
      <c r="B790" t="s">
        <v>14937</v>
      </c>
      <c r="C790" t="s">
        <v>74</v>
      </c>
      <c r="D790" t="s">
        <v>74</v>
      </c>
      <c r="E790" t="s">
        <v>74</v>
      </c>
      <c r="F790" t="s">
        <v>14938</v>
      </c>
      <c r="G790" t="s">
        <v>74</v>
      </c>
      <c r="H790" t="s">
        <v>74</v>
      </c>
      <c r="I790" t="s">
        <v>14939</v>
      </c>
      <c r="J790" t="s">
        <v>14940</v>
      </c>
      <c r="K790" t="s">
        <v>74</v>
      </c>
      <c r="L790" t="s">
        <v>74</v>
      </c>
      <c r="M790" t="s">
        <v>78</v>
      </c>
      <c r="N790" t="s">
        <v>79</v>
      </c>
      <c r="O790" t="s">
        <v>74</v>
      </c>
      <c r="P790" t="s">
        <v>74</v>
      </c>
      <c r="Q790" t="s">
        <v>74</v>
      </c>
      <c r="R790" t="s">
        <v>74</v>
      </c>
      <c r="S790" t="s">
        <v>74</v>
      </c>
      <c r="T790" t="s">
        <v>14941</v>
      </c>
      <c r="U790" t="s">
        <v>14942</v>
      </c>
      <c r="V790" t="s">
        <v>14943</v>
      </c>
      <c r="W790" t="s">
        <v>14944</v>
      </c>
      <c r="X790" t="s">
        <v>14945</v>
      </c>
      <c r="Y790" t="s">
        <v>14946</v>
      </c>
      <c r="Z790" t="s">
        <v>14947</v>
      </c>
      <c r="AA790" t="s">
        <v>14948</v>
      </c>
      <c r="AB790" t="s">
        <v>14949</v>
      </c>
      <c r="AC790" t="s">
        <v>14950</v>
      </c>
      <c r="AD790" t="s">
        <v>14951</v>
      </c>
      <c r="AE790" t="s">
        <v>14952</v>
      </c>
      <c r="AF790" t="s">
        <v>74</v>
      </c>
      <c r="AG790">
        <v>43</v>
      </c>
      <c r="AH790">
        <v>2</v>
      </c>
      <c r="AI790">
        <v>2</v>
      </c>
      <c r="AJ790">
        <v>0</v>
      </c>
      <c r="AK790">
        <v>7</v>
      </c>
      <c r="AL790" t="s">
        <v>6635</v>
      </c>
      <c r="AM790" t="s">
        <v>473</v>
      </c>
      <c r="AN790" t="s">
        <v>6636</v>
      </c>
      <c r="AO790" t="s">
        <v>14953</v>
      </c>
      <c r="AP790" t="s">
        <v>14954</v>
      </c>
      <c r="AQ790" t="s">
        <v>74</v>
      </c>
      <c r="AR790" t="s">
        <v>14955</v>
      </c>
      <c r="AS790" t="s">
        <v>14956</v>
      </c>
      <c r="AT790" t="s">
        <v>12678</v>
      </c>
      <c r="AU790">
        <v>2020</v>
      </c>
      <c r="AV790">
        <v>54</v>
      </c>
      <c r="AW790">
        <v>8</v>
      </c>
      <c r="AX790" t="s">
        <v>74</v>
      </c>
      <c r="AY790" t="s">
        <v>74</v>
      </c>
      <c r="AZ790" t="s">
        <v>74</v>
      </c>
      <c r="BA790" t="s">
        <v>74</v>
      </c>
      <c r="BB790">
        <v>903</v>
      </c>
      <c r="BC790">
        <v>912</v>
      </c>
      <c r="BD790" t="s">
        <v>74</v>
      </c>
      <c r="BE790" t="s">
        <v>14957</v>
      </c>
      <c r="BF790" t="str">
        <f>HYPERLINK("http://dx.doi.org/10.1134/S0031030120080043","http://dx.doi.org/10.1134/S0031030120080043")</f>
        <v>http://dx.doi.org/10.1134/S0031030120080043</v>
      </c>
      <c r="BG790" t="s">
        <v>74</v>
      </c>
      <c r="BH790" t="s">
        <v>74</v>
      </c>
      <c r="BI790">
        <v>10</v>
      </c>
      <c r="BJ790" t="s">
        <v>6950</v>
      </c>
      <c r="BK790" t="s">
        <v>103</v>
      </c>
      <c r="BL790" t="s">
        <v>6950</v>
      </c>
      <c r="BM790" t="s">
        <v>14958</v>
      </c>
      <c r="BN790" t="s">
        <v>74</v>
      </c>
      <c r="BO790" t="s">
        <v>74</v>
      </c>
      <c r="BP790" t="s">
        <v>74</v>
      </c>
      <c r="BQ790" t="s">
        <v>74</v>
      </c>
      <c r="BR790" t="s">
        <v>106</v>
      </c>
      <c r="BS790" t="s">
        <v>14959</v>
      </c>
      <c r="BT790" t="str">
        <f>HYPERLINK("https%3A%2F%2Fwww.webofscience.com%2Fwos%2Fwoscc%2Ffull-record%2FWOS:000603305200013","View Full Record in Web of Science")</f>
        <v>View Full Record in Web of Science</v>
      </c>
    </row>
    <row r="791" spans="1:72" x14ac:dyDescent="0.15">
      <c r="A791" t="s">
        <v>72</v>
      </c>
      <c r="B791" t="s">
        <v>14960</v>
      </c>
      <c r="C791" t="s">
        <v>74</v>
      </c>
      <c r="D791" t="s">
        <v>74</v>
      </c>
      <c r="E791" t="s">
        <v>74</v>
      </c>
      <c r="F791" t="s">
        <v>14961</v>
      </c>
      <c r="G791" t="s">
        <v>74</v>
      </c>
      <c r="H791" t="s">
        <v>74</v>
      </c>
      <c r="I791" t="s">
        <v>14962</v>
      </c>
      <c r="J791" t="s">
        <v>14963</v>
      </c>
      <c r="K791" t="s">
        <v>74</v>
      </c>
      <c r="L791" t="s">
        <v>74</v>
      </c>
      <c r="M791" t="s">
        <v>78</v>
      </c>
      <c r="N791" t="s">
        <v>79</v>
      </c>
      <c r="O791" t="s">
        <v>74</v>
      </c>
      <c r="P791" t="s">
        <v>74</v>
      </c>
      <c r="Q791" t="s">
        <v>74</v>
      </c>
      <c r="R791" t="s">
        <v>74</v>
      </c>
      <c r="S791" t="s">
        <v>74</v>
      </c>
      <c r="T791" t="s">
        <v>14964</v>
      </c>
      <c r="U791" t="s">
        <v>14965</v>
      </c>
      <c r="V791" t="s">
        <v>14966</v>
      </c>
      <c r="W791" t="s">
        <v>14967</v>
      </c>
      <c r="X791" t="s">
        <v>14968</v>
      </c>
      <c r="Y791" t="s">
        <v>14969</v>
      </c>
      <c r="Z791" t="s">
        <v>14970</v>
      </c>
      <c r="AA791" t="s">
        <v>14971</v>
      </c>
      <c r="AB791" t="s">
        <v>14972</v>
      </c>
      <c r="AC791" t="s">
        <v>14973</v>
      </c>
      <c r="AD791" t="s">
        <v>14973</v>
      </c>
      <c r="AE791" t="s">
        <v>14974</v>
      </c>
      <c r="AF791" t="s">
        <v>74</v>
      </c>
      <c r="AG791">
        <v>77</v>
      </c>
      <c r="AH791">
        <v>5</v>
      </c>
      <c r="AI791">
        <v>5</v>
      </c>
      <c r="AJ791">
        <v>0</v>
      </c>
      <c r="AK791">
        <v>4</v>
      </c>
      <c r="AL791" t="s">
        <v>552</v>
      </c>
      <c r="AM791" t="s">
        <v>553</v>
      </c>
      <c r="AN791" t="s">
        <v>554</v>
      </c>
      <c r="AO791" t="s">
        <v>14975</v>
      </c>
      <c r="AP791" t="s">
        <v>74</v>
      </c>
      <c r="AQ791" t="s">
        <v>74</v>
      </c>
      <c r="AR791" t="s">
        <v>14963</v>
      </c>
      <c r="AS791" t="s">
        <v>14976</v>
      </c>
      <c r="AT791" t="s">
        <v>12678</v>
      </c>
      <c r="AU791">
        <v>2020</v>
      </c>
      <c r="AV791">
        <v>11</v>
      </c>
      <c r="AW791">
        <v>12</v>
      </c>
      <c r="AX791" t="s">
        <v>74</v>
      </c>
      <c r="AY791" t="s">
        <v>74</v>
      </c>
      <c r="AZ791" t="s">
        <v>74</v>
      </c>
      <c r="BA791" t="s">
        <v>74</v>
      </c>
      <c r="BB791" t="s">
        <v>74</v>
      </c>
      <c r="BC791" t="s">
        <v>74</v>
      </c>
      <c r="BD791" t="s">
        <v>14977</v>
      </c>
      <c r="BE791" t="s">
        <v>14978</v>
      </c>
      <c r="BF791" t="str">
        <f>HYPERLINK("http://dx.doi.org/10.1002/ecs2.3300","http://dx.doi.org/10.1002/ecs2.3300")</f>
        <v>http://dx.doi.org/10.1002/ecs2.3300</v>
      </c>
      <c r="BG791" t="s">
        <v>74</v>
      </c>
      <c r="BH791" t="s">
        <v>74</v>
      </c>
      <c r="BI791">
        <v>16</v>
      </c>
      <c r="BJ791" t="s">
        <v>1509</v>
      </c>
      <c r="BK791" t="s">
        <v>103</v>
      </c>
      <c r="BL791" t="s">
        <v>104</v>
      </c>
      <c r="BM791" t="s">
        <v>14979</v>
      </c>
      <c r="BN791" t="s">
        <v>74</v>
      </c>
      <c r="BO791" t="s">
        <v>246</v>
      </c>
      <c r="BP791" t="s">
        <v>74</v>
      </c>
      <c r="BQ791" t="s">
        <v>74</v>
      </c>
      <c r="BR791" t="s">
        <v>106</v>
      </c>
      <c r="BS791" t="s">
        <v>14980</v>
      </c>
      <c r="BT791" t="str">
        <f>HYPERLINK("https%3A%2F%2Fwww.webofscience.com%2Fwos%2Fwoscc%2Ffull-record%2FWOS:000603657600006","View Full Record in Web of Science")</f>
        <v>View Full Record in Web of Science</v>
      </c>
    </row>
    <row r="792" spans="1:72" x14ac:dyDescent="0.15">
      <c r="A792" t="s">
        <v>72</v>
      </c>
      <c r="B792" t="s">
        <v>14981</v>
      </c>
      <c r="C792" t="s">
        <v>74</v>
      </c>
      <c r="D792" t="s">
        <v>74</v>
      </c>
      <c r="E792" t="s">
        <v>74</v>
      </c>
      <c r="F792" t="s">
        <v>14982</v>
      </c>
      <c r="G792" t="s">
        <v>74</v>
      </c>
      <c r="H792" t="s">
        <v>74</v>
      </c>
      <c r="I792" t="s">
        <v>14983</v>
      </c>
      <c r="J792" t="s">
        <v>3476</v>
      </c>
      <c r="K792" t="s">
        <v>74</v>
      </c>
      <c r="L792" t="s">
        <v>74</v>
      </c>
      <c r="M792" t="s">
        <v>78</v>
      </c>
      <c r="N792" t="s">
        <v>79</v>
      </c>
      <c r="O792" t="s">
        <v>74</v>
      </c>
      <c r="P792" t="s">
        <v>74</v>
      </c>
      <c r="Q792" t="s">
        <v>74</v>
      </c>
      <c r="R792" t="s">
        <v>74</v>
      </c>
      <c r="S792" t="s">
        <v>74</v>
      </c>
      <c r="T792" t="s">
        <v>74</v>
      </c>
      <c r="U792" t="s">
        <v>74</v>
      </c>
      <c r="V792" t="s">
        <v>14984</v>
      </c>
      <c r="W792" t="s">
        <v>14985</v>
      </c>
      <c r="X792" t="s">
        <v>14986</v>
      </c>
      <c r="Y792" t="s">
        <v>14987</v>
      </c>
      <c r="Z792" t="s">
        <v>1410</v>
      </c>
      <c r="AA792" t="s">
        <v>14988</v>
      </c>
      <c r="AB792" t="s">
        <v>14989</v>
      </c>
      <c r="AC792" t="s">
        <v>14990</v>
      </c>
      <c r="AD792" t="s">
        <v>14991</v>
      </c>
      <c r="AE792" t="s">
        <v>14992</v>
      </c>
      <c r="AF792" t="s">
        <v>74</v>
      </c>
      <c r="AG792">
        <v>61</v>
      </c>
      <c r="AH792">
        <v>19</v>
      </c>
      <c r="AI792">
        <v>23</v>
      </c>
      <c r="AJ792">
        <v>14</v>
      </c>
      <c r="AK792">
        <v>162</v>
      </c>
      <c r="AL792" t="s">
        <v>628</v>
      </c>
      <c r="AM792" t="s">
        <v>629</v>
      </c>
      <c r="AN792" t="s">
        <v>630</v>
      </c>
      <c r="AO792" t="s">
        <v>3487</v>
      </c>
      <c r="AP792" t="s">
        <v>3488</v>
      </c>
      <c r="AQ792" t="s">
        <v>74</v>
      </c>
      <c r="AR792" t="s">
        <v>3489</v>
      </c>
      <c r="AS792" t="s">
        <v>3490</v>
      </c>
      <c r="AT792" t="s">
        <v>14993</v>
      </c>
      <c r="AU792">
        <v>2020</v>
      </c>
      <c r="AV792">
        <v>54</v>
      </c>
      <c r="AW792">
        <v>23</v>
      </c>
      <c r="AX792" t="s">
        <v>74</v>
      </c>
      <c r="AY792" t="s">
        <v>74</v>
      </c>
      <c r="AZ792" t="s">
        <v>74</v>
      </c>
      <c r="BA792" t="s">
        <v>74</v>
      </c>
      <c r="BB792">
        <v>15086</v>
      </c>
      <c r="BC792">
        <v>15096</v>
      </c>
      <c r="BD792" t="s">
        <v>74</v>
      </c>
      <c r="BE792" t="s">
        <v>14994</v>
      </c>
      <c r="BF792" t="str">
        <f>HYPERLINK("http://dx.doi.org/10.1021/acs.est.0c05427","http://dx.doi.org/10.1021/acs.est.0c05427")</f>
        <v>http://dx.doi.org/10.1021/acs.est.0c05427</v>
      </c>
      <c r="BG792" t="s">
        <v>74</v>
      </c>
      <c r="BH792" t="s">
        <v>74</v>
      </c>
      <c r="BI792">
        <v>11</v>
      </c>
      <c r="BJ792" t="s">
        <v>2195</v>
      </c>
      <c r="BK792" t="s">
        <v>103</v>
      </c>
      <c r="BL792" t="s">
        <v>2196</v>
      </c>
      <c r="BM792" t="s">
        <v>14995</v>
      </c>
      <c r="BN792">
        <v>33190472</v>
      </c>
      <c r="BO792" t="s">
        <v>74</v>
      </c>
      <c r="BP792" t="s">
        <v>74</v>
      </c>
      <c r="BQ792" t="s">
        <v>74</v>
      </c>
      <c r="BR792" t="s">
        <v>106</v>
      </c>
      <c r="BS792" t="s">
        <v>14996</v>
      </c>
      <c r="BT792" t="str">
        <f>HYPERLINK("https%3A%2F%2Fwww.webofscience.com%2Fwos%2Fwoscc%2Ffull-record%2FWOS:000596728600035","View Full Record in Web of Science")</f>
        <v>View Full Record in Web of Science</v>
      </c>
    </row>
    <row r="793" spans="1:72" x14ac:dyDescent="0.15">
      <c r="A793" t="s">
        <v>72</v>
      </c>
      <c r="B793" t="s">
        <v>14997</v>
      </c>
      <c r="C793" t="s">
        <v>74</v>
      </c>
      <c r="D793" t="s">
        <v>74</v>
      </c>
      <c r="E793" t="s">
        <v>74</v>
      </c>
      <c r="F793" t="s">
        <v>14998</v>
      </c>
      <c r="G793" t="s">
        <v>74</v>
      </c>
      <c r="H793" t="s">
        <v>74</v>
      </c>
      <c r="I793" t="s">
        <v>14999</v>
      </c>
      <c r="J793" t="s">
        <v>2825</v>
      </c>
      <c r="K793" t="s">
        <v>74</v>
      </c>
      <c r="L793" t="s">
        <v>74</v>
      </c>
      <c r="M793" t="s">
        <v>78</v>
      </c>
      <c r="N793" t="s">
        <v>79</v>
      </c>
      <c r="O793" t="s">
        <v>74</v>
      </c>
      <c r="P793" t="s">
        <v>74</v>
      </c>
      <c r="Q793" t="s">
        <v>74</v>
      </c>
      <c r="R793" t="s">
        <v>74</v>
      </c>
      <c r="S793" t="s">
        <v>74</v>
      </c>
      <c r="T793" t="s">
        <v>15000</v>
      </c>
      <c r="U793" t="s">
        <v>15001</v>
      </c>
      <c r="V793" t="s">
        <v>15002</v>
      </c>
      <c r="W793" t="s">
        <v>15003</v>
      </c>
      <c r="X793" t="s">
        <v>15004</v>
      </c>
      <c r="Y793" t="s">
        <v>15005</v>
      </c>
      <c r="Z793" t="s">
        <v>15006</v>
      </c>
      <c r="AA793" t="s">
        <v>15007</v>
      </c>
      <c r="AB793" t="s">
        <v>15008</v>
      </c>
      <c r="AC793" t="s">
        <v>15009</v>
      </c>
      <c r="AD793" t="s">
        <v>15010</v>
      </c>
      <c r="AE793" t="s">
        <v>15011</v>
      </c>
      <c r="AF793" t="s">
        <v>74</v>
      </c>
      <c r="AG793">
        <v>53</v>
      </c>
      <c r="AH793">
        <v>1</v>
      </c>
      <c r="AI793">
        <v>1</v>
      </c>
      <c r="AJ793">
        <v>0</v>
      </c>
      <c r="AK793">
        <v>3</v>
      </c>
      <c r="AL793" t="s">
        <v>418</v>
      </c>
      <c r="AM793" t="s">
        <v>178</v>
      </c>
      <c r="AN793" t="s">
        <v>419</v>
      </c>
      <c r="AO793" t="s">
        <v>2835</v>
      </c>
      <c r="AP793" t="s">
        <v>2836</v>
      </c>
      <c r="AQ793" t="s">
        <v>74</v>
      </c>
      <c r="AR793" t="s">
        <v>2837</v>
      </c>
      <c r="AS793" t="s">
        <v>2838</v>
      </c>
      <c r="AT793" t="s">
        <v>12678</v>
      </c>
      <c r="AU793">
        <v>2020</v>
      </c>
      <c r="AV793">
        <v>211</v>
      </c>
      <c r="AW793" t="s">
        <v>74</v>
      </c>
      <c r="AX793" t="s">
        <v>74</v>
      </c>
      <c r="AY793" t="s">
        <v>74</v>
      </c>
      <c r="AZ793" t="s">
        <v>74</v>
      </c>
      <c r="BA793" t="s">
        <v>74</v>
      </c>
      <c r="BB793" t="s">
        <v>74</v>
      </c>
      <c r="BC793" t="s">
        <v>74</v>
      </c>
      <c r="BD793">
        <v>105455</v>
      </c>
      <c r="BE793" t="s">
        <v>15012</v>
      </c>
      <c r="BF793" t="str">
        <f>HYPERLINK("http://dx.doi.org/10.1016/j.jastp.2020.105455","http://dx.doi.org/10.1016/j.jastp.2020.105455")</f>
        <v>http://dx.doi.org/10.1016/j.jastp.2020.105455</v>
      </c>
      <c r="BG793" t="s">
        <v>74</v>
      </c>
      <c r="BH793" t="s">
        <v>74</v>
      </c>
      <c r="BI793">
        <v>15</v>
      </c>
      <c r="BJ793" t="s">
        <v>2840</v>
      </c>
      <c r="BK793" t="s">
        <v>103</v>
      </c>
      <c r="BL793" t="s">
        <v>2840</v>
      </c>
      <c r="BM793" t="s">
        <v>15013</v>
      </c>
      <c r="BN793" t="s">
        <v>74</v>
      </c>
      <c r="BO793" t="s">
        <v>74</v>
      </c>
      <c r="BP793" t="s">
        <v>74</v>
      </c>
      <c r="BQ793" t="s">
        <v>74</v>
      </c>
      <c r="BR793" t="s">
        <v>106</v>
      </c>
      <c r="BS793" t="s">
        <v>15014</v>
      </c>
      <c r="BT793" t="str">
        <f>HYPERLINK("https%3A%2F%2Fwww.webofscience.com%2Fwos%2Fwoscc%2Ffull-record%2FWOS:000591364700001","View Full Record in Web of Science")</f>
        <v>View Full Record in Web of Science</v>
      </c>
    </row>
    <row r="794" spans="1:72" x14ac:dyDescent="0.15">
      <c r="A794" t="s">
        <v>72</v>
      </c>
      <c r="B794" t="s">
        <v>15015</v>
      </c>
      <c r="C794" t="s">
        <v>74</v>
      </c>
      <c r="D794" t="s">
        <v>74</v>
      </c>
      <c r="E794" t="s">
        <v>74</v>
      </c>
      <c r="F794" t="s">
        <v>15016</v>
      </c>
      <c r="G794" t="s">
        <v>74</v>
      </c>
      <c r="H794" t="s">
        <v>74</v>
      </c>
      <c r="I794" t="s">
        <v>15017</v>
      </c>
      <c r="J794" t="s">
        <v>15018</v>
      </c>
      <c r="K794" t="s">
        <v>74</v>
      </c>
      <c r="L794" t="s">
        <v>74</v>
      </c>
      <c r="M794" t="s">
        <v>78</v>
      </c>
      <c r="N794" t="s">
        <v>79</v>
      </c>
      <c r="O794" t="s">
        <v>74</v>
      </c>
      <c r="P794" t="s">
        <v>74</v>
      </c>
      <c r="Q794" t="s">
        <v>74</v>
      </c>
      <c r="R794" t="s">
        <v>74</v>
      </c>
      <c r="S794" t="s">
        <v>74</v>
      </c>
      <c r="T794" t="s">
        <v>15019</v>
      </c>
      <c r="U794" t="s">
        <v>15020</v>
      </c>
      <c r="V794" t="s">
        <v>15021</v>
      </c>
      <c r="W794" t="s">
        <v>15022</v>
      </c>
      <c r="X794" t="s">
        <v>2238</v>
      </c>
      <c r="Y794" t="s">
        <v>15023</v>
      </c>
      <c r="Z794" t="s">
        <v>15024</v>
      </c>
      <c r="AA794" t="s">
        <v>15025</v>
      </c>
      <c r="AB794" t="s">
        <v>15026</v>
      </c>
      <c r="AC794" t="s">
        <v>15027</v>
      </c>
      <c r="AD794" t="s">
        <v>15027</v>
      </c>
      <c r="AE794" t="s">
        <v>15028</v>
      </c>
      <c r="AF794" t="s">
        <v>74</v>
      </c>
      <c r="AG794">
        <v>61</v>
      </c>
      <c r="AH794">
        <v>4</v>
      </c>
      <c r="AI794">
        <v>5</v>
      </c>
      <c r="AJ794">
        <v>2</v>
      </c>
      <c r="AK794">
        <v>40</v>
      </c>
      <c r="AL794" t="s">
        <v>1291</v>
      </c>
      <c r="AM794" t="s">
        <v>629</v>
      </c>
      <c r="AN794" t="s">
        <v>1292</v>
      </c>
      <c r="AO794" t="s">
        <v>15029</v>
      </c>
      <c r="AP794" t="s">
        <v>15030</v>
      </c>
      <c r="AQ794" t="s">
        <v>74</v>
      </c>
      <c r="AR794" t="s">
        <v>15031</v>
      </c>
      <c r="AS794" t="s">
        <v>15032</v>
      </c>
      <c r="AT794" t="s">
        <v>12678</v>
      </c>
      <c r="AU794">
        <v>2020</v>
      </c>
      <c r="AV794">
        <v>125</v>
      </c>
      <c r="AW794">
        <v>12</v>
      </c>
      <c r="AX794" t="s">
        <v>74</v>
      </c>
      <c r="AY794" t="s">
        <v>74</v>
      </c>
      <c r="AZ794" t="s">
        <v>74</v>
      </c>
      <c r="BA794" t="s">
        <v>74</v>
      </c>
      <c r="BB794" t="s">
        <v>74</v>
      </c>
      <c r="BC794" t="s">
        <v>74</v>
      </c>
      <c r="BD794" t="s">
        <v>15033</v>
      </c>
      <c r="BE794" t="s">
        <v>15034</v>
      </c>
      <c r="BF794" t="str">
        <f>HYPERLINK("http://dx.doi.org/10.1029/2020JG005958","http://dx.doi.org/10.1029/2020JG005958")</f>
        <v>http://dx.doi.org/10.1029/2020JG005958</v>
      </c>
      <c r="BG794" t="s">
        <v>74</v>
      </c>
      <c r="BH794" t="s">
        <v>74</v>
      </c>
      <c r="BI794">
        <v>14</v>
      </c>
      <c r="BJ794" t="s">
        <v>15035</v>
      </c>
      <c r="BK794" t="s">
        <v>103</v>
      </c>
      <c r="BL794" t="s">
        <v>3681</v>
      </c>
      <c r="BM794" t="s">
        <v>15036</v>
      </c>
      <c r="BN794" t="s">
        <v>74</v>
      </c>
      <c r="BO794" t="s">
        <v>74</v>
      </c>
      <c r="BP794" t="s">
        <v>74</v>
      </c>
      <c r="BQ794" t="s">
        <v>74</v>
      </c>
      <c r="BR794" t="s">
        <v>106</v>
      </c>
      <c r="BS794" t="s">
        <v>15037</v>
      </c>
      <c r="BT794" t="str">
        <f>HYPERLINK("https%3A%2F%2Fwww.webofscience.com%2Fwos%2Fwoscc%2Ffull-record%2FWOS:000603282000013","View Full Record in Web of Science")</f>
        <v>View Full Record in Web of Science</v>
      </c>
    </row>
    <row r="795" spans="1:72" x14ac:dyDescent="0.15">
      <c r="A795" t="s">
        <v>72</v>
      </c>
      <c r="B795" t="s">
        <v>15038</v>
      </c>
      <c r="C795" t="s">
        <v>74</v>
      </c>
      <c r="D795" t="s">
        <v>74</v>
      </c>
      <c r="E795" t="s">
        <v>74</v>
      </c>
      <c r="F795" t="s">
        <v>15039</v>
      </c>
      <c r="G795" t="s">
        <v>74</v>
      </c>
      <c r="H795" t="s">
        <v>74</v>
      </c>
      <c r="I795" t="s">
        <v>15040</v>
      </c>
      <c r="J795" t="s">
        <v>15041</v>
      </c>
      <c r="K795" t="s">
        <v>74</v>
      </c>
      <c r="L795" t="s">
        <v>74</v>
      </c>
      <c r="M795" t="s">
        <v>78</v>
      </c>
      <c r="N795" t="s">
        <v>79</v>
      </c>
      <c r="O795" t="s">
        <v>74</v>
      </c>
      <c r="P795" t="s">
        <v>74</v>
      </c>
      <c r="Q795" t="s">
        <v>74</v>
      </c>
      <c r="R795" t="s">
        <v>74</v>
      </c>
      <c r="S795" t="s">
        <v>74</v>
      </c>
      <c r="T795" t="s">
        <v>74</v>
      </c>
      <c r="U795" t="s">
        <v>15042</v>
      </c>
      <c r="V795" t="s">
        <v>15043</v>
      </c>
      <c r="W795" t="s">
        <v>15044</v>
      </c>
      <c r="X795" t="s">
        <v>15045</v>
      </c>
      <c r="Y795" t="s">
        <v>15046</v>
      </c>
      <c r="Z795" t="s">
        <v>15047</v>
      </c>
      <c r="AA795" t="s">
        <v>15048</v>
      </c>
      <c r="AB795" t="s">
        <v>15049</v>
      </c>
      <c r="AC795" t="s">
        <v>15050</v>
      </c>
      <c r="AD795" t="s">
        <v>15051</v>
      </c>
      <c r="AE795" t="s">
        <v>15052</v>
      </c>
      <c r="AF795" t="s">
        <v>74</v>
      </c>
      <c r="AG795">
        <v>104</v>
      </c>
      <c r="AH795">
        <v>35</v>
      </c>
      <c r="AI795">
        <v>38</v>
      </c>
      <c r="AJ795">
        <v>1</v>
      </c>
      <c r="AK795">
        <v>29</v>
      </c>
      <c r="AL795" t="s">
        <v>6450</v>
      </c>
      <c r="AM795" t="s">
        <v>6451</v>
      </c>
      <c r="AN795" t="s">
        <v>6452</v>
      </c>
      <c r="AO795" t="s">
        <v>15053</v>
      </c>
      <c r="AP795" t="s">
        <v>15054</v>
      </c>
      <c r="AQ795" t="s">
        <v>74</v>
      </c>
      <c r="AR795" t="s">
        <v>15055</v>
      </c>
      <c r="AS795" t="s">
        <v>15056</v>
      </c>
      <c r="AT795" t="s">
        <v>12678</v>
      </c>
      <c r="AU795">
        <v>2020</v>
      </c>
      <c r="AV795">
        <v>18</v>
      </c>
      <c r="AW795">
        <v>12</v>
      </c>
      <c r="AX795" t="s">
        <v>74</v>
      </c>
      <c r="AY795" t="s">
        <v>74</v>
      </c>
      <c r="AZ795" t="s">
        <v>74</v>
      </c>
      <c r="BA795" t="s">
        <v>74</v>
      </c>
      <c r="BB795" t="s">
        <v>74</v>
      </c>
      <c r="BC795" t="s">
        <v>74</v>
      </c>
      <c r="BD795" t="s">
        <v>15057</v>
      </c>
      <c r="BE795" t="s">
        <v>15058</v>
      </c>
      <c r="BF795" t="str">
        <f>HYPERLINK("http://dx.doi.org/10.1371/journal.pbio.3000702","http://dx.doi.org/10.1371/journal.pbio.3000702")</f>
        <v>http://dx.doi.org/10.1371/journal.pbio.3000702</v>
      </c>
      <c r="BG795" t="s">
        <v>74</v>
      </c>
      <c r="BH795" t="s">
        <v>74</v>
      </c>
      <c r="BI795">
        <v>20</v>
      </c>
      <c r="BJ795" t="s">
        <v>15059</v>
      </c>
      <c r="BK795" t="s">
        <v>103</v>
      </c>
      <c r="BL795" t="s">
        <v>15060</v>
      </c>
      <c r="BM795" t="s">
        <v>15061</v>
      </c>
      <c r="BN795">
        <v>33370276</v>
      </c>
      <c r="BO795" t="s">
        <v>958</v>
      </c>
      <c r="BP795" t="s">
        <v>74</v>
      </c>
      <c r="BQ795" t="s">
        <v>74</v>
      </c>
      <c r="BR795" t="s">
        <v>106</v>
      </c>
      <c r="BS795" t="s">
        <v>15062</v>
      </c>
      <c r="BT795" t="str">
        <f>HYPERLINK("https%3A%2F%2Fwww.webofscience.com%2Fwos%2Fwoscc%2Ffull-record%2FWOS:000603611300002","View Full Record in Web of Science")</f>
        <v>View Full Record in Web of Science</v>
      </c>
    </row>
    <row r="796" spans="1:72" x14ac:dyDescent="0.15">
      <c r="A796" t="s">
        <v>72</v>
      </c>
      <c r="B796" t="s">
        <v>15063</v>
      </c>
      <c r="C796" t="s">
        <v>74</v>
      </c>
      <c r="D796" t="s">
        <v>74</v>
      </c>
      <c r="E796" t="s">
        <v>74</v>
      </c>
      <c r="F796" t="s">
        <v>15064</v>
      </c>
      <c r="G796" t="s">
        <v>74</v>
      </c>
      <c r="H796" t="s">
        <v>74</v>
      </c>
      <c r="I796" t="s">
        <v>15065</v>
      </c>
      <c r="J796" t="s">
        <v>8517</v>
      </c>
      <c r="K796" t="s">
        <v>74</v>
      </c>
      <c r="L796" t="s">
        <v>74</v>
      </c>
      <c r="M796" t="s">
        <v>78</v>
      </c>
      <c r="N796" t="s">
        <v>79</v>
      </c>
      <c r="O796" t="s">
        <v>74</v>
      </c>
      <c r="P796" t="s">
        <v>74</v>
      </c>
      <c r="Q796" t="s">
        <v>74</v>
      </c>
      <c r="R796" t="s">
        <v>74</v>
      </c>
      <c r="S796" t="s">
        <v>74</v>
      </c>
      <c r="T796" t="s">
        <v>15066</v>
      </c>
      <c r="U796" t="s">
        <v>15067</v>
      </c>
      <c r="V796" t="s">
        <v>15068</v>
      </c>
      <c r="W796" t="s">
        <v>15069</v>
      </c>
      <c r="X796" t="s">
        <v>15070</v>
      </c>
      <c r="Y796" t="s">
        <v>15071</v>
      </c>
      <c r="Z796" t="s">
        <v>15072</v>
      </c>
      <c r="AA796" t="s">
        <v>15073</v>
      </c>
      <c r="AB796" t="s">
        <v>15074</v>
      </c>
      <c r="AC796" t="s">
        <v>15075</v>
      </c>
      <c r="AD796" t="s">
        <v>15076</v>
      </c>
      <c r="AE796" t="s">
        <v>15077</v>
      </c>
      <c r="AF796" t="s">
        <v>74</v>
      </c>
      <c r="AG796">
        <v>82</v>
      </c>
      <c r="AH796">
        <v>9</v>
      </c>
      <c r="AI796">
        <v>11</v>
      </c>
      <c r="AJ796">
        <v>7</v>
      </c>
      <c r="AK796">
        <v>44</v>
      </c>
      <c r="AL796" t="s">
        <v>8526</v>
      </c>
      <c r="AM796" t="s">
        <v>2921</v>
      </c>
      <c r="AN796" t="s">
        <v>8527</v>
      </c>
      <c r="AO796" t="s">
        <v>74</v>
      </c>
      <c r="AP796" t="s">
        <v>8528</v>
      </c>
      <c r="AQ796" t="s">
        <v>74</v>
      </c>
      <c r="AR796" t="s">
        <v>8529</v>
      </c>
      <c r="AS796" t="s">
        <v>8530</v>
      </c>
      <c r="AT796" t="s">
        <v>12678</v>
      </c>
      <c r="AU796">
        <v>2020</v>
      </c>
      <c r="AV796">
        <v>12</v>
      </c>
      <c r="AW796">
        <v>24</v>
      </c>
      <c r="AX796" t="s">
        <v>74</v>
      </c>
      <c r="AY796" t="s">
        <v>74</v>
      </c>
      <c r="AZ796" t="s">
        <v>74</v>
      </c>
      <c r="BA796" t="s">
        <v>74</v>
      </c>
      <c r="BB796" t="s">
        <v>74</v>
      </c>
      <c r="BC796" t="s">
        <v>74</v>
      </c>
      <c r="BD796">
        <v>4098</v>
      </c>
      <c r="BE796" t="s">
        <v>15078</v>
      </c>
      <c r="BF796" t="str">
        <f>HYPERLINK("http://dx.doi.org/10.3390/rs12244098","http://dx.doi.org/10.3390/rs12244098")</f>
        <v>http://dx.doi.org/10.3390/rs12244098</v>
      </c>
      <c r="BG796" t="s">
        <v>74</v>
      </c>
      <c r="BH796" t="s">
        <v>74</v>
      </c>
      <c r="BI796">
        <v>27</v>
      </c>
      <c r="BJ796" t="s">
        <v>8532</v>
      </c>
      <c r="BK796" t="s">
        <v>103</v>
      </c>
      <c r="BL796" t="s">
        <v>8533</v>
      </c>
      <c r="BM796" t="s">
        <v>15079</v>
      </c>
      <c r="BN796" t="s">
        <v>74</v>
      </c>
      <c r="BO796" t="s">
        <v>326</v>
      </c>
      <c r="BP796" t="s">
        <v>74</v>
      </c>
      <c r="BQ796" t="s">
        <v>74</v>
      </c>
      <c r="BR796" t="s">
        <v>106</v>
      </c>
      <c r="BS796" t="s">
        <v>15080</v>
      </c>
      <c r="BT796" t="str">
        <f>HYPERLINK("https%3A%2F%2Fwww.webofscience.com%2Fwos%2Fwoscc%2Ffull-record%2FWOS:000603274500001","View Full Record in Web of Science")</f>
        <v>View Full Record in Web of Science</v>
      </c>
    </row>
    <row r="797" spans="1:72" x14ac:dyDescent="0.15">
      <c r="A797" t="s">
        <v>72</v>
      </c>
      <c r="B797" t="s">
        <v>4643</v>
      </c>
      <c r="C797" t="s">
        <v>74</v>
      </c>
      <c r="D797" t="s">
        <v>74</v>
      </c>
      <c r="E797" t="s">
        <v>74</v>
      </c>
      <c r="F797" t="s">
        <v>15081</v>
      </c>
      <c r="G797" t="s">
        <v>74</v>
      </c>
      <c r="H797" t="s">
        <v>74</v>
      </c>
      <c r="I797" t="s">
        <v>15082</v>
      </c>
      <c r="J797" t="s">
        <v>15083</v>
      </c>
      <c r="K797" t="s">
        <v>74</v>
      </c>
      <c r="L797" t="s">
        <v>74</v>
      </c>
      <c r="M797" t="s">
        <v>78</v>
      </c>
      <c r="N797" t="s">
        <v>79</v>
      </c>
      <c r="O797" t="s">
        <v>74</v>
      </c>
      <c r="P797" t="s">
        <v>74</v>
      </c>
      <c r="Q797" t="s">
        <v>74</v>
      </c>
      <c r="R797" t="s">
        <v>74</v>
      </c>
      <c r="S797" t="s">
        <v>74</v>
      </c>
      <c r="T797" t="s">
        <v>15084</v>
      </c>
      <c r="U797" t="s">
        <v>15085</v>
      </c>
      <c r="V797" t="s">
        <v>15086</v>
      </c>
      <c r="W797" t="s">
        <v>15087</v>
      </c>
      <c r="X797" t="s">
        <v>15088</v>
      </c>
      <c r="Y797" t="s">
        <v>15089</v>
      </c>
      <c r="Z797" t="s">
        <v>15090</v>
      </c>
      <c r="AA797" t="s">
        <v>4658</v>
      </c>
      <c r="AB797" t="s">
        <v>15091</v>
      </c>
      <c r="AC797" t="s">
        <v>15092</v>
      </c>
      <c r="AD797" t="s">
        <v>15093</v>
      </c>
      <c r="AE797" t="s">
        <v>15094</v>
      </c>
      <c r="AF797" t="s">
        <v>74</v>
      </c>
      <c r="AG797">
        <v>28</v>
      </c>
      <c r="AH797">
        <v>9</v>
      </c>
      <c r="AI797">
        <v>10</v>
      </c>
      <c r="AJ797">
        <v>1</v>
      </c>
      <c r="AK797">
        <v>12</v>
      </c>
      <c r="AL797" t="s">
        <v>5603</v>
      </c>
      <c r="AM797" t="s">
        <v>5604</v>
      </c>
      <c r="AN797" t="s">
        <v>5605</v>
      </c>
      <c r="AO797" t="s">
        <v>15095</v>
      </c>
      <c r="AP797" t="s">
        <v>15096</v>
      </c>
      <c r="AQ797" t="s">
        <v>74</v>
      </c>
      <c r="AR797" t="s">
        <v>15097</v>
      </c>
      <c r="AS797" t="s">
        <v>15098</v>
      </c>
      <c r="AT797" t="s">
        <v>12678</v>
      </c>
      <c r="AU797">
        <v>2020</v>
      </c>
      <c r="AV797">
        <v>19</v>
      </c>
      <c r="AW797">
        <v>12</v>
      </c>
      <c r="AX797" t="s">
        <v>74</v>
      </c>
      <c r="AY797" t="s">
        <v>74</v>
      </c>
      <c r="AZ797" t="s">
        <v>74</v>
      </c>
      <c r="BA797" t="s">
        <v>74</v>
      </c>
      <c r="BB797">
        <v>2172</v>
      </c>
      <c r="BC797">
        <v>2176</v>
      </c>
      <c r="BD797" t="s">
        <v>74</v>
      </c>
      <c r="BE797" t="s">
        <v>15099</v>
      </c>
      <c r="BF797" t="str">
        <f>HYPERLINK("http://dx.doi.org/10.1109/LAWP.2020.3026723","http://dx.doi.org/10.1109/LAWP.2020.3026723")</f>
        <v>http://dx.doi.org/10.1109/LAWP.2020.3026723</v>
      </c>
      <c r="BG797" t="s">
        <v>74</v>
      </c>
      <c r="BH797" t="s">
        <v>74</v>
      </c>
      <c r="BI797">
        <v>5</v>
      </c>
      <c r="BJ797" t="s">
        <v>6570</v>
      </c>
      <c r="BK797" t="s">
        <v>103</v>
      </c>
      <c r="BL797" t="s">
        <v>6571</v>
      </c>
      <c r="BM797" t="s">
        <v>15100</v>
      </c>
      <c r="BN797" t="s">
        <v>74</v>
      </c>
      <c r="BO797" t="s">
        <v>1195</v>
      </c>
      <c r="BP797" t="s">
        <v>74</v>
      </c>
      <c r="BQ797" t="s">
        <v>74</v>
      </c>
      <c r="BR797" t="s">
        <v>106</v>
      </c>
      <c r="BS797" t="s">
        <v>15101</v>
      </c>
      <c r="BT797" t="str">
        <f>HYPERLINK("https%3A%2F%2Fwww.webofscience.com%2Fwos%2Fwoscc%2Ffull-record%2FWOS:000603036600034","View Full Record in Web of Science")</f>
        <v>View Full Record in Web of Science</v>
      </c>
    </row>
    <row r="798" spans="1:72" x14ac:dyDescent="0.15">
      <c r="A798" t="s">
        <v>72</v>
      </c>
      <c r="B798" t="s">
        <v>15102</v>
      </c>
      <c r="C798" t="s">
        <v>74</v>
      </c>
      <c r="D798" t="s">
        <v>74</v>
      </c>
      <c r="E798" t="s">
        <v>74</v>
      </c>
      <c r="F798" t="s">
        <v>15103</v>
      </c>
      <c r="G798" t="s">
        <v>74</v>
      </c>
      <c r="H798" t="s">
        <v>74</v>
      </c>
      <c r="I798" t="s">
        <v>15104</v>
      </c>
      <c r="J798" t="s">
        <v>14917</v>
      </c>
      <c r="K798" t="s">
        <v>74</v>
      </c>
      <c r="L798" t="s">
        <v>74</v>
      </c>
      <c r="M798" t="s">
        <v>78</v>
      </c>
      <c r="N798" t="s">
        <v>79</v>
      </c>
      <c r="O798" t="s">
        <v>74</v>
      </c>
      <c r="P798" t="s">
        <v>74</v>
      </c>
      <c r="Q798" t="s">
        <v>74</v>
      </c>
      <c r="R798" t="s">
        <v>74</v>
      </c>
      <c r="S798" t="s">
        <v>74</v>
      </c>
      <c r="T798" t="s">
        <v>15105</v>
      </c>
      <c r="U798" t="s">
        <v>15106</v>
      </c>
      <c r="V798" t="s">
        <v>15107</v>
      </c>
      <c r="W798" t="s">
        <v>15108</v>
      </c>
      <c r="X798" t="s">
        <v>15109</v>
      </c>
      <c r="Y798" t="s">
        <v>15110</v>
      </c>
      <c r="Z798" t="s">
        <v>15111</v>
      </c>
      <c r="AA798" t="s">
        <v>15112</v>
      </c>
      <c r="AB798" t="s">
        <v>15113</v>
      </c>
      <c r="AC798" t="s">
        <v>15114</v>
      </c>
      <c r="AD798" t="s">
        <v>15115</v>
      </c>
      <c r="AE798" t="s">
        <v>15116</v>
      </c>
      <c r="AF798" t="s">
        <v>74</v>
      </c>
      <c r="AG798">
        <v>27</v>
      </c>
      <c r="AH798">
        <v>67</v>
      </c>
      <c r="AI798">
        <v>74</v>
      </c>
      <c r="AJ798">
        <v>12</v>
      </c>
      <c r="AK798">
        <v>82</v>
      </c>
      <c r="AL798" t="s">
        <v>418</v>
      </c>
      <c r="AM798" t="s">
        <v>178</v>
      </c>
      <c r="AN798" t="s">
        <v>419</v>
      </c>
      <c r="AO798" t="s">
        <v>14929</v>
      </c>
      <c r="AP798" t="s">
        <v>14930</v>
      </c>
      <c r="AQ798" t="s">
        <v>74</v>
      </c>
      <c r="AR798" t="s">
        <v>14931</v>
      </c>
      <c r="AS798" t="s">
        <v>14932</v>
      </c>
      <c r="AT798" t="s">
        <v>12678</v>
      </c>
      <c r="AU798">
        <v>2020</v>
      </c>
      <c r="AV798">
        <v>161</v>
      </c>
      <c r="AW798" t="s">
        <v>74</v>
      </c>
      <c r="AX798" t="s">
        <v>4669</v>
      </c>
      <c r="AY798" t="s">
        <v>74</v>
      </c>
      <c r="AZ798" t="s">
        <v>74</v>
      </c>
      <c r="BA798" t="s">
        <v>74</v>
      </c>
      <c r="BB798" t="s">
        <v>74</v>
      </c>
      <c r="BC798" t="s">
        <v>74</v>
      </c>
      <c r="BD798">
        <v>111811</v>
      </c>
      <c r="BE798" t="s">
        <v>15117</v>
      </c>
      <c r="BF798" t="str">
        <f>HYPERLINK("http://dx.doi.org/10.1016/j.marpolbul.2020.111811","http://dx.doi.org/10.1016/j.marpolbul.2020.111811")</f>
        <v>http://dx.doi.org/10.1016/j.marpolbul.2020.111811</v>
      </c>
      <c r="BG798" t="s">
        <v>74</v>
      </c>
      <c r="BH798" t="s">
        <v>74</v>
      </c>
      <c r="BI798">
        <v>6</v>
      </c>
      <c r="BJ798" t="s">
        <v>507</v>
      </c>
      <c r="BK798" t="s">
        <v>103</v>
      </c>
      <c r="BL798" t="s">
        <v>508</v>
      </c>
      <c r="BM798" t="s">
        <v>15118</v>
      </c>
      <c r="BN798">
        <v>33157507</v>
      </c>
      <c r="BO798" t="s">
        <v>189</v>
      </c>
      <c r="BP798" t="s">
        <v>74</v>
      </c>
      <c r="BQ798" t="s">
        <v>74</v>
      </c>
      <c r="BR798" t="s">
        <v>106</v>
      </c>
      <c r="BS798" t="s">
        <v>15119</v>
      </c>
      <c r="BT798" t="str">
        <f>HYPERLINK("https%3A%2F%2Fwww.webofscience.com%2Fwos%2Fwoscc%2Ffull-record%2FWOS:000600317600003","View Full Record in Web of Science")</f>
        <v>View Full Record in Web of Science</v>
      </c>
    </row>
    <row r="799" spans="1:72" x14ac:dyDescent="0.15">
      <c r="A799" t="s">
        <v>72</v>
      </c>
      <c r="B799" t="s">
        <v>15120</v>
      </c>
      <c r="C799" t="s">
        <v>74</v>
      </c>
      <c r="D799" t="s">
        <v>74</v>
      </c>
      <c r="E799" t="s">
        <v>74</v>
      </c>
      <c r="F799" t="s">
        <v>15121</v>
      </c>
      <c r="G799" t="s">
        <v>74</v>
      </c>
      <c r="H799" t="s">
        <v>74</v>
      </c>
      <c r="I799" t="s">
        <v>15122</v>
      </c>
      <c r="J799" t="s">
        <v>14917</v>
      </c>
      <c r="K799" t="s">
        <v>74</v>
      </c>
      <c r="L799" t="s">
        <v>74</v>
      </c>
      <c r="M799" t="s">
        <v>78</v>
      </c>
      <c r="N799" t="s">
        <v>79</v>
      </c>
      <c r="O799" t="s">
        <v>74</v>
      </c>
      <c r="P799" t="s">
        <v>74</v>
      </c>
      <c r="Q799" t="s">
        <v>74</v>
      </c>
      <c r="R799" t="s">
        <v>74</v>
      </c>
      <c r="S799" t="s">
        <v>74</v>
      </c>
      <c r="T799" t="s">
        <v>15123</v>
      </c>
      <c r="U799" t="s">
        <v>15124</v>
      </c>
      <c r="V799" t="s">
        <v>15125</v>
      </c>
      <c r="W799" t="s">
        <v>15126</v>
      </c>
      <c r="X799" t="s">
        <v>15127</v>
      </c>
      <c r="Y799" t="s">
        <v>15128</v>
      </c>
      <c r="Z799" t="s">
        <v>15129</v>
      </c>
      <c r="AA799" t="s">
        <v>15130</v>
      </c>
      <c r="AB799" t="s">
        <v>15131</v>
      </c>
      <c r="AC799" t="s">
        <v>15132</v>
      </c>
      <c r="AD799" t="s">
        <v>15132</v>
      </c>
      <c r="AE799" t="s">
        <v>15133</v>
      </c>
      <c r="AF799" t="s">
        <v>74</v>
      </c>
      <c r="AG799">
        <v>42</v>
      </c>
      <c r="AH799">
        <v>25</v>
      </c>
      <c r="AI799">
        <v>28</v>
      </c>
      <c r="AJ799">
        <v>8</v>
      </c>
      <c r="AK799">
        <v>68</v>
      </c>
      <c r="AL799" t="s">
        <v>418</v>
      </c>
      <c r="AM799" t="s">
        <v>178</v>
      </c>
      <c r="AN799" t="s">
        <v>419</v>
      </c>
      <c r="AO799" t="s">
        <v>14929</v>
      </c>
      <c r="AP799" t="s">
        <v>14930</v>
      </c>
      <c r="AQ799" t="s">
        <v>74</v>
      </c>
      <c r="AR799" t="s">
        <v>14931</v>
      </c>
      <c r="AS799" t="s">
        <v>14932</v>
      </c>
      <c r="AT799" t="s">
        <v>12678</v>
      </c>
      <c r="AU799">
        <v>2020</v>
      </c>
      <c r="AV799">
        <v>161</v>
      </c>
      <c r="AW799" t="s">
        <v>74</v>
      </c>
      <c r="AX799" t="s">
        <v>14933</v>
      </c>
      <c r="AY799" t="s">
        <v>74</v>
      </c>
      <c r="AZ799" t="s">
        <v>74</v>
      </c>
      <c r="BA799" t="s">
        <v>74</v>
      </c>
      <c r="BB799" t="s">
        <v>74</v>
      </c>
      <c r="BC799" t="s">
        <v>74</v>
      </c>
      <c r="BD799">
        <v>111745</v>
      </c>
      <c r="BE799" t="s">
        <v>15134</v>
      </c>
      <c r="BF799" t="str">
        <f>HYPERLINK("http://dx.doi.org/10.1016/j.marpolbul.2020.111745","http://dx.doi.org/10.1016/j.marpolbul.2020.111745")</f>
        <v>http://dx.doi.org/10.1016/j.marpolbul.2020.111745</v>
      </c>
      <c r="BG799" t="s">
        <v>74</v>
      </c>
      <c r="BH799" t="s">
        <v>74</v>
      </c>
      <c r="BI799">
        <v>6</v>
      </c>
      <c r="BJ799" t="s">
        <v>507</v>
      </c>
      <c r="BK799" t="s">
        <v>103</v>
      </c>
      <c r="BL799" t="s">
        <v>508</v>
      </c>
      <c r="BM799" t="s">
        <v>15135</v>
      </c>
      <c r="BN799">
        <v>33080384</v>
      </c>
      <c r="BO799" t="s">
        <v>74</v>
      </c>
      <c r="BP799" t="s">
        <v>74</v>
      </c>
      <c r="BQ799" t="s">
        <v>74</v>
      </c>
      <c r="BR799" t="s">
        <v>106</v>
      </c>
      <c r="BS799" t="s">
        <v>15136</v>
      </c>
      <c r="BT799" t="str">
        <f>HYPERLINK("https%3A%2F%2Fwww.webofscience.com%2Fwos%2Fwoscc%2Ffull-record%2FWOS:000599849000001","View Full Record in Web of Science")</f>
        <v>View Full Record in Web of Science</v>
      </c>
    </row>
    <row r="800" spans="1:72" x14ac:dyDescent="0.15">
      <c r="A800" t="s">
        <v>72</v>
      </c>
      <c r="B800" t="s">
        <v>15137</v>
      </c>
      <c r="C800" t="s">
        <v>74</v>
      </c>
      <c r="D800" t="s">
        <v>74</v>
      </c>
      <c r="E800" t="s">
        <v>74</v>
      </c>
      <c r="F800" t="s">
        <v>15138</v>
      </c>
      <c r="G800" t="s">
        <v>74</v>
      </c>
      <c r="H800" t="s">
        <v>74</v>
      </c>
      <c r="I800" t="s">
        <v>15139</v>
      </c>
      <c r="J800" t="s">
        <v>8517</v>
      </c>
      <c r="K800" t="s">
        <v>74</v>
      </c>
      <c r="L800" t="s">
        <v>74</v>
      </c>
      <c r="M800" t="s">
        <v>78</v>
      </c>
      <c r="N800" t="s">
        <v>79</v>
      </c>
      <c r="O800" t="s">
        <v>74</v>
      </c>
      <c r="P800" t="s">
        <v>74</v>
      </c>
      <c r="Q800" t="s">
        <v>74</v>
      </c>
      <c r="R800" t="s">
        <v>74</v>
      </c>
      <c r="S800" t="s">
        <v>74</v>
      </c>
      <c r="T800" t="s">
        <v>15140</v>
      </c>
      <c r="U800" t="s">
        <v>15141</v>
      </c>
      <c r="V800" t="s">
        <v>15142</v>
      </c>
      <c r="W800" t="s">
        <v>15143</v>
      </c>
      <c r="X800" t="s">
        <v>15144</v>
      </c>
      <c r="Y800" t="s">
        <v>15145</v>
      </c>
      <c r="Z800" t="s">
        <v>15146</v>
      </c>
      <c r="AA800" t="s">
        <v>15147</v>
      </c>
      <c r="AB800" t="s">
        <v>15148</v>
      </c>
      <c r="AC800" t="s">
        <v>15149</v>
      </c>
      <c r="AD800" t="s">
        <v>15150</v>
      </c>
      <c r="AE800" t="s">
        <v>15151</v>
      </c>
      <c r="AF800" t="s">
        <v>74</v>
      </c>
      <c r="AG800">
        <v>37</v>
      </c>
      <c r="AH800">
        <v>4</v>
      </c>
      <c r="AI800">
        <v>6</v>
      </c>
      <c r="AJ800">
        <v>4</v>
      </c>
      <c r="AK800">
        <v>17</v>
      </c>
      <c r="AL800" t="s">
        <v>8526</v>
      </c>
      <c r="AM800" t="s">
        <v>2921</v>
      </c>
      <c r="AN800" t="s">
        <v>8527</v>
      </c>
      <c r="AO800" t="s">
        <v>74</v>
      </c>
      <c r="AP800" t="s">
        <v>8528</v>
      </c>
      <c r="AQ800" t="s">
        <v>74</v>
      </c>
      <c r="AR800" t="s">
        <v>8529</v>
      </c>
      <c r="AS800" t="s">
        <v>8530</v>
      </c>
      <c r="AT800" t="s">
        <v>12678</v>
      </c>
      <c r="AU800">
        <v>2020</v>
      </c>
      <c r="AV800">
        <v>12</v>
      </c>
      <c r="AW800">
        <v>24</v>
      </c>
      <c r="AX800" t="s">
        <v>74</v>
      </c>
      <c r="AY800" t="s">
        <v>74</v>
      </c>
      <c r="AZ800" t="s">
        <v>74</v>
      </c>
      <c r="BA800" t="s">
        <v>74</v>
      </c>
      <c r="BB800" t="s">
        <v>74</v>
      </c>
      <c r="BC800" t="s">
        <v>74</v>
      </c>
      <c r="BD800">
        <v>4178</v>
      </c>
      <c r="BE800" t="s">
        <v>15152</v>
      </c>
      <c r="BF800" t="str">
        <f>HYPERLINK("http://dx.doi.org/10.3390/rs12244178","http://dx.doi.org/10.3390/rs12244178")</f>
        <v>http://dx.doi.org/10.3390/rs12244178</v>
      </c>
      <c r="BG800" t="s">
        <v>74</v>
      </c>
      <c r="BH800" t="s">
        <v>74</v>
      </c>
      <c r="BI800">
        <v>14</v>
      </c>
      <c r="BJ800" t="s">
        <v>8532</v>
      </c>
      <c r="BK800" t="s">
        <v>103</v>
      </c>
      <c r="BL800" t="s">
        <v>8533</v>
      </c>
      <c r="BM800" t="s">
        <v>15153</v>
      </c>
      <c r="BN800" t="s">
        <v>74</v>
      </c>
      <c r="BO800" t="s">
        <v>326</v>
      </c>
      <c r="BP800" t="s">
        <v>74</v>
      </c>
      <c r="BQ800" t="s">
        <v>74</v>
      </c>
      <c r="BR800" t="s">
        <v>106</v>
      </c>
      <c r="BS800" t="s">
        <v>15154</v>
      </c>
      <c r="BT800" t="str">
        <f>HYPERLINK("https%3A%2F%2Fwww.webofscience.com%2Fwos%2Fwoscc%2Ffull-record%2FWOS:000603314300001","View Full Record in Web of Science")</f>
        <v>View Full Record in Web of Science</v>
      </c>
    </row>
    <row r="801" spans="1:72" x14ac:dyDescent="0.15">
      <c r="A801" t="s">
        <v>72</v>
      </c>
      <c r="B801" t="s">
        <v>15155</v>
      </c>
      <c r="C801" t="s">
        <v>74</v>
      </c>
      <c r="D801" t="s">
        <v>74</v>
      </c>
      <c r="E801" t="s">
        <v>74</v>
      </c>
      <c r="F801" t="s">
        <v>15156</v>
      </c>
      <c r="G801" t="s">
        <v>74</v>
      </c>
      <c r="H801" t="s">
        <v>74</v>
      </c>
      <c r="I801" t="s">
        <v>15157</v>
      </c>
      <c r="J801" t="s">
        <v>8517</v>
      </c>
      <c r="K801" t="s">
        <v>74</v>
      </c>
      <c r="L801" t="s">
        <v>74</v>
      </c>
      <c r="M801" t="s">
        <v>78</v>
      </c>
      <c r="N801" t="s">
        <v>79</v>
      </c>
      <c r="O801" t="s">
        <v>74</v>
      </c>
      <c r="P801" t="s">
        <v>74</v>
      </c>
      <c r="Q801" t="s">
        <v>74</v>
      </c>
      <c r="R801" t="s">
        <v>74</v>
      </c>
      <c r="S801" t="s">
        <v>74</v>
      </c>
      <c r="T801" t="s">
        <v>15158</v>
      </c>
      <c r="U801" t="s">
        <v>15159</v>
      </c>
      <c r="V801" t="s">
        <v>15160</v>
      </c>
      <c r="W801" t="s">
        <v>15161</v>
      </c>
      <c r="X801" t="s">
        <v>15162</v>
      </c>
      <c r="Y801" t="s">
        <v>15163</v>
      </c>
      <c r="Z801" t="s">
        <v>15164</v>
      </c>
      <c r="AA801" t="s">
        <v>15165</v>
      </c>
      <c r="AB801" t="s">
        <v>15166</v>
      </c>
      <c r="AC801" t="s">
        <v>15167</v>
      </c>
      <c r="AD801" t="s">
        <v>15168</v>
      </c>
      <c r="AE801" t="s">
        <v>15169</v>
      </c>
      <c r="AF801" t="s">
        <v>74</v>
      </c>
      <c r="AG801">
        <v>60</v>
      </c>
      <c r="AH801">
        <v>16</v>
      </c>
      <c r="AI801">
        <v>19</v>
      </c>
      <c r="AJ801">
        <v>6</v>
      </c>
      <c r="AK801">
        <v>16</v>
      </c>
      <c r="AL801" t="s">
        <v>8526</v>
      </c>
      <c r="AM801" t="s">
        <v>2921</v>
      </c>
      <c r="AN801" t="s">
        <v>8527</v>
      </c>
      <c r="AO801" t="s">
        <v>74</v>
      </c>
      <c r="AP801" t="s">
        <v>8528</v>
      </c>
      <c r="AQ801" t="s">
        <v>74</v>
      </c>
      <c r="AR801" t="s">
        <v>8529</v>
      </c>
      <c r="AS801" t="s">
        <v>8530</v>
      </c>
      <c r="AT801" t="s">
        <v>12678</v>
      </c>
      <c r="AU801">
        <v>2020</v>
      </c>
      <c r="AV801">
        <v>12</v>
      </c>
      <c r="AW801">
        <v>24</v>
      </c>
      <c r="AX801" t="s">
        <v>74</v>
      </c>
      <c r="AY801" t="s">
        <v>74</v>
      </c>
      <c r="AZ801" t="s">
        <v>74</v>
      </c>
      <c r="BA801" t="s">
        <v>74</v>
      </c>
      <c r="BB801" t="s">
        <v>74</v>
      </c>
      <c r="BC801" t="s">
        <v>74</v>
      </c>
      <c r="BD801">
        <v>4160</v>
      </c>
      <c r="BE801" t="s">
        <v>15170</v>
      </c>
      <c r="BF801" t="str">
        <f>HYPERLINK("http://dx.doi.org/10.3390/rs12244160","http://dx.doi.org/10.3390/rs12244160")</f>
        <v>http://dx.doi.org/10.3390/rs12244160</v>
      </c>
      <c r="BG801" t="s">
        <v>74</v>
      </c>
      <c r="BH801" t="s">
        <v>74</v>
      </c>
      <c r="BI801">
        <v>32</v>
      </c>
      <c r="BJ801" t="s">
        <v>8532</v>
      </c>
      <c r="BK801" t="s">
        <v>103</v>
      </c>
      <c r="BL801" t="s">
        <v>8533</v>
      </c>
      <c r="BM801" t="s">
        <v>15171</v>
      </c>
      <c r="BN801" t="s">
        <v>74</v>
      </c>
      <c r="BO801" t="s">
        <v>326</v>
      </c>
      <c r="BP801" t="s">
        <v>74</v>
      </c>
      <c r="BQ801" t="s">
        <v>74</v>
      </c>
      <c r="BR801" t="s">
        <v>106</v>
      </c>
      <c r="BS801" t="s">
        <v>15172</v>
      </c>
      <c r="BT801" t="str">
        <f>HYPERLINK("https%3A%2F%2Fwww.webofscience.com%2Fwos%2Fwoscc%2Ffull-record%2FWOS:000603218700001","View Full Record in Web of Science")</f>
        <v>View Full Record in Web of Science</v>
      </c>
    </row>
    <row r="802" spans="1:72" x14ac:dyDescent="0.15">
      <c r="A802" t="s">
        <v>72</v>
      </c>
      <c r="B802" t="s">
        <v>15173</v>
      </c>
      <c r="C802" t="s">
        <v>74</v>
      </c>
      <c r="D802" t="s">
        <v>74</v>
      </c>
      <c r="E802" t="s">
        <v>74</v>
      </c>
      <c r="F802" t="s">
        <v>15174</v>
      </c>
      <c r="G802" t="s">
        <v>74</v>
      </c>
      <c r="H802" t="s">
        <v>74</v>
      </c>
      <c r="I802" t="s">
        <v>15175</v>
      </c>
      <c r="J802" t="s">
        <v>15176</v>
      </c>
      <c r="K802" t="s">
        <v>74</v>
      </c>
      <c r="L802" t="s">
        <v>74</v>
      </c>
      <c r="M802" t="s">
        <v>78</v>
      </c>
      <c r="N802" t="s">
        <v>79</v>
      </c>
      <c r="O802" t="s">
        <v>74</v>
      </c>
      <c r="P802" t="s">
        <v>74</v>
      </c>
      <c r="Q802" t="s">
        <v>74</v>
      </c>
      <c r="R802" t="s">
        <v>74</v>
      </c>
      <c r="S802" t="s">
        <v>74</v>
      </c>
      <c r="T802" t="s">
        <v>15177</v>
      </c>
      <c r="U802" t="s">
        <v>15178</v>
      </c>
      <c r="V802" t="s">
        <v>15179</v>
      </c>
      <c r="W802" t="s">
        <v>15180</v>
      </c>
      <c r="X802" t="s">
        <v>15181</v>
      </c>
      <c r="Y802" t="s">
        <v>15182</v>
      </c>
      <c r="Z802" t="s">
        <v>15183</v>
      </c>
      <c r="AA802" t="s">
        <v>15184</v>
      </c>
      <c r="AB802" t="s">
        <v>15185</v>
      </c>
      <c r="AC802" t="s">
        <v>15186</v>
      </c>
      <c r="AD802" t="s">
        <v>15187</v>
      </c>
      <c r="AE802" t="s">
        <v>15188</v>
      </c>
      <c r="AF802" t="s">
        <v>74</v>
      </c>
      <c r="AG802">
        <v>93</v>
      </c>
      <c r="AH802">
        <v>10</v>
      </c>
      <c r="AI802">
        <v>10</v>
      </c>
      <c r="AJ802">
        <v>4</v>
      </c>
      <c r="AK802">
        <v>34</v>
      </c>
      <c r="AL802" t="s">
        <v>8526</v>
      </c>
      <c r="AM802" t="s">
        <v>2921</v>
      </c>
      <c r="AN802" t="s">
        <v>8527</v>
      </c>
      <c r="AO802" t="s">
        <v>74</v>
      </c>
      <c r="AP802" t="s">
        <v>15189</v>
      </c>
      <c r="AQ802" t="s">
        <v>74</v>
      </c>
      <c r="AR802" t="s">
        <v>15190</v>
      </c>
      <c r="AS802" t="s">
        <v>15191</v>
      </c>
      <c r="AT802" t="s">
        <v>12678</v>
      </c>
      <c r="AU802">
        <v>2020</v>
      </c>
      <c r="AV802">
        <v>21</v>
      </c>
      <c r="AW802">
        <v>24</v>
      </c>
      <c r="AX802" t="s">
        <v>74</v>
      </c>
      <c r="AY802" t="s">
        <v>74</v>
      </c>
      <c r="AZ802" t="s">
        <v>74</v>
      </c>
      <c r="BA802" t="s">
        <v>74</v>
      </c>
      <c r="BB802" t="s">
        <v>74</v>
      </c>
      <c r="BC802" t="s">
        <v>74</v>
      </c>
      <c r="BD802">
        <v>9363</v>
      </c>
      <c r="BE802" t="s">
        <v>15192</v>
      </c>
      <c r="BF802" t="str">
        <f>HYPERLINK("http://dx.doi.org/10.3390/ijms21249363","http://dx.doi.org/10.3390/ijms21249363")</f>
        <v>http://dx.doi.org/10.3390/ijms21249363</v>
      </c>
      <c r="BG802" t="s">
        <v>74</v>
      </c>
      <c r="BH802" t="s">
        <v>74</v>
      </c>
      <c r="BI802">
        <v>20</v>
      </c>
      <c r="BJ802" t="s">
        <v>15193</v>
      </c>
      <c r="BK802" t="s">
        <v>103</v>
      </c>
      <c r="BL802" t="s">
        <v>15194</v>
      </c>
      <c r="BM802" t="s">
        <v>15195</v>
      </c>
      <c r="BN802">
        <v>33316871</v>
      </c>
      <c r="BO802" t="s">
        <v>11791</v>
      </c>
      <c r="BP802" t="s">
        <v>74</v>
      </c>
      <c r="BQ802" t="s">
        <v>74</v>
      </c>
      <c r="BR802" t="s">
        <v>106</v>
      </c>
      <c r="BS802" t="s">
        <v>15196</v>
      </c>
      <c r="BT802" t="str">
        <f>HYPERLINK("https%3A%2F%2Fwww.webofscience.com%2Fwos%2Fwoscc%2Ffull-record%2FWOS:000602899500001","View Full Record in Web of Science")</f>
        <v>View Full Record in Web of Science</v>
      </c>
    </row>
    <row r="803" spans="1:72" x14ac:dyDescent="0.15">
      <c r="A803" t="s">
        <v>72</v>
      </c>
      <c r="B803" t="s">
        <v>15197</v>
      </c>
      <c r="C803" t="s">
        <v>74</v>
      </c>
      <c r="D803" t="s">
        <v>74</v>
      </c>
      <c r="E803" t="s">
        <v>74</v>
      </c>
      <c r="F803" t="s">
        <v>15198</v>
      </c>
      <c r="G803" t="s">
        <v>74</v>
      </c>
      <c r="H803" t="s">
        <v>74</v>
      </c>
      <c r="I803" t="s">
        <v>15199</v>
      </c>
      <c r="J803" t="s">
        <v>15200</v>
      </c>
      <c r="K803" t="s">
        <v>74</v>
      </c>
      <c r="L803" t="s">
        <v>74</v>
      </c>
      <c r="M803" t="s">
        <v>78</v>
      </c>
      <c r="N803" t="s">
        <v>79</v>
      </c>
      <c r="O803" t="s">
        <v>74</v>
      </c>
      <c r="P803" t="s">
        <v>74</v>
      </c>
      <c r="Q803" t="s">
        <v>74</v>
      </c>
      <c r="R803" t="s">
        <v>74</v>
      </c>
      <c r="S803" t="s">
        <v>74</v>
      </c>
      <c r="T803" t="s">
        <v>15201</v>
      </c>
      <c r="U803" t="s">
        <v>15202</v>
      </c>
      <c r="V803" t="s">
        <v>15203</v>
      </c>
      <c r="W803" t="s">
        <v>15204</v>
      </c>
      <c r="X803" t="s">
        <v>15205</v>
      </c>
      <c r="Y803" t="s">
        <v>15206</v>
      </c>
      <c r="Z803" t="s">
        <v>15207</v>
      </c>
      <c r="AA803" t="s">
        <v>15208</v>
      </c>
      <c r="AB803" t="s">
        <v>15209</v>
      </c>
      <c r="AC803" t="s">
        <v>15210</v>
      </c>
      <c r="AD803" t="s">
        <v>15211</v>
      </c>
      <c r="AE803" t="s">
        <v>15212</v>
      </c>
      <c r="AF803" t="s">
        <v>74</v>
      </c>
      <c r="AG803">
        <v>57</v>
      </c>
      <c r="AH803">
        <v>16</v>
      </c>
      <c r="AI803">
        <v>16</v>
      </c>
      <c r="AJ803">
        <v>3</v>
      </c>
      <c r="AK803">
        <v>22</v>
      </c>
      <c r="AL803" t="s">
        <v>8526</v>
      </c>
      <c r="AM803" t="s">
        <v>2921</v>
      </c>
      <c r="AN803" t="s">
        <v>8527</v>
      </c>
      <c r="AO803" t="s">
        <v>74</v>
      </c>
      <c r="AP803" t="s">
        <v>15213</v>
      </c>
      <c r="AQ803" t="s">
        <v>74</v>
      </c>
      <c r="AR803" t="s">
        <v>15200</v>
      </c>
      <c r="AS803" t="s">
        <v>15214</v>
      </c>
      <c r="AT803" t="s">
        <v>12678</v>
      </c>
      <c r="AU803">
        <v>2020</v>
      </c>
      <c r="AV803">
        <v>10</v>
      </c>
      <c r="AW803">
        <v>12</v>
      </c>
      <c r="AX803" t="s">
        <v>74</v>
      </c>
      <c r="AY803" t="s">
        <v>74</v>
      </c>
      <c r="AZ803" t="s">
        <v>74</v>
      </c>
      <c r="BA803" t="s">
        <v>74</v>
      </c>
      <c r="BB803" t="s">
        <v>74</v>
      </c>
      <c r="BC803" t="s">
        <v>74</v>
      </c>
      <c r="BD803">
        <v>362</v>
      </c>
      <c r="BE803" t="s">
        <v>15215</v>
      </c>
      <c r="BF803" t="str">
        <f>HYPERLINK("http://dx.doi.org/10.3390/life10120362","http://dx.doi.org/10.3390/life10120362")</f>
        <v>http://dx.doi.org/10.3390/life10120362</v>
      </c>
      <c r="BG803" t="s">
        <v>74</v>
      </c>
      <c r="BH803" t="s">
        <v>74</v>
      </c>
      <c r="BI803">
        <v>13</v>
      </c>
      <c r="BJ803" t="s">
        <v>15216</v>
      </c>
      <c r="BK803" t="s">
        <v>103</v>
      </c>
      <c r="BL803" t="s">
        <v>15217</v>
      </c>
      <c r="BM803" t="s">
        <v>15218</v>
      </c>
      <c r="BN803">
        <v>33352712</v>
      </c>
      <c r="BO803" t="s">
        <v>6128</v>
      </c>
      <c r="BP803" t="s">
        <v>74</v>
      </c>
      <c r="BQ803" t="s">
        <v>74</v>
      </c>
      <c r="BR803" t="s">
        <v>106</v>
      </c>
      <c r="BS803" t="s">
        <v>15219</v>
      </c>
      <c r="BT803" t="str">
        <f>HYPERLINK("https%3A%2F%2Fwww.webofscience.com%2Fwos%2Fwoscc%2Ffull-record%2FWOS:000602721400001","View Full Record in Web of Science")</f>
        <v>View Full Record in Web of Science</v>
      </c>
    </row>
    <row r="804" spans="1:72" x14ac:dyDescent="0.15">
      <c r="A804" t="s">
        <v>72</v>
      </c>
      <c r="B804" t="s">
        <v>15220</v>
      </c>
      <c r="C804" t="s">
        <v>74</v>
      </c>
      <c r="D804" t="s">
        <v>74</v>
      </c>
      <c r="E804" t="s">
        <v>74</v>
      </c>
      <c r="F804" t="s">
        <v>15221</v>
      </c>
      <c r="G804" t="s">
        <v>74</v>
      </c>
      <c r="H804" t="s">
        <v>74</v>
      </c>
      <c r="I804" t="s">
        <v>15222</v>
      </c>
      <c r="J804" t="s">
        <v>15223</v>
      </c>
      <c r="K804" t="s">
        <v>74</v>
      </c>
      <c r="L804" t="s">
        <v>74</v>
      </c>
      <c r="M804" t="s">
        <v>78</v>
      </c>
      <c r="N804" t="s">
        <v>79</v>
      </c>
      <c r="O804" t="s">
        <v>74</v>
      </c>
      <c r="P804" t="s">
        <v>74</v>
      </c>
      <c r="Q804" t="s">
        <v>74</v>
      </c>
      <c r="R804" t="s">
        <v>74</v>
      </c>
      <c r="S804" t="s">
        <v>74</v>
      </c>
      <c r="T804" t="s">
        <v>15224</v>
      </c>
      <c r="U804" t="s">
        <v>74</v>
      </c>
      <c r="V804" t="s">
        <v>15225</v>
      </c>
      <c r="W804" t="s">
        <v>15226</v>
      </c>
      <c r="X804" t="s">
        <v>15227</v>
      </c>
      <c r="Y804" t="s">
        <v>15228</v>
      </c>
      <c r="Z804" t="s">
        <v>15229</v>
      </c>
      <c r="AA804" t="s">
        <v>15230</v>
      </c>
      <c r="AB804" t="s">
        <v>15231</v>
      </c>
      <c r="AC804" t="s">
        <v>74</v>
      </c>
      <c r="AD804" t="s">
        <v>74</v>
      </c>
      <c r="AE804" t="s">
        <v>74</v>
      </c>
      <c r="AF804" t="s">
        <v>74</v>
      </c>
      <c r="AG804">
        <v>23</v>
      </c>
      <c r="AH804">
        <v>23</v>
      </c>
      <c r="AI804">
        <v>24</v>
      </c>
      <c r="AJ804">
        <v>4</v>
      </c>
      <c r="AK804">
        <v>47</v>
      </c>
      <c r="AL804" t="s">
        <v>8526</v>
      </c>
      <c r="AM804" t="s">
        <v>2921</v>
      </c>
      <c r="AN804" t="s">
        <v>8527</v>
      </c>
      <c r="AO804" t="s">
        <v>74</v>
      </c>
      <c r="AP804" t="s">
        <v>15232</v>
      </c>
      <c r="AQ804" t="s">
        <v>74</v>
      </c>
      <c r="AR804" t="s">
        <v>15233</v>
      </c>
      <c r="AS804" t="s">
        <v>15234</v>
      </c>
      <c r="AT804" t="s">
        <v>12678</v>
      </c>
      <c r="AU804">
        <v>2020</v>
      </c>
      <c r="AV804">
        <v>18</v>
      </c>
      <c r="AW804">
        <v>12</v>
      </c>
      <c r="AX804" t="s">
        <v>74</v>
      </c>
      <c r="AY804" t="s">
        <v>74</v>
      </c>
      <c r="AZ804" t="s">
        <v>74</v>
      </c>
      <c r="BA804" t="s">
        <v>74</v>
      </c>
      <c r="BB804" t="s">
        <v>74</v>
      </c>
      <c r="BC804" t="s">
        <v>74</v>
      </c>
      <c r="BD804">
        <v>640</v>
      </c>
      <c r="BE804" t="s">
        <v>15235</v>
      </c>
      <c r="BF804" t="str">
        <f>HYPERLINK("http://dx.doi.org/10.3390/md18120640","http://dx.doi.org/10.3390/md18120640")</f>
        <v>http://dx.doi.org/10.3390/md18120640</v>
      </c>
      <c r="BG804" t="s">
        <v>74</v>
      </c>
      <c r="BH804" t="s">
        <v>74</v>
      </c>
      <c r="BI804">
        <v>7</v>
      </c>
      <c r="BJ804" t="s">
        <v>15236</v>
      </c>
      <c r="BK804" t="s">
        <v>103</v>
      </c>
      <c r="BL804" t="s">
        <v>15237</v>
      </c>
      <c r="BM804" t="s">
        <v>15238</v>
      </c>
      <c r="BN804">
        <v>33327603</v>
      </c>
      <c r="BO804" t="s">
        <v>1105</v>
      </c>
      <c r="BP804" t="s">
        <v>74</v>
      </c>
      <c r="BQ804" t="s">
        <v>74</v>
      </c>
      <c r="BR804" t="s">
        <v>106</v>
      </c>
      <c r="BS804" t="s">
        <v>15239</v>
      </c>
      <c r="BT804" t="str">
        <f>HYPERLINK("https%3A%2F%2Fwww.webofscience.com%2Fwos%2Fwoscc%2Ffull-record%2FWOS:000602064900001","View Full Record in Web of Science")</f>
        <v>View Full Record in Web of Science</v>
      </c>
    </row>
    <row r="805" spans="1:72" x14ac:dyDescent="0.15">
      <c r="A805" t="s">
        <v>72</v>
      </c>
      <c r="B805" t="s">
        <v>15240</v>
      </c>
      <c r="C805" t="s">
        <v>74</v>
      </c>
      <c r="D805" t="s">
        <v>74</v>
      </c>
      <c r="E805" t="s">
        <v>74</v>
      </c>
      <c r="F805" t="s">
        <v>15241</v>
      </c>
      <c r="G805" t="s">
        <v>74</v>
      </c>
      <c r="H805" t="s">
        <v>74</v>
      </c>
      <c r="I805" t="s">
        <v>15242</v>
      </c>
      <c r="J805" t="s">
        <v>15243</v>
      </c>
      <c r="K805" t="s">
        <v>74</v>
      </c>
      <c r="L805" t="s">
        <v>74</v>
      </c>
      <c r="M805" t="s">
        <v>78</v>
      </c>
      <c r="N805" t="s">
        <v>79</v>
      </c>
      <c r="O805" t="s">
        <v>74</v>
      </c>
      <c r="P805" t="s">
        <v>74</v>
      </c>
      <c r="Q805" t="s">
        <v>74</v>
      </c>
      <c r="R805" t="s">
        <v>74</v>
      </c>
      <c r="S805" t="s">
        <v>74</v>
      </c>
      <c r="T805" t="s">
        <v>15244</v>
      </c>
      <c r="U805" t="s">
        <v>15245</v>
      </c>
      <c r="V805" t="s">
        <v>15246</v>
      </c>
      <c r="W805" t="s">
        <v>15247</v>
      </c>
      <c r="X805" t="s">
        <v>15248</v>
      </c>
      <c r="Y805" t="s">
        <v>15249</v>
      </c>
      <c r="Z805" t="s">
        <v>15250</v>
      </c>
      <c r="AA805" t="s">
        <v>15251</v>
      </c>
      <c r="AB805" t="s">
        <v>74</v>
      </c>
      <c r="AC805" t="s">
        <v>15252</v>
      </c>
      <c r="AD805" t="s">
        <v>15253</v>
      </c>
      <c r="AE805" t="s">
        <v>15254</v>
      </c>
      <c r="AF805" t="s">
        <v>74</v>
      </c>
      <c r="AG805">
        <v>73</v>
      </c>
      <c r="AH805">
        <v>9</v>
      </c>
      <c r="AI805">
        <v>9</v>
      </c>
      <c r="AJ805">
        <v>3</v>
      </c>
      <c r="AK805">
        <v>15</v>
      </c>
      <c r="AL805" t="s">
        <v>177</v>
      </c>
      <c r="AM805" t="s">
        <v>178</v>
      </c>
      <c r="AN805" t="s">
        <v>179</v>
      </c>
      <c r="AO805" t="s">
        <v>15255</v>
      </c>
      <c r="AP805" t="s">
        <v>15256</v>
      </c>
      <c r="AQ805" t="s">
        <v>74</v>
      </c>
      <c r="AR805" t="s">
        <v>15257</v>
      </c>
      <c r="AS805" t="s">
        <v>15258</v>
      </c>
      <c r="AT805" t="s">
        <v>12678</v>
      </c>
      <c r="AU805">
        <v>2020</v>
      </c>
      <c r="AV805">
        <v>163</v>
      </c>
      <c r="AW805" t="s">
        <v>74</v>
      </c>
      <c r="AX805" t="s">
        <v>74</v>
      </c>
      <c r="AY805" t="s">
        <v>74</v>
      </c>
      <c r="AZ805" t="s">
        <v>74</v>
      </c>
      <c r="BA805" t="s">
        <v>74</v>
      </c>
      <c r="BB805" t="s">
        <v>74</v>
      </c>
      <c r="BC805" t="s">
        <v>74</v>
      </c>
      <c r="BD805">
        <v>102208</v>
      </c>
      <c r="BE805" t="s">
        <v>15259</v>
      </c>
      <c r="BF805" t="str">
        <f>HYPERLINK("http://dx.doi.org/10.1016/j.plefa.2020.102208","http://dx.doi.org/10.1016/j.plefa.2020.102208")</f>
        <v>http://dx.doi.org/10.1016/j.plefa.2020.102208</v>
      </c>
      <c r="BG805" t="s">
        <v>74</v>
      </c>
      <c r="BH805" t="s">
        <v>74</v>
      </c>
      <c r="BI805">
        <v>9</v>
      </c>
      <c r="BJ805" t="s">
        <v>15260</v>
      </c>
      <c r="BK805" t="s">
        <v>271</v>
      </c>
      <c r="BL805" t="s">
        <v>15260</v>
      </c>
      <c r="BM805" t="s">
        <v>15261</v>
      </c>
      <c r="BN805">
        <v>33232912</v>
      </c>
      <c r="BO805" t="s">
        <v>759</v>
      </c>
      <c r="BP805" t="s">
        <v>74</v>
      </c>
      <c r="BQ805" t="s">
        <v>74</v>
      </c>
      <c r="BR805" t="s">
        <v>106</v>
      </c>
      <c r="BS805" t="s">
        <v>15262</v>
      </c>
      <c r="BT805" t="str">
        <f>HYPERLINK("https%3A%2F%2Fwww.webofscience.com%2Fwos%2Fwoscc%2Ffull-record%2FWOS:000598497900008","View Full Record in Web of Science")</f>
        <v>View Full Record in Web of Science</v>
      </c>
    </row>
    <row r="806" spans="1:72" x14ac:dyDescent="0.15">
      <c r="A806" t="s">
        <v>72</v>
      </c>
      <c r="B806" t="s">
        <v>15263</v>
      </c>
      <c r="C806" t="s">
        <v>74</v>
      </c>
      <c r="D806" t="s">
        <v>74</v>
      </c>
      <c r="E806" t="s">
        <v>74</v>
      </c>
      <c r="F806" t="s">
        <v>15264</v>
      </c>
      <c r="G806" t="s">
        <v>74</v>
      </c>
      <c r="H806" t="s">
        <v>74</v>
      </c>
      <c r="I806" t="s">
        <v>15265</v>
      </c>
      <c r="J806" t="s">
        <v>8517</v>
      </c>
      <c r="K806" t="s">
        <v>74</v>
      </c>
      <c r="L806" t="s">
        <v>74</v>
      </c>
      <c r="M806" t="s">
        <v>78</v>
      </c>
      <c r="N806" t="s">
        <v>79</v>
      </c>
      <c r="O806" t="s">
        <v>74</v>
      </c>
      <c r="P806" t="s">
        <v>74</v>
      </c>
      <c r="Q806" t="s">
        <v>74</v>
      </c>
      <c r="R806" t="s">
        <v>74</v>
      </c>
      <c r="S806" t="s">
        <v>74</v>
      </c>
      <c r="T806" t="s">
        <v>15266</v>
      </c>
      <c r="U806" t="s">
        <v>15267</v>
      </c>
      <c r="V806" t="s">
        <v>15268</v>
      </c>
      <c r="W806" t="s">
        <v>15269</v>
      </c>
      <c r="X806" t="s">
        <v>15270</v>
      </c>
      <c r="Y806" t="s">
        <v>15271</v>
      </c>
      <c r="Z806" t="s">
        <v>15272</v>
      </c>
      <c r="AA806" t="s">
        <v>15273</v>
      </c>
      <c r="AB806" t="s">
        <v>15274</v>
      </c>
      <c r="AC806" t="s">
        <v>15275</v>
      </c>
      <c r="AD806" t="s">
        <v>15276</v>
      </c>
      <c r="AE806" t="s">
        <v>15277</v>
      </c>
      <c r="AF806" t="s">
        <v>74</v>
      </c>
      <c r="AG806">
        <v>62</v>
      </c>
      <c r="AH806">
        <v>7</v>
      </c>
      <c r="AI806">
        <v>7</v>
      </c>
      <c r="AJ806">
        <v>0</v>
      </c>
      <c r="AK806">
        <v>18</v>
      </c>
      <c r="AL806" t="s">
        <v>8526</v>
      </c>
      <c r="AM806" t="s">
        <v>2921</v>
      </c>
      <c r="AN806" t="s">
        <v>8527</v>
      </c>
      <c r="AO806" t="s">
        <v>74</v>
      </c>
      <c r="AP806" t="s">
        <v>8528</v>
      </c>
      <c r="AQ806" t="s">
        <v>74</v>
      </c>
      <c r="AR806" t="s">
        <v>8529</v>
      </c>
      <c r="AS806" t="s">
        <v>8530</v>
      </c>
      <c r="AT806" t="s">
        <v>12678</v>
      </c>
      <c r="AU806">
        <v>2020</v>
      </c>
      <c r="AV806">
        <v>12</v>
      </c>
      <c r="AW806">
        <v>23</v>
      </c>
      <c r="AX806" t="s">
        <v>74</v>
      </c>
      <c r="AY806" t="s">
        <v>74</v>
      </c>
      <c r="AZ806" t="s">
        <v>74</v>
      </c>
      <c r="BA806" t="s">
        <v>74</v>
      </c>
      <c r="BB806" t="s">
        <v>74</v>
      </c>
      <c r="BC806" t="s">
        <v>74</v>
      </c>
      <c r="BD806">
        <v>3950</v>
      </c>
      <c r="BE806" t="s">
        <v>15278</v>
      </c>
      <c r="BF806" t="str">
        <f>HYPERLINK("http://dx.doi.org/10.3390/rs12233950","http://dx.doi.org/10.3390/rs12233950")</f>
        <v>http://dx.doi.org/10.3390/rs12233950</v>
      </c>
      <c r="BG806" t="s">
        <v>74</v>
      </c>
      <c r="BH806" t="s">
        <v>74</v>
      </c>
      <c r="BI806">
        <v>19</v>
      </c>
      <c r="BJ806" t="s">
        <v>8532</v>
      </c>
      <c r="BK806" t="s">
        <v>103</v>
      </c>
      <c r="BL806" t="s">
        <v>8533</v>
      </c>
      <c r="BM806" t="s">
        <v>15279</v>
      </c>
      <c r="BN806" t="s">
        <v>74</v>
      </c>
      <c r="BO806" t="s">
        <v>326</v>
      </c>
      <c r="BP806" t="s">
        <v>74</v>
      </c>
      <c r="BQ806" t="s">
        <v>74</v>
      </c>
      <c r="BR806" t="s">
        <v>106</v>
      </c>
      <c r="BS806" t="s">
        <v>15280</v>
      </c>
      <c r="BT806" t="str">
        <f>HYPERLINK("https%3A%2F%2Fwww.webofscience.com%2Fwos%2Fwoscc%2Ffull-record%2FWOS:000597523500001","View Full Record in Web of Science")</f>
        <v>View Full Record in Web of Science</v>
      </c>
    </row>
    <row r="807" spans="1:72" x14ac:dyDescent="0.15">
      <c r="A807" t="s">
        <v>72</v>
      </c>
      <c r="B807" t="s">
        <v>15281</v>
      </c>
      <c r="C807" t="s">
        <v>74</v>
      </c>
      <c r="D807" t="s">
        <v>74</v>
      </c>
      <c r="E807" t="s">
        <v>74</v>
      </c>
      <c r="F807" t="s">
        <v>15282</v>
      </c>
      <c r="G807" t="s">
        <v>74</v>
      </c>
      <c r="H807" t="s">
        <v>74</v>
      </c>
      <c r="I807" t="s">
        <v>15283</v>
      </c>
      <c r="J807" t="s">
        <v>8874</v>
      </c>
      <c r="K807" t="s">
        <v>74</v>
      </c>
      <c r="L807" t="s">
        <v>74</v>
      </c>
      <c r="M807" t="s">
        <v>78</v>
      </c>
      <c r="N807" t="s">
        <v>79</v>
      </c>
      <c r="O807" t="s">
        <v>74</v>
      </c>
      <c r="P807" t="s">
        <v>74</v>
      </c>
      <c r="Q807" t="s">
        <v>74</v>
      </c>
      <c r="R807" t="s">
        <v>74</v>
      </c>
      <c r="S807" t="s">
        <v>74</v>
      </c>
      <c r="T807" t="s">
        <v>15284</v>
      </c>
      <c r="U807" t="s">
        <v>15285</v>
      </c>
      <c r="V807" t="s">
        <v>15286</v>
      </c>
      <c r="W807" t="s">
        <v>15287</v>
      </c>
      <c r="X807" t="s">
        <v>15288</v>
      </c>
      <c r="Y807" t="s">
        <v>15289</v>
      </c>
      <c r="Z807" t="s">
        <v>15290</v>
      </c>
      <c r="AA807" t="s">
        <v>15291</v>
      </c>
      <c r="AB807" t="s">
        <v>15292</v>
      </c>
      <c r="AC807" t="s">
        <v>15293</v>
      </c>
      <c r="AD807" t="s">
        <v>15294</v>
      </c>
      <c r="AE807" t="s">
        <v>15295</v>
      </c>
      <c r="AF807" t="s">
        <v>74</v>
      </c>
      <c r="AG807">
        <v>53</v>
      </c>
      <c r="AH807">
        <v>5</v>
      </c>
      <c r="AI807">
        <v>6</v>
      </c>
      <c r="AJ807">
        <v>1</v>
      </c>
      <c r="AK807">
        <v>8</v>
      </c>
      <c r="AL807" t="s">
        <v>8526</v>
      </c>
      <c r="AM807" t="s">
        <v>2921</v>
      </c>
      <c r="AN807" t="s">
        <v>8527</v>
      </c>
      <c r="AO807" t="s">
        <v>74</v>
      </c>
      <c r="AP807" t="s">
        <v>8887</v>
      </c>
      <c r="AQ807" t="s">
        <v>74</v>
      </c>
      <c r="AR807" t="s">
        <v>8888</v>
      </c>
      <c r="AS807" t="s">
        <v>8889</v>
      </c>
      <c r="AT807" t="s">
        <v>12678</v>
      </c>
      <c r="AU807">
        <v>2020</v>
      </c>
      <c r="AV807">
        <v>12</v>
      </c>
      <c r="AW807">
        <v>12</v>
      </c>
      <c r="AX807" t="s">
        <v>74</v>
      </c>
      <c r="AY807" t="s">
        <v>74</v>
      </c>
      <c r="AZ807" t="s">
        <v>74</v>
      </c>
      <c r="BA807" t="s">
        <v>74</v>
      </c>
      <c r="BB807" t="s">
        <v>74</v>
      </c>
      <c r="BC807" t="s">
        <v>74</v>
      </c>
      <c r="BD807">
        <v>3517</v>
      </c>
      <c r="BE807" t="s">
        <v>15296</v>
      </c>
      <c r="BF807" t="str">
        <f>HYPERLINK("http://dx.doi.org/10.3390/w12123517","http://dx.doi.org/10.3390/w12123517")</f>
        <v>http://dx.doi.org/10.3390/w12123517</v>
      </c>
      <c r="BG807" t="s">
        <v>74</v>
      </c>
      <c r="BH807" t="s">
        <v>74</v>
      </c>
      <c r="BI807">
        <v>18</v>
      </c>
      <c r="BJ807" t="s">
        <v>8891</v>
      </c>
      <c r="BK807" t="s">
        <v>103</v>
      </c>
      <c r="BL807" t="s">
        <v>8892</v>
      </c>
      <c r="BM807" t="s">
        <v>15297</v>
      </c>
      <c r="BN807" t="s">
        <v>74</v>
      </c>
      <c r="BO807" t="s">
        <v>1105</v>
      </c>
      <c r="BP807" t="s">
        <v>74</v>
      </c>
      <c r="BQ807" t="s">
        <v>74</v>
      </c>
      <c r="BR807" t="s">
        <v>106</v>
      </c>
      <c r="BS807" t="s">
        <v>15298</v>
      </c>
      <c r="BT807" t="str">
        <f>HYPERLINK("https%3A%2F%2Fwww.webofscience.com%2Fwos%2Fwoscc%2Ffull-record%2FWOS:000602842600001","View Full Record in Web of Science")</f>
        <v>View Full Record in Web of Science</v>
      </c>
    </row>
    <row r="808" spans="1:72" x14ac:dyDescent="0.15">
      <c r="A808" t="s">
        <v>72</v>
      </c>
      <c r="B808" t="s">
        <v>15299</v>
      </c>
      <c r="C808" t="s">
        <v>74</v>
      </c>
      <c r="D808" t="s">
        <v>74</v>
      </c>
      <c r="E808" t="s">
        <v>74</v>
      </c>
      <c r="F808" t="s">
        <v>15300</v>
      </c>
      <c r="G808" t="s">
        <v>74</v>
      </c>
      <c r="H808" t="s">
        <v>74</v>
      </c>
      <c r="I808" t="s">
        <v>15301</v>
      </c>
      <c r="J808" t="s">
        <v>15302</v>
      </c>
      <c r="K808" t="s">
        <v>74</v>
      </c>
      <c r="L808" t="s">
        <v>74</v>
      </c>
      <c r="M808" t="s">
        <v>78</v>
      </c>
      <c r="N808" t="s">
        <v>79</v>
      </c>
      <c r="O808" t="s">
        <v>74</v>
      </c>
      <c r="P808" t="s">
        <v>74</v>
      </c>
      <c r="Q808" t="s">
        <v>74</v>
      </c>
      <c r="R808" t="s">
        <v>74</v>
      </c>
      <c r="S808" t="s">
        <v>74</v>
      </c>
      <c r="T808" t="s">
        <v>15303</v>
      </c>
      <c r="U808" t="s">
        <v>15304</v>
      </c>
      <c r="V808" t="s">
        <v>15305</v>
      </c>
      <c r="W808" t="s">
        <v>15306</v>
      </c>
      <c r="X808" t="s">
        <v>15307</v>
      </c>
      <c r="Y808" t="s">
        <v>15308</v>
      </c>
      <c r="Z808" t="s">
        <v>15309</v>
      </c>
      <c r="AA808" t="s">
        <v>15310</v>
      </c>
      <c r="AB808" t="s">
        <v>15311</v>
      </c>
      <c r="AC808" t="s">
        <v>15312</v>
      </c>
      <c r="AD808" t="s">
        <v>15313</v>
      </c>
      <c r="AE808" t="s">
        <v>15314</v>
      </c>
      <c r="AF808" t="s">
        <v>74</v>
      </c>
      <c r="AG808">
        <v>56</v>
      </c>
      <c r="AH808">
        <v>27</v>
      </c>
      <c r="AI808">
        <v>27</v>
      </c>
      <c r="AJ808">
        <v>6</v>
      </c>
      <c r="AK808">
        <v>42</v>
      </c>
      <c r="AL808" t="s">
        <v>177</v>
      </c>
      <c r="AM808" t="s">
        <v>178</v>
      </c>
      <c r="AN808" t="s">
        <v>179</v>
      </c>
      <c r="AO808" t="s">
        <v>15315</v>
      </c>
      <c r="AP808" t="s">
        <v>15316</v>
      </c>
      <c r="AQ808" t="s">
        <v>74</v>
      </c>
      <c r="AR808" t="s">
        <v>15317</v>
      </c>
      <c r="AS808" t="s">
        <v>15318</v>
      </c>
      <c r="AT808" t="s">
        <v>12678</v>
      </c>
      <c r="AU808">
        <v>2020</v>
      </c>
      <c r="AV808">
        <v>125</v>
      </c>
      <c r="AW808" t="s">
        <v>74</v>
      </c>
      <c r="AX808" t="s">
        <v>74</v>
      </c>
      <c r="AY808" t="s">
        <v>74</v>
      </c>
      <c r="AZ808" t="s">
        <v>74</v>
      </c>
      <c r="BA808" t="s">
        <v>74</v>
      </c>
      <c r="BB808" t="s">
        <v>74</v>
      </c>
      <c r="BC808" t="s">
        <v>74</v>
      </c>
      <c r="BD808">
        <v>102322</v>
      </c>
      <c r="BE808" t="s">
        <v>15319</v>
      </c>
      <c r="BF808" t="str">
        <f>HYPERLINK("http://dx.doi.org/10.1016/j.apgeog.102322","http://dx.doi.org/10.1016/j.apgeog.102322")</f>
        <v>http://dx.doi.org/10.1016/j.apgeog.102322</v>
      </c>
      <c r="BG808" t="s">
        <v>74</v>
      </c>
      <c r="BH808" t="s">
        <v>74</v>
      </c>
      <c r="BI808">
        <v>10</v>
      </c>
      <c r="BJ808" t="s">
        <v>12091</v>
      </c>
      <c r="BK808" t="s">
        <v>2733</v>
      </c>
      <c r="BL808" t="s">
        <v>12091</v>
      </c>
      <c r="BM808" t="s">
        <v>15320</v>
      </c>
      <c r="BN808" t="s">
        <v>74</v>
      </c>
      <c r="BO808" t="s">
        <v>74</v>
      </c>
      <c r="BP808" t="s">
        <v>74</v>
      </c>
      <c r="BQ808" t="s">
        <v>74</v>
      </c>
      <c r="BR808" t="s">
        <v>106</v>
      </c>
      <c r="BS808" t="s">
        <v>15321</v>
      </c>
      <c r="BT808" t="str">
        <f>HYPERLINK("https%3A%2F%2Fwww.webofscience.com%2Fwos%2Fwoscc%2Ffull-record%2FWOS:000602321600005","View Full Record in Web of Science")</f>
        <v>View Full Record in Web of Science</v>
      </c>
    </row>
    <row r="809" spans="1:72" x14ac:dyDescent="0.15">
      <c r="A809" t="s">
        <v>72</v>
      </c>
      <c r="B809" t="s">
        <v>15322</v>
      </c>
      <c r="C809" t="s">
        <v>74</v>
      </c>
      <c r="D809" t="s">
        <v>74</v>
      </c>
      <c r="E809" t="s">
        <v>74</v>
      </c>
      <c r="F809" t="s">
        <v>15323</v>
      </c>
      <c r="G809" t="s">
        <v>74</v>
      </c>
      <c r="H809" t="s">
        <v>74</v>
      </c>
      <c r="I809" t="s">
        <v>15324</v>
      </c>
      <c r="J809" t="s">
        <v>8958</v>
      </c>
      <c r="K809" t="s">
        <v>74</v>
      </c>
      <c r="L809" t="s">
        <v>74</v>
      </c>
      <c r="M809" t="s">
        <v>78</v>
      </c>
      <c r="N809" t="s">
        <v>79</v>
      </c>
      <c r="O809" t="s">
        <v>74</v>
      </c>
      <c r="P809" t="s">
        <v>74</v>
      </c>
      <c r="Q809" t="s">
        <v>74</v>
      </c>
      <c r="R809" t="s">
        <v>74</v>
      </c>
      <c r="S809" t="s">
        <v>74</v>
      </c>
      <c r="T809" t="s">
        <v>15325</v>
      </c>
      <c r="U809" t="s">
        <v>15326</v>
      </c>
      <c r="V809" t="s">
        <v>15327</v>
      </c>
      <c r="W809" t="s">
        <v>15328</v>
      </c>
      <c r="X809" t="s">
        <v>4474</v>
      </c>
      <c r="Y809" t="s">
        <v>15329</v>
      </c>
      <c r="Z809" t="s">
        <v>15330</v>
      </c>
      <c r="AA809" t="s">
        <v>15331</v>
      </c>
      <c r="AB809" t="s">
        <v>15332</v>
      </c>
      <c r="AC809" t="s">
        <v>15333</v>
      </c>
      <c r="AD809" t="s">
        <v>15334</v>
      </c>
      <c r="AE809" t="s">
        <v>15335</v>
      </c>
      <c r="AF809" t="s">
        <v>74</v>
      </c>
      <c r="AG809">
        <v>36</v>
      </c>
      <c r="AH809">
        <v>10</v>
      </c>
      <c r="AI809">
        <v>13</v>
      </c>
      <c r="AJ809">
        <v>1</v>
      </c>
      <c r="AK809">
        <v>14</v>
      </c>
      <c r="AL809" t="s">
        <v>8526</v>
      </c>
      <c r="AM809" t="s">
        <v>2921</v>
      </c>
      <c r="AN809" t="s">
        <v>8527</v>
      </c>
      <c r="AO809" t="s">
        <v>74</v>
      </c>
      <c r="AP809" t="s">
        <v>8969</v>
      </c>
      <c r="AQ809" t="s">
        <v>74</v>
      </c>
      <c r="AR809" t="s">
        <v>8970</v>
      </c>
      <c r="AS809" t="s">
        <v>8971</v>
      </c>
      <c r="AT809" t="s">
        <v>12678</v>
      </c>
      <c r="AU809">
        <v>2020</v>
      </c>
      <c r="AV809">
        <v>11</v>
      </c>
      <c r="AW809">
        <v>12</v>
      </c>
      <c r="AX809" t="s">
        <v>74</v>
      </c>
      <c r="AY809" t="s">
        <v>74</v>
      </c>
      <c r="AZ809" t="s">
        <v>74</v>
      </c>
      <c r="BA809" t="s">
        <v>74</v>
      </c>
      <c r="BB809" t="s">
        <v>74</v>
      </c>
      <c r="BC809" t="s">
        <v>74</v>
      </c>
      <c r="BD809">
        <v>1270</v>
      </c>
      <c r="BE809" t="s">
        <v>15336</v>
      </c>
      <c r="BF809" t="str">
        <f>HYPERLINK("http://dx.doi.org/10.3390/atmos11121270","http://dx.doi.org/10.3390/atmos11121270")</f>
        <v>http://dx.doi.org/10.3390/atmos11121270</v>
      </c>
      <c r="BG809" t="s">
        <v>74</v>
      </c>
      <c r="BH809" t="s">
        <v>74</v>
      </c>
      <c r="BI809">
        <v>19</v>
      </c>
      <c r="BJ809" t="s">
        <v>132</v>
      </c>
      <c r="BK809" t="s">
        <v>103</v>
      </c>
      <c r="BL809" t="s">
        <v>133</v>
      </c>
      <c r="BM809" t="s">
        <v>15337</v>
      </c>
      <c r="BN809" t="s">
        <v>74</v>
      </c>
      <c r="BO809" t="s">
        <v>326</v>
      </c>
      <c r="BP809" t="s">
        <v>74</v>
      </c>
      <c r="BQ809" t="s">
        <v>74</v>
      </c>
      <c r="BR809" t="s">
        <v>106</v>
      </c>
      <c r="BS809" t="s">
        <v>15338</v>
      </c>
      <c r="BT809" t="str">
        <f>HYPERLINK("https%3A%2F%2Fwww.webofscience.com%2Fwos%2Fwoscc%2Ffull-record%2FWOS:000601735300001","View Full Record in Web of Science")</f>
        <v>View Full Record in Web of Science</v>
      </c>
    </row>
    <row r="810" spans="1:72" x14ac:dyDescent="0.15">
      <c r="A810" t="s">
        <v>72</v>
      </c>
      <c r="B810" t="s">
        <v>15339</v>
      </c>
      <c r="C810" t="s">
        <v>74</v>
      </c>
      <c r="D810" t="s">
        <v>74</v>
      </c>
      <c r="E810" t="s">
        <v>74</v>
      </c>
      <c r="F810" t="s">
        <v>15340</v>
      </c>
      <c r="G810" t="s">
        <v>74</v>
      </c>
      <c r="H810" t="s">
        <v>74</v>
      </c>
      <c r="I810" t="s">
        <v>15341</v>
      </c>
      <c r="J810" t="s">
        <v>8958</v>
      </c>
      <c r="K810" t="s">
        <v>74</v>
      </c>
      <c r="L810" t="s">
        <v>74</v>
      </c>
      <c r="M810" t="s">
        <v>78</v>
      </c>
      <c r="N810" t="s">
        <v>79</v>
      </c>
      <c r="O810" t="s">
        <v>74</v>
      </c>
      <c r="P810" t="s">
        <v>74</v>
      </c>
      <c r="Q810" t="s">
        <v>74</v>
      </c>
      <c r="R810" t="s">
        <v>74</v>
      </c>
      <c r="S810" t="s">
        <v>74</v>
      </c>
      <c r="T810" t="s">
        <v>15342</v>
      </c>
      <c r="U810" t="s">
        <v>15343</v>
      </c>
      <c r="V810" t="s">
        <v>15344</v>
      </c>
      <c r="W810" t="s">
        <v>15345</v>
      </c>
      <c r="X810" t="s">
        <v>15346</v>
      </c>
      <c r="Y810" t="s">
        <v>15347</v>
      </c>
      <c r="Z810" t="s">
        <v>15348</v>
      </c>
      <c r="AA810" t="s">
        <v>15349</v>
      </c>
      <c r="AB810" t="s">
        <v>15350</v>
      </c>
      <c r="AC810" t="s">
        <v>15351</v>
      </c>
      <c r="AD810" t="s">
        <v>15352</v>
      </c>
      <c r="AE810" t="s">
        <v>15353</v>
      </c>
      <c r="AF810" t="s">
        <v>74</v>
      </c>
      <c r="AG810">
        <v>35</v>
      </c>
      <c r="AH810">
        <v>8</v>
      </c>
      <c r="AI810">
        <v>9</v>
      </c>
      <c r="AJ810">
        <v>1</v>
      </c>
      <c r="AK810">
        <v>5</v>
      </c>
      <c r="AL810" t="s">
        <v>8526</v>
      </c>
      <c r="AM810" t="s">
        <v>2921</v>
      </c>
      <c r="AN810" t="s">
        <v>8527</v>
      </c>
      <c r="AO810" t="s">
        <v>74</v>
      </c>
      <c r="AP810" t="s">
        <v>8969</v>
      </c>
      <c r="AQ810" t="s">
        <v>74</v>
      </c>
      <c r="AR810" t="s">
        <v>8970</v>
      </c>
      <c r="AS810" t="s">
        <v>8971</v>
      </c>
      <c r="AT810" t="s">
        <v>12678</v>
      </c>
      <c r="AU810">
        <v>2020</v>
      </c>
      <c r="AV810">
        <v>11</v>
      </c>
      <c r="AW810">
        <v>12</v>
      </c>
      <c r="AX810" t="s">
        <v>74</v>
      </c>
      <c r="AY810" t="s">
        <v>74</v>
      </c>
      <c r="AZ810" t="s">
        <v>74</v>
      </c>
      <c r="BA810" t="s">
        <v>74</v>
      </c>
      <c r="BB810" t="s">
        <v>74</v>
      </c>
      <c r="BC810" t="s">
        <v>74</v>
      </c>
      <c r="BD810">
        <v>1332</v>
      </c>
      <c r="BE810" t="s">
        <v>15354</v>
      </c>
      <c r="BF810" t="str">
        <f>HYPERLINK("http://dx.doi.org/10.3390/atmos11121332","http://dx.doi.org/10.3390/atmos11121332")</f>
        <v>http://dx.doi.org/10.3390/atmos11121332</v>
      </c>
      <c r="BG810" t="s">
        <v>74</v>
      </c>
      <c r="BH810" t="s">
        <v>74</v>
      </c>
      <c r="BI810">
        <v>15</v>
      </c>
      <c r="BJ810" t="s">
        <v>132</v>
      </c>
      <c r="BK810" t="s">
        <v>103</v>
      </c>
      <c r="BL810" t="s">
        <v>133</v>
      </c>
      <c r="BM810" t="s">
        <v>15355</v>
      </c>
      <c r="BN810" t="s">
        <v>74</v>
      </c>
      <c r="BO810" t="s">
        <v>246</v>
      </c>
      <c r="BP810" t="s">
        <v>74</v>
      </c>
      <c r="BQ810" t="s">
        <v>74</v>
      </c>
      <c r="BR810" t="s">
        <v>106</v>
      </c>
      <c r="BS810" t="s">
        <v>15356</v>
      </c>
      <c r="BT810" t="str">
        <f>HYPERLINK("https%3A%2F%2Fwww.webofscience.com%2Fwos%2Fwoscc%2Ffull-record%2FWOS:000601698500001","View Full Record in Web of Science")</f>
        <v>View Full Record in Web of Science</v>
      </c>
    </row>
    <row r="811" spans="1:72" x14ac:dyDescent="0.15">
      <c r="A811" t="s">
        <v>72</v>
      </c>
      <c r="B811" t="s">
        <v>15357</v>
      </c>
      <c r="C811" t="s">
        <v>74</v>
      </c>
      <c r="D811" t="s">
        <v>74</v>
      </c>
      <c r="E811" t="s">
        <v>74</v>
      </c>
      <c r="F811" t="s">
        <v>15358</v>
      </c>
      <c r="G811" t="s">
        <v>74</v>
      </c>
      <c r="H811" t="s">
        <v>74</v>
      </c>
      <c r="I811" t="s">
        <v>15359</v>
      </c>
      <c r="J811" t="s">
        <v>15360</v>
      </c>
      <c r="K811" t="s">
        <v>74</v>
      </c>
      <c r="L811" t="s">
        <v>74</v>
      </c>
      <c r="M811" t="s">
        <v>78</v>
      </c>
      <c r="N811" t="s">
        <v>141</v>
      </c>
      <c r="O811" t="s">
        <v>74</v>
      </c>
      <c r="P811" t="s">
        <v>74</v>
      </c>
      <c r="Q811" t="s">
        <v>74</v>
      </c>
      <c r="R811" t="s">
        <v>74</v>
      </c>
      <c r="S811" t="s">
        <v>74</v>
      </c>
      <c r="T811" t="s">
        <v>15361</v>
      </c>
      <c r="U811" t="s">
        <v>15362</v>
      </c>
      <c r="V811" t="s">
        <v>15363</v>
      </c>
      <c r="W811" t="s">
        <v>15364</v>
      </c>
      <c r="X811" t="s">
        <v>15365</v>
      </c>
      <c r="Y811" t="s">
        <v>15366</v>
      </c>
      <c r="Z811" t="s">
        <v>15367</v>
      </c>
      <c r="AA811" t="s">
        <v>15368</v>
      </c>
      <c r="AB811" t="s">
        <v>15369</v>
      </c>
      <c r="AC811" t="s">
        <v>15370</v>
      </c>
      <c r="AD811" t="s">
        <v>15371</v>
      </c>
      <c r="AE811" t="s">
        <v>15372</v>
      </c>
      <c r="AF811" t="s">
        <v>74</v>
      </c>
      <c r="AG811">
        <v>105</v>
      </c>
      <c r="AH811">
        <v>47</v>
      </c>
      <c r="AI811">
        <v>55</v>
      </c>
      <c r="AJ811">
        <v>22</v>
      </c>
      <c r="AK811">
        <v>122</v>
      </c>
      <c r="AL811" t="s">
        <v>8526</v>
      </c>
      <c r="AM811" t="s">
        <v>2921</v>
      </c>
      <c r="AN811" t="s">
        <v>8527</v>
      </c>
      <c r="AO811" t="s">
        <v>74</v>
      </c>
      <c r="AP811" t="s">
        <v>15373</v>
      </c>
      <c r="AQ811" t="s">
        <v>74</v>
      </c>
      <c r="AR811" t="s">
        <v>15360</v>
      </c>
      <c r="AS811" t="s">
        <v>15374</v>
      </c>
      <c r="AT811" t="s">
        <v>12678</v>
      </c>
      <c r="AU811">
        <v>2020</v>
      </c>
      <c r="AV811">
        <v>10</v>
      </c>
      <c r="AW811">
        <v>12</v>
      </c>
      <c r="AX811" t="s">
        <v>74</v>
      </c>
      <c r="AY811" t="s">
        <v>74</v>
      </c>
      <c r="AZ811" t="s">
        <v>74</v>
      </c>
      <c r="BA811" t="s">
        <v>74</v>
      </c>
      <c r="BB811" t="s">
        <v>74</v>
      </c>
      <c r="BC811" t="s">
        <v>74</v>
      </c>
      <c r="BD811">
        <v>1649</v>
      </c>
      <c r="BE811" t="s">
        <v>15375</v>
      </c>
      <c r="BF811" t="str">
        <f>HYPERLINK("http://dx.doi.org/10.3390/biom10121649","http://dx.doi.org/10.3390/biom10121649")</f>
        <v>http://dx.doi.org/10.3390/biom10121649</v>
      </c>
      <c r="BG811" t="s">
        <v>74</v>
      </c>
      <c r="BH811" t="s">
        <v>74</v>
      </c>
      <c r="BI811">
        <v>18</v>
      </c>
      <c r="BJ811" t="s">
        <v>6407</v>
      </c>
      <c r="BK811" t="s">
        <v>103</v>
      </c>
      <c r="BL811" t="s">
        <v>6407</v>
      </c>
      <c r="BM811" t="s">
        <v>15376</v>
      </c>
      <c r="BN811">
        <v>33317024</v>
      </c>
      <c r="BO811" t="s">
        <v>246</v>
      </c>
      <c r="BP811" t="s">
        <v>74</v>
      </c>
      <c r="BQ811" t="s">
        <v>74</v>
      </c>
      <c r="BR811" t="s">
        <v>106</v>
      </c>
      <c r="BS811" t="s">
        <v>15377</v>
      </c>
      <c r="BT811" t="str">
        <f>HYPERLINK("https%3A%2F%2Fwww.webofscience.com%2Fwos%2Fwoscc%2Ffull-record%2FWOS:000601858000001","View Full Record in Web of Science")</f>
        <v>View Full Record in Web of Science</v>
      </c>
    </row>
    <row r="812" spans="1:72" x14ac:dyDescent="0.15">
      <c r="A812" t="s">
        <v>72</v>
      </c>
      <c r="B812" t="s">
        <v>15378</v>
      </c>
      <c r="C812" t="s">
        <v>74</v>
      </c>
      <c r="D812" t="s">
        <v>74</v>
      </c>
      <c r="E812" t="s">
        <v>74</v>
      </c>
      <c r="F812" t="s">
        <v>15379</v>
      </c>
      <c r="G812" t="s">
        <v>74</v>
      </c>
      <c r="H812" t="s">
        <v>74</v>
      </c>
      <c r="I812" t="s">
        <v>15380</v>
      </c>
      <c r="J812" t="s">
        <v>15381</v>
      </c>
      <c r="K812" t="s">
        <v>74</v>
      </c>
      <c r="L812" t="s">
        <v>74</v>
      </c>
      <c r="M812" t="s">
        <v>78</v>
      </c>
      <c r="N812" t="s">
        <v>1145</v>
      </c>
      <c r="O812" t="s">
        <v>74</v>
      </c>
      <c r="P812" t="s">
        <v>74</v>
      </c>
      <c r="Q812" t="s">
        <v>74</v>
      </c>
      <c r="R812" t="s">
        <v>74</v>
      </c>
      <c r="S812" t="s">
        <v>74</v>
      </c>
      <c r="T812" t="s">
        <v>15382</v>
      </c>
      <c r="U812" t="s">
        <v>74</v>
      </c>
      <c r="V812" t="s">
        <v>15383</v>
      </c>
      <c r="W812" t="s">
        <v>15384</v>
      </c>
      <c r="X812" t="s">
        <v>15385</v>
      </c>
      <c r="Y812" t="s">
        <v>15386</v>
      </c>
      <c r="Z812" t="s">
        <v>15387</v>
      </c>
      <c r="AA812" t="s">
        <v>15388</v>
      </c>
      <c r="AB812" t="s">
        <v>15389</v>
      </c>
      <c r="AC812" t="s">
        <v>15390</v>
      </c>
      <c r="AD812" t="s">
        <v>15391</v>
      </c>
      <c r="AE812" t="s">
        <v>15392</v>
      </c>
      <c r="AF812" t="s">
        <v>74</v>
      </c>
      <c r="AG812">
        <v>4</v>
      </c>
      <c r="AH812">
        <v>3</v>
      </c>
      <c r="AI812">
        <v>3</v>
      </c>
      <c r="AJ812">
        <v>0</v>
      </c>
      <c r="AK812">
        <v>1</v>
      </c>
      <c r="AL812" t="s">
        <v>92</v>
      </c>
      <c r="AM812" t="s">
        <v>93</v>
      </c>
      <c r="AN812" t="s">
        <v>94</v>
      </c>
      <c r="AO812" t="s">
        <v>15393</v>
      </c>
      <c r="AP812" t="s">
        <v>74</v>
      </c>
      <c r="AQ812" t="s">
        <v>74</v>
      </c>
      <c r="AR812" t="s">
        <v>15394</v>
      </c>
      <c r="AS812" t="s">
        <v>15395</v>
      </c>
      <c r="AT812" t="s">
        <v>12678</v>
      </c>
      <c r="AU812">
        <v>2020</v>
      </c>
      <c r="AV812">
        <v>33</v>
      </c>
      <c r="AW812" t="s">
        <v>74</v>
      </c>
      <c r="AX812" t="s">
        <v>74</v>
      </c>
      <c r="AY812" t="s">
        <v>74</v>
      </c>
      <c r="AZ812" t="s">
        <v>74</v>
      </c>
      <c r="BA812" t="s">
        <v>74</v>
      </c>
      <c r="BB812" t="s">
        <v>74</v>
      </c>
      <c r="BC812" t="s">
        <v>74</v>
      </c>
      <c r="BD812">
        <v>106557</v>
      </c>
      <c r="BE812" t="s">
        <v>15396</v>
      </c>
      <c r="BF812" t="str">
        <f>HYPERLINK("http://dx.doi.org/10.1016/j.dib.2020.106557","http://dx.doi.org/10.1016/j.dib.2020.106557")</f>
        <v>http://dx.doi.org/10.1016/j.dib.2020.106557</v>
      </c>
      <c r="BG812" t="s">
        <v>74</v>
      </c>
      <c r="BH812" t="s">
        <v>74</v>
      </c>
      <c r="BI812">
        <v>5</v>
      </c>
      <c r="BJ812" t="s">
        <v>534</v>
      </c>
      <c r="BK812" t="s">
        <v>3050</v>
      </c>
      <c r="BL812" t="s">
        <v>535</v>
      </c>
      <c r="BM812" t="s">
        <v>15397</v>
      </c>
      <c r="BN812">
        <v>33304955</v>
      </c>
      <c r="BO812" t="s">
        <v>246</v>
      </c>
      <c r="BP812" t="s">
        <v>74</v>
      </c>
      <c r="BQ812" t="s">
        <v>74</v>
      </c>
      <c r="BR812" t="s">
        <v>106</v>
      </c>
      <c r="BS812" t="s">
        <v>15398</v>
      </c>
      <c r="BT812" t="str">
        <f>HYPERLINK("https%3A%2F%2Fwww.webofscience.com%2Fwos%2Fwoscc%2Ffull-record%2FWOS:000600652300221","View Full Record in Web of Science")</f>
        <v>View Full Record in Web of Science</v>
      </c>
    </row>
    <row r="813" spans="1:72" x14ac:dyDescent="0.15">
      <c r="A813" t="s">
        <v>72</v>
      </c>
      <c r="B813" t="s">
        <v>15399</v>
      </c>
      <c r="C813" t="s">
        <v>74</v>
      </c>
      <c r="D813" t="s">
        <v>74</v>
      </c>
      <c r="E813" t="s">
        <v>74</v>
      </c>
      <c r="F813" t="s">
        <v>15400</v>
      </c>
      <c r="G813" t="s">
        <v>74</v>
      </c>
      <c r="H813" t="s">
        <v>74</v>
      </c>
      <c r="I813" t="s">
        <v>15401</v>
      </c>
      <c r="J813" t="s">
        <v>15402</v>
      </c>
      <c r="K813" t="s">
        <v>74</v>
      </c>
      <c r="L813" t="s">
        <v>74</v>
      </c>
      <c r="M813" t="s">
        <v>78</v>
      </c>
      <c r="N813" t="s">
        <v>79</v>
      </c>
      <c r="O813" t="s">
        <v>74</v>
      </c>
      <c r="P813" t="s">
        <v>74</v>
      </c>
      <c r="Q813" t="s">
        <v>74</v>
      </c>
      <c r="R813" t="s">
        <v>74</v>
      </c>
      <c r="S813" t="s">
        <v>74</v>
      </c>
      <c r="T813" t="s">
        <v>15403</v>
      </c>
      <c r="U813" t="s">
        <v>15404</v>
      </c>
      <c r="V813" t="s">
        <v>15405</v>
      </c>
      <c r="W813" t="s">
        <v>15406</v>
      </c>
      <c r="X813" t="s">
        <v>8983</v>
      </c>
      <c r="Y813" t="s">
        <v>15407</v>
      </c>
      <c r="Z813" t="s">
        <v>15408</v>
      </c>
      <c r="AA813" t="s">
        <v>15409</v>
      </c>
      <c r="AB813" t="s">
        <v>15410</v>
      </c>
      <c r="AC813" t="s">
        <v>8988</v>
      </c>
      <c r="AD813" t="s">
        <v>8989</v>
      </c>
      <c r="AE813" t="s">
        <v>15411</v>
      </c>
      <c r="AF813" t="s">
        <v>74</v>
      </c>
      <c r="AG813">
        <v>48</v>
      </c>
      <c r="AH813">
        <v>7</v>
      </c>
      <c r="AI813">
        <v>7</v>
      </c>
      <c r="AJ813">
        <v>0</v>
      </c>
      <c r="AK813">
        <v>4</v>
      </c>
      <c r="AL813" t="s">
        <v>8526</v>
      </c>
      <c r="AM813" t="s">
        <v>2921</v>
      </c>
      <c r="AN813" t="s">
        <v>8527</v>
      </c>
      <c r="AO813" t="s">
        <v>74</v>
      </c>
      <c r="AP813" t="s">
        <v>15412</v>
      </c>
      <c r="AQ813" t="s">
        <v>74</v>
      </c>
      <c r="AR813" t="s">
        <v>15402</v>
      </c>
      <c r="AS813" t="s">
        <v>15413</v>
      </c>
      <c r="AT813" t="s">
        <v>12678</v>
      </c>
      <c r="AU813">
        <v>2020</v>
      </c>
      <c r="AV813">
        <v>12</v>
      </c>
      <c r="AW813">
        <v>12</v>
      </c>
      <c r="AX813" t="s">
        <v>74</v>
      </c>
      <c r="AY813" t="s">
        <v>74</v>
      </c>
      <c r="AZ813" t="s">
        <v>74</v>
      </c>
      <c r="BA813" t="s">
        <v>74</v>
      </c>
      <c r="BB813" t="s">
        <v>74</v>
      </c>
      <c r="BC813" t="s">
        <v>74</v>
      </c>
      <c r="BD813">
        <v>450</v>
      </c>
      <c r="BE813" t="s">
        <v>15414</v>
      </c>
      <c r="BF813" t="str">
        <f>HYPERLINK("http://dx.doi.org/10.3390/d12120450","http://dx.doi.org/10.3390/d12120450")</f>
        <v>http://dx.doi.org/10.3390/d12120450</v>
      </c>
      <c r="BG813" t="s">
        <v>74</v>
      </c>
      <c r="BH813" t="s">
        <v>74</v>
      </c>
      <c r="BI813">
        <v>13</v>
      </c>
      <c r="BJ813" t="s">
        <v>1052</v>
      </c>
      <c r="BK813" t="s">
        <v>103</v>
      </c>
      <c r="BL813" t="s">
        <v>1053</v>
      </c>
      <c r="BM813" t="s">
        <v>15415</v>
      </c>
      <c r="BN813" t="s">
        <v>74</v>
      </c>
      <c r="BO813" t="s">
        <v>11791</v>
      </c>
      <c r="BP813" t="s">
        <v>74</v>
      </c>
      <c r="BQ813" t="s">
        <v>74</v>
      </c>
      <c r="BR813" t="s">
        <v>106</v>
      </c>
      <c r="BS813" t="s">
        <v>15416</v>
      </c>
      <c r="BT813" t="str">
        <f>HYPERLINK("https%3A%2F%2Fwww.webofscience.com%2Fwos%2Fwoscc%2Ffull-record%2FWOS:000602124300001","View Full Record in Web of Science")</f>
        <v>View Full Record in Web of Science</v>
      </c>
    </row>
    <row r="814" spans="1:72" x14ac:dyDescent="0.15">
      <c r="A814" t="s">
        <v>72</v>
      </c>
      <c r="B814" t="s">
        <v>15417</v>
      </c>
      <c r="C814" t="s">
        <v>74</v>
      </c>
      <c r="D814" t="s">
        <v>74</v>
      </c>
      <c r="E814" t="s">
        <v>74</v>
      </c>
      <c r="F814" t="s">
        <v>15418</v>
      </c>
      <c r="G814" t="s">
        <v>74</v>
      </c>
      <c r="H814" t="s">
        <v>74</v>
      </c>
      <c r="I814" t="s">
        <v>15419</v>
      </c>
      <c r="J814" t="s">
        <v>8978</v>
      </c>
      <c r="K814" t="s">
        <v>74</v>
      </c>
      <c r="L814" t="s">
        <v>74</v>
      </c>
      <c r="M814" t="s">
        <v>78</v>
      </c>
      <c r="N814" t="s">
        <v>79</v>
      </c>
      <c r="O814" t="s">
        <v>74</v>
      </c>
      <c r="P814" t="s">
        <v>74</v>
      </c>
      <c r="Q814" t="s">
        <v>74</v>
      </c>
      <c r="R814" t="s">
        <v>74</v>
      </c>
      <c r="S814" t="s">
        <v>74</v>
      </c>
      <c r="T814" t="s">
        <v>15420</v>
      </c>
      <c r="U814" t="s">
        <v>15421</v>
      </c>
      <c r="V814" t="s">
        <v>15422</v>
      </c>
      <c r="W814" t="s">
        <v>15423</v>
      </c>
      <c r="X814" t="s">
        <v>15424</v>
      </c>
      <c r="Y814" t="s">
        <v>15425</v>
      </c>
      <c r="Z814" t="s">
        <v>15426</v>
      </c>
      <c r="AA814" t="s">
        <v>15427</v>
      </c>
      <c r="AB814" t="s">
        <v>15428</v>
      </c>
      <c r="AC814" t="s">
        <v>15429</v>
      </c>
      <c r="AD814" t="s">
        <v>15430</v>
      </c>
      <c r="AE814" t="s">
        <v>15431</v>
      </c>
      <c r="AF814" t="s">
        <v>74</v>
      </c>
      <c r="AG814">
        <v>57</v>
      </c>
      <c r="AH814">
        <v>3</v>
      </c>
      <c r="AI814">
        <v>3</v>
      </c>
      <c r="AJ814">
        <v>1</v>
      </c>
      <c r="AK814">
        <v>5</v>
      </c>
      <c r="AL814" t="s">
        <v>8526</v>
      </c>
      <c r="AM814" t="s">
        <v>2921</v>
      </c>
      <c r="AN814" t="s">
        <v>8527</v>
      </c>
      <c r="AO814" t="s">
        <v>74</v>
      </c>
      <c r="AP814" t="s">
        <v>8991</v>
      </c>
      <c r="AQ814" t="s">
        <v>74</v>
      </c>
      <c r="AR814" t="s">
        <v>8992</v>
      </c>
      <c r="AS814" t="s">
        <v>8993</v>
      </c>
      <c r="AT814" t="s">
        <v>12678</v>
      </c>
      <c r="AU814">
        <v>2020</v>
      </c>
      <c r="AV814">
        <v>11</v>
      </c>
      <c r="AW814">
        <v>12</v>
      </c>
      <c r="AX814" t="s">
        <v>74</v>
      </c>
      <c r="AY814" t="s">
        <v>74</v>
      </c>
      <c r="AZ814" t="s">
        <v>74</v>
      </c>
      <c r="BA814" t="s">
        <v>74</v>
      </c>
      <c r="BB814" t="s">
        <v>74</v>
      </c>
      <c r="BC814" t="s">
        <v>74</v>
      </c>
      <c r="BD814">
        <v>1515</v>
      </c>
      <c r="BE814" t="s">
        <v>15432</v>
      </c>
      <c r="BF814" t="str">
        <f>HYPERLINK("http://dx.doi.org/10.3390/genes11121515","http://dx.doi.org/10.3390/genes11121515")</f>
        <v>http://dx.doi.org/10.3390/genes11121515</v>
      </c>
      <c r="BG814" t="s">
        <v>74</v>
      </c>
      <c r="BH814" t="s">
        <v>74</v>
      </c>
      <c r="BI814">
        <v>13</v>
      </c>
      <c r="BJ814" t="s">
        <v>2637</v>
      </c>
      <c r="BK814" t="s">
        <v>103</v>
      </c>
      <c r="BL814" t="s">
        <v>2637</v>
      </c>
      <c r="BM814" t="s">
        <v>15433</v>
      </c>
      <c r="BN814">
        <v>33352937</v>
      </c>
      <c r="BO814" t="s">
        <v>1105</v>
      </c>
      <c r="BP814" t="s">
        <v>74</v>
      </c>
      <c r="BQ814" t="s">
        <v>74</v>
      </c>
      <c r="BR814" t="s">
        <v>106</v>
      </c>
      <c r="BS814" t="s">
        <v>15434</v>
      </c>
      <c r="BT814" t="str">
        <f>HYPERLINK("https%3A%2F%2Fwww.webofscience.com%2Fwos%2Fwoscc%2Ffull-record%2FWOS:000602116500001","View Full Record in Web of Science")</f>
        <v>View Full Record in Web of Science</v>
      </c>
    </row>
    <row r="815" spans="1:72" x14ac:dyDescent="0.15">
      <c r="A815" t="s">
        <v>72</v>
      </c>
      <c r="B815" t="s">
        <v>15435</v>
      </c>
      <c r="C815" t="s">
        <v>74</v>
      </c>
      <c r="D815" t="s">
        <v>74</v>
      </c>
      <c r="E815" t="s">
        <v>74</v>
      </c>
      <c r="F815" t="s">
        <v>15436</v>
      </c>
      <c r="G815" t="s">
        <v>74</v>
      </c>
      <c r="H815" t="s">
        <v>74</v>
      </c>
      <c r="I815" t="s">
        <v>15437</v>
      </c>
      <c r="J815" t="s">
        <v>15438</v>
      </c>
      <c r="K815" t="s">
        <v>74</v>
      </c>
      <c r="L815" t="s">
        <v>74</v>
      </c>
      <c r="M815" t="s">
        <v>78</v>
      </c>
      <c r="N815" t="s">
        <v>79</v>
      </c>
      <c r="O815" t="s">
        <v>74</v>
      </c>
      <c r="P815" t="s">
        <v>74</v>
      </c>
      <c r="Q815" t="s">
        <v>74</v>
      </c>
      <c r="R815" t="s">
        <v>74</v>
      </c>
      <c r="S815" t="s">
        <v>74</v>
      </c>
      <c r="T815" t="s">
        <v>15439</v>
      </c>
      <c r="U815" t="s">
        <v>15440</v>
      </c>
      <c r="V815" t="s">
        <v>15441</v>
      </c>
      <c r="W815" t="s">
        <v>15442</v>
      </c>
      <c r="X815" t="s">
        <v>15443</v>
      </c>
      <c r="Y815" t="s">
        <v>15444</v>
      </c>
      <c r="Z815" t="s">
        <v>15445</v>
      </c>
      <c r="AA815" t="s">
        <v>15446</v>
      </c>
      <c r="AB815" t="s">
        <v>15447</v>
      </c>
      <c r="AC815" t="s">
        <v>15448</v>
      </c>
      <c r="AD815" t="s">
        <v>15449</v>
      </c>
      <c r="AE815" t="s">
        <v>15450</v>
      </c>
      <c r="AF815" t="s">
        <v>74</v>
      </c>
      <c r="AG815">
        <v>55</v>
      </c>
      <c r="AH815">
        <v>1</v>
      </c>
      <c r="AI815">
        <v>1</v>
      </c>
      <c r="AJ815">
        <v>4</v>
      </c>
      <c r="AK815">
        <v>39</v>
      </c>
      <c r="AL815" t="s">
        <v>552</v>
      </c>
      <c r="AM815" t="s">
        <v>553</v>
      </c>
      <c r="AN815" t="s">
        <v>554</v>
      </c>
      <c r="AO815" t="s">
        <v>15451</v>
      </c>
      <c r="AP815" t="s">
        <v>15452</v>
      </c>
      <c r="AQ815" t="s">
        <v>74</v>
      </c>
      <c r="AR815" t="s">
        <v>15453</v>
      </c>
      <c r="AS815" t="s">
        <v>15454</v>
      </c>
      <c r="AT815" t="s">
        <v>12678</v>
      </c>
      <c r="AU815">
        <v>2020</v>
      </c>
      <c r="AV815">
        <v>51</v>
      </c>
      <c r="AW815">
        <v>12</v>
      </c>
      <c r="AX815" t="s">
        <v>74</v>
      </c>
      <c r="AY815" t="s">
        <v>74</v>
      </c>
      <c r="AZ815" t="s">
        <v>74</v>
      </c>
      <c r="BA815" t="s">
        <v>74</v>
      </c>
      <c r="BB815" t="s">
        <v>74</v>
      </c>
      <c r="BC815" t="s">
        <v>74</v>
      </c>
      <c r="BD815" t="s">
        <v>15455</v>
      </c>
      <c r="BE815" t="s">
        <v>15456</v>
      </c>
      <c r="BF815" t="str">
        <f>HYPERLINK("http://dx.doi.org/10.1111/jav.02612","http://dx.doi.org/10.1111/jav.02612")</f>
        <v>http://dx.doi.org/10.1111/jav.02612</v>
      </c>
      <c r="BG815" t="s">
        <v>74</v>
      </c>
      <c r="BH815" t="s">
        <v>74</v>
      </c>
      <c r="BI815">
        <v>11</v>
      </c>
      <c r="BJ815" t="s">
        <v>1027</v>
      </c>
      <c r="BK815" t="s">
        <v>103</v>
      </c>
      <c r="BL815" t="s">
        <v>1028</v>
      </c>
      <c r="BM815" t="s">
        <v>15457</v>
      </c>
      <c r="BN815" t="s">
        <v>74</v>
      </c>
      <c r="BO815" t="s">
        <v>15458</v>
      </c>
      <c r="BP815" t="s">
        <v>74</v>
      </c>
      <c r="BQ815" t="s">
        <v>74</v>
      </c>
      <c r="BR815" t="s">
        <v>106</v>
      </c>
      <c r="BS815" t="s">
        <v>15459</v>
      </c>
      <c r="BT815" t="str">
        <f>HYPERLINK("https%3A%2F%2Fwww.webofscience.com%2Fwos%2Fwoscc%2Ffull-record%2FWOS:000601296800002","View Full Record in Web of Science")</f>
        <v>View Full Record in Web of Science</v>
      </c>
    </row>
    <row r="816" spans="1:72" x14ac:dyDescent="0.15">
      <c r="A816" t="s">
        <v>72</v>
      </c>
      <c r="B816" t="s">
        <v>15460</v>
      </c>
      <c r="C816" t="s">
        <v>74</v>
      </c>
      <c r="D816" t="s">
        <v>74</v>
      </c>
      <c r="E816" t="s">
        <v>74</v>
      </c>
      <c r="F816" t="s">
        <v>15461</v>
      </c>
      <c r="G816" t="s">
        <v>74</v>
      </c>
      <c r="H816" t="s">
        <v>74</v>
      </c>
      <c r="I816" t="s">
        <v>15462</v>
      </c>
      <c r="J816" t="s">
        <v>15463</v>
      </c>
      <c r="K816" t="s">
        <v>74</v>
      </c>
      <c r="L816" t="s">
        <v>74</v>
      </c>
      <c r="M816" t="s">
        <v>78</v>
      </c>
      <c r="N816" t="s">
        <v>79</v>
      </c>
      <c r="O816" t="s">
        <v>74</v>
      </c>
      <c r="P816" t="s">
        <v>74</v>
      </c>
      <c r="Q816" t="s">
        <v>74</v>
      </c>
      <c r="R816" t="s">
        <v>74</v>
      </c>
      <c r="S816" t="s">
        <v>74</v>
      </c>
      <c r="T816" t="s">
        <v>15464</v>
      </c>
      <c r="U816" t="s">
        <v>15465</v>
      </c>
      <c r="V816" t="s">
        <v>15466</v>
      </c>
      <c r="W816" t="s">
        <v>15467</v>
      </c>
      <c r="X816" t="s">
        <v>15468</v>
      </c>
      <c r="Y816" t="s">
        <v>15469</v>
      </c>
      <c r="Z816" t="s">
        <v>15470</v>
      </c>
      <c r="AA816" t="s">
        <v>15471</v>
      </c>
      <c r="AB816" t="s">
        <v>15472</v>
      </c>
      <c r="AC816" t="s">
        <v>15473</v>
      </c>
      <c r="AD816" t="s">
        <v>15474</v>
      </c>
      <c r="AE816" t="s">
        <v>15475</v>
      </c>
      <c r="AF816" t="s">
        <v>74</v>
      </c>
      <c r="AG816">
        <v>40</v>
      </c>
      <c r="AH816">
        <v>3</v>
      </c>
      <c r="AI816">
        <v>4</v>
      </c>
      <c r="AJ816">
        <v>2</v>
      </c>
      <c r="AK816">
        <v>17</v>
      </c>
      <c r="AL816" t="s">
        <v>177</v>
      </c>
      <c r="AM816" t="s">
        <v>178</v>
      </c>
      <c r="AN816" t="s">
        <v>179</v>
      </c>
      <c r="AO816" t="s">
        <v>15476</v>
      </c>
      <c r="AP816" t="s">
        <v>15477</v>
      </c>
      <c r="AQ816" t="s">
        <v>74</v>
      </c>
      <c r="AR816" t="s">
        <v>15478</v>
      </c>
      <c r="AS816" t="s">
        <v>15479</v>
      </c>
      <c r="AT816" t="s">
        <v>12678</v>
      </c>
      <c r="AU816">
        <v>2020</v>
      </c>
      <c r="AV816">
        <v>225</v>
      </c>
      <c r="AW816" t="s">
        <v>74</v>
      </c>
      <c r="AX816" t="s">
        <v>74</v>
      </c>
      <c r="AY816" t="s">
        <v>74</v>
      </c>
      <c r="AZ816" t="s">
        <v>74</v>
      </c>
      <c r="BA816" t="s">
        <v>74</v>
      </c>
      <c r="BB816" t="s">
        <v>74</v>
      </c>
      <c r="BC816" t="s">
        <v>74</v>
      </c>
      <c r="BD816">
        <v>106424</v>
      </c>
      <c r="BE816" t="s">
        <v>15480</v>
      </c>
      <c r="BF816" t="str">
        <f>HYPERLINK("http://dx.doi.org/10.1016/j.jenvrad.2020.106424","http://dx.doi.org/10.1016/j.jenvrad.2020.106424")</f>
        <v>http://dx.doi.org/10.1016/j.jenvrad.2020.106424</v>
      </c>
      <c r="BG816" t="s">
        <v>74</v>
      </c>
      <c r="BH816" t="s">
        <v>74</v>
      </c>
      <c r="BI816">
        <v>7</v>
      </c>
      <c r="BJ816" t="s">
        <v>102</v>
      </c>
      <c r="BK816" t="s">
        <v>103</v>
      </c>
      <c r="BL816" t="s">
        <v>104</v>
      </c>
      <c r="BM816" t="s">
        <v>15481</v>
      </c>
      <c r="BN816">
        <v>32966942</v>
      </c>
      <c r="BO816" t="s">
        <v>428</v>
      </c>
      <c r="BP816" t="s">
        <v>74</v>
      </c>
      <c r="BQ816" t="s">
        <v>74</v>
      </c>
      <c r="BR816" t="s">
        <v>106</v>
      </c>
      <c r="BS816" t="s">
        <v>15482</v>
      </c>
      <c r="BT816" t="str">
        <f>HYPERLINK("https%3A%2F%2Fwww.webofscience.com%2Fwos%2Fwoscc%2Ffull-record%2FWOS:000600907200009","View Full Record in Web of Science")</f>
        <v>View Full Record in Web of Science</v>
      </c>
    </row>
    <row r="817" spans="1:72" x14ac:dyDescent="0.15">
      <c r="A817" t="s">
        <v>72</v>
      </c>
      <c r="B817" t="s">
        <v>15483</v>
      </c>
      <c r="C817" t="s">
        <v>74</v>
      </c>
      <c r="D817" t="s">
        <v>74</v>
      </c>
      <c r="E817" t="s">
        <v>74</v>
      </c>
      <c r="F817" t="s">
        <v>15484</v>
      </c>
      <c r="G817" t="s">
        <v>74</v>
      </c>
      <c r="H817" t="s">
        <v>74</v>
      </c>
      <c r="I817" t="s">
        <v>15485</v>
      </c>
      <c r="J817" t="s">
        <v>15223</v>
      </c>
      <c r="K817" t="s">
        <v>74</v>
      </c>
      <c r="L817" t="s">
        <v>74</v>
      </c>
      <c r="M817" t="s">
        <v>78</v>
      </c>
      <c r="N817" t="s">
        <v>79</v>
      </c>
      <c r="O817" t="s">
        <v>74</v>
      </c>
      <c r="P817" t="s">
        <v>74</v>
      </c>
      <c r="Q817" t="s">
        <v>74</v>
      </c>
      <c r="R817" t="s">
        <v>74</v>
      </c>
      <c r="S817" t="s">
        <v>74</v>
      </c>
      <c r="T817" t="s">
        <v>15486</v>
      </c>
      <c r="U817" t="s">
        <v>15487</v>
      </c>
      <c r="V817" t="s">
        <v>15488</v>
      </c>
      <c r="W817" t="s">
        <v>15489</v>
      </c>
      <c r="X817" t="s">
        <v>15490</v>
      </c>
      <c r="Y817" t="s">
        <v>15491</v>
      </c>
      <c r="Z817" t="s">
        <v>15492</v>
      </c>
      <c r="AA817" t="s">
        <v>15493</v>
      </c>
      <c r="AB817" t="s">
        <v>15494</v>
      </c>
      <c r="AC817" t="s">
        <v>15495</v>
      </c>
      <c r="AD817" t="s">
        <v>15496</v>
      </c>
      <c r="AE817" t="s">
        <v>15497</v>
      </c>
      <c r="AF817" t="s">
        <v>74</v>
      </c>
      <c r="AG817">
        <v>27</v>
      </c>
      <c r="AH817">
        <v>6</v>
      </c>
      <c r="AI817">
        <v>7</v>
      </c>
      <c r="AJ817">
        <v>5</v>
      </c>
      <c r="AK817">
        <v>20</v>
      </c>
      <c r="AL817" t="s">
        <v>8526</v>
      </c>
      <c r="AM817" t="s">
        <v>2921</v>
      </c>
      <c r="AN817" t="s">
        <v>8527</v>
      </c>
      <c r="AO817" t="s">
        <v>74</v>
      </c>
      <c r="AP817" t="s">
        <v>15232</v>
      </c>
      <c r="AQ817" t="s">
        <v>74</v>
      </c>
      <c r="AR817" t="s">
        <v>15233</v>
      </c>
      <c r="AS817" t="s">
        <v>15234</v>
      </c>
      <c r="AT817" t="s">
        <v>12678</v>
      </c>
      <c r="AU817">
        <v>2020</v>
      </c>
      <c r="AV817">
        <v>18</v>
      </c>
      <c r="AW817">
        <v>12</v>
      </c>
      <c r="AX817" t="s">
        <v>74</v>
      </c>
      <c r="AY817" t="s">
        <v>74</v>
      </c>
      <c r="AZ817" t="s">
        <v>74</v>
      </c>
      <c r="BA817" t="s">
        <v>74</v>
      </c>
      <c r="BB817" t="s">
        <v>74</v>
      </c>
      <c r="BC817" t="s">
        <v>74</v>
      </c>
      <c r="BD817">
        <v>592</v>
      </c>
      <c r="BE817" t="s">
        <v>15498</v>
      </c>
      <c r="BF817" t="str">
        <f>HYPERLINK("http://dx.doi.org/10.3390/md18120592","http://dx.doi.org/10.3390/md18120592")</f>
        <v>http://dx.doi.org/10.3390/md18120592</v>
      </c>
      <c r="BG817" t="s">
        <v>74</v>
      </c>
      <c r="BH817" t="s">
        <v>74</v>
      </c>
      <c r="BI817">
        <v>14</v>
      </c>
      <c r="BJ817" t="s">
        <v>15236</v>
      </c>
      <c r="BK817" t="s">
        <v>103</v>
      </c>
      <c r="BL817" t="s">
        <v>15237</v>
      </c>
      <c r="BM817" t="s">
        <v>15499</v>
      </c>
      <c r="BN817">
        <v>33255932</v>
      </c>
      <c r="BO817" t="s">
        <v>246</v>
      </c>
      <c r="BP817" t="s">
        <v>74</v>
      </c>
      <c r="BQ817" t="s">
        <v>74</v>
      </c>
      <c r="BR817" t="s">
        <v>106</v>
      </c>
      <c r="BS817" t="s">
        <v>15500</v>
      </c>
      <c r="BT817" t="str">
        <f>HYPERLINK("https%3A%2F%2Fwww.webofscience.com%2Fwos%2Fwoscc%2Ffull-record%2FWOS:000602161300001","View Full Record in Web of Science")</f>
        <v>View Full Record in Web of Science</v>
      </c>
    </row>
    <row r="818" spans="1:72" x14ac:dyDescent="0.15">
      <c r="A818" t="s">
        <v>72</v>
      </c>
      <c r="B818" t="s">
        <v>15501</v>
      </c>
      <c r="C818" t="s">
        <v>74</v>
      </c>
      <c r="D818" t="s">
        <v>74</v>
      </c>
      <c r="E818" t="s">
        <v>74</v>
      </c>
      <c r="F818" t="s">
        <v>15502</v>
      </c>
      <c r="G818" t="s">
        <v>74</v>
      </c>
      <c r="H818" t="s">
        <v>74</v>
      </c>
      <c r="I818" t="s">
        <v>15503</v>
      </c>
      <c r="J818" t="s">
        <v>9521</v>
      </c>
      <c r="K818" t="s">
        <v>74</v>
      </c>
      <c r="L818" t="s">
        <v>74</v>
      </c>
      <c r="M818" t="s">
        <v>78</v>
      </c>
      <c r="N818" t="s">
        <v>79</v>
      </c>
      <c r="O818" t="s">
        <v>74</v>
      </c>
      <c r="P818" t="s">
        <v>74</v>
      </c>
      <c r="Q818" t="s">
        <v>74</v>
      </c>
      <c r="R818" t="s">
        <v>74</v>
      </c>
      <c r="S818" t="s">
        <v>74</v>
      </c>
      <c r="T818" t="s">
        <v>15504</v>
      </c>
      <c r="U818" t="s">
        <v>15505</v>
      </c>
      <c r="V818" t="s">
        <v>15506</v>
      </c>
      <c r="W818" t="s">
        <v>15507</v>
      </c>
      <c r="X818" t="s">
        <v>15508</v>
      </c>
      <c r="Y818" t="s">
        <v>15509</v>
      </c>
      <c r="Z818" t="s">
        <v>15510</v>
      </c>
      <c r="AA818" t="s">
        <v>74</v>
      </c>
      <c r="AB818" t="s">
        <v>15511</v>
      </c>
      <c r="AC818" t="s">
        <v>15512</v>
      </c>
      <c r="AD818" t="s">
        <v>15512</v>
      </c>
      <c r="AE818" t="s">
        <v>15513</v>
      </c>
      <c r="AF818" t="s">
        <v>74</v>
      </c>
      <c r="AG818">
        <v>59</v>
      </c>
      <c r="AH818">
        <v>16</v>
      </c>
      <c r="AI818">
        <v>17</v>
      </c>
      <c r="AJ818">
        <v>1</v>
      </c>
      <c r="AK818">
        <v>28</v>
      </c>
      <c r="AL818" t="s">
        <v>177</v>
      </c>
      <c r="AM818" t="s">
        <v>178</v>
      </c>
      <c r="AN818" t="s">
        <v>179</v>
      </c>
      <c r="AO818" t="s">
        <v>9534</v>
      </c>
      <c r="AP818" t="s">
        <v>9535</v>
      </c>
      <c r="AQ818" t="s">
        <v>74</v>
      </c>
      <c r="AR818" t="s">
        <v>9536</v>
      </c>
      <c r="AS818" t="s">
        <v>9537</v>
      </c>
      <c r="AT818" t="s">
        <v>12678</v>
      </c>
      <c r="AU818">
        <v>2020</v>
      </c>
      <c r="AV818">
        <v>122</v>
      </c>
      <c r="AW818" t="s">
        <v>74</v>
      </c>
      <c r="AX818" t="s">
        <v>74</v>
      </c>
      <c r="AY818" t="s">
        <v>74</v>
      </c>
      <c r="AZ818" t="s">
        <v>74</v>
      </c>
      <c r="BA818" t="s">
        <v>74</v>
      </c>
      <c r="BB818" t="s">
        <v>74</v>
      </c>
      <c r="BC818" t="s">
        <v>74</v>
      </c>
      <c r="BD818">
        <v>104212</v>
      </c>
      <c r="BE818" t="s">
        <v>15514</v>
      </c>
      <c r="BF818" t="str">
        <f>HYPERLINK("http://dx.doi.org/10.1016/j.marpol.2020.104212","http://dx.doi.org/10.1016/j.marpol.2020.104212")</f>
        <v>http://dx.doi.org/10.1016/j.marpol.2020.104212</v>
      </c>
      <c r="BG818" t="s">
        <v>74</v>
      </c>
      <c r="BH818" t="s">
        <v>74</v>
      </c>
      <c r="BI818">
        <v>9</v>
      </c>
      <c r="BJ818" t="s">
        <v>9539</v>
      </c>
      <c r="BK818" t="s">
        <v>2733</v>
      </c>
      <c r="BL818" t="s">
        <v>9540</v>
      </c>
      <c r="BM818" t="s">
        <v>15515</v>
      </c>
      <c r="BN818">
        <v>33041439</v>
      </c>
      <c r="BO818" t="s">
        <v>1708</v>
      </c>
      <c r="BP818" t="s">
        <v>74</v>
      </c>
      <c r="BQ818" t="s">
        <v>74</v>
      </c>
      <c r="BR818" t="s">
        <v>106</v>
      </c>
      <c r="BS818" t="s">
        <v>15516</v>
      </c>
      <c r="BT818" t="str">
        <f>HYPERLINK("https%3A%2F%2Fwww.webofscience.com%2Fwos%2Fwoscc%2Ffull-record%2FWOS:000598174400019","View Full Record in Web of Science")</f>
        <v>View Full Record in Web of Science</v>
      </c>
    </row>
    <row r="819" spans="1:72" x14ac:dyDescent="0.15">
      <c r="A819" t="s">
        <v>72</v>
      </c>
      <c r="B819" t="s">
        <v>15517</v>
      </c>
      <c r="C819" t="s">
        <v>74</v>
      </c>
      <c r="D819" t="s">
        <v>74</v>
      </c>
      <c r="E819" t="s">
        <v>74</v>
      </c>
      <c r="F819" t="s">
        <v>15518</v>
      </c>
      <c r="G819" t="s">
        <v>74</v>
      </c>
      <c r="H819" t="s">
        <v>74</v>
      </c>
      <c r="I819" t="s">
        <v>15519</v>
      </c>
      <c r="J819" t="s">
        <v>9100</v>
      </c>
      <c r="K819" t="s">
        <v>74</v>
      </c>
      <c r="L819" t="s">
        <v>74</v>
      </c>
      <c r="M819" t="s">
        <v>78</v>
      </c>
      <c r="N819" t="s">
        <v>141</v>
      </c>
      <c r="O819" t="s">
        <v>74</v>
      </c>
      <c r="P819" t="s">
        <v>74</v>
      </c>
      <c r="Q819" t="s">
        <v>74</v>
      </c>
      <c r="R819" t="s">
        <v>74</v>
      </c>
      <c r="S819" t="s">
        <v>74</v>
      </c>
      <c r="T819" t="s">
        <v>15520</v>
      </c>
      <c r="U819" t="s">
        <v>15521</v>
      </c>
      <c r="V819" t="s">
        <v>15522</v>
      </c>
      <c r="W819" t="s">
        <v>15523</v>
      </c>
      <c r="X819" t="s">
        <v>15524</v>
      </c>
      <c r="Y819" t="s">
        <v>15525</v>
      </c>
      <c r="Z819" t="s">
        <v>15526</v>
      </c>
      <c r="AA819" t="s">
        <v>15527</v>
      </c>
      <c r="AB819" t="s">
        <v>15528</v>
      </c>
      <c r="AC819" t="s">
        <v>15529</v>
      </c>
      <c r="AD819" t="s">
        <v>15530</v>
      </c>
      <c r="AE819" t="s">
        <v>15531</v>
      </c>
      <c r="AF819" t="s">
        <v>74</v>
      </c>
      <c r="AG819">
        <v>187</v>
      </c>
      <c r="AH819">
        <v>17</v>
      </c>
      <c r="AI819">
        <v>20</v>
      </c>
      <c r="AJ819">
        <v>9</v>
      </c>
      <c r="AK819">
        <v>56</v>
      </c>
      <c r="AL819" t="s">
        <v>8526</v>
      </c>
      <c r="AM819" t="s">
        <v>2921</v>
      </c>
      <c r="AN819" t="s">
        <v>8527</v>
      </c>
      <c r="AO819" t="s">
        <v>74</v>
      </c>
      <c r="AP819" t="s">
        <v>9113</v>
      </c>
      <c r="AQ819" t="s">
        <v>74</v>
      </c>
      <c r="AR819" t="s">
        <v>9100</v>
      </c>
      <c r="AS819" t="s">
        <v>9114</v>
      </c>
      <c r="AT819" t="s">
        <v>12678</v>
      </c>
      <c r="AU819">
        <v>2020</v>
      </c>
      <c r="AV819">
        <v>8</v>
      </c>
      <c r="AW819">
        <v>12</v>
      </c>
      <c r="AX819" t="s">
        <v>74</v>
      </c>
      <c r="AY819" t="s">
        <v>74</v>
      </c>
      <c r="AZ819" t="s">
        <v>74</v>
      </c>
      <c r="BA819" t="s">
        <v>74</v>
      </c>
      <c r="BB819" t="s">
        <v>74</v>
      </c>
      <c r="BC819" t="s">
        <v>74</v>
      </c>
      <c r="BD819">
        <v>1957</v>
      </c>
      <c r="BE819" t="s">
        <v>15532</v>
      </c>
      <c r="BF819" t="str">
        <f>HYPERLINK("http://dx.doi.org/10.3390/microorganisms8121957","http://dx.doi.org/10.3390/microorganisms8121957")</f>
        <v>http://dx.doi.org/10.3390/microorganisms8121957</v>
      </c>
      <c r="BG819" t="s">
        <v>74</v>
      </c>
      <c r="BH819" t="s">
        <v>74</v>
      </c>
      <c r="BI819">
        <v>30</v>
      </c>
      <c r="BJ819" t="s">
        <v>3581</v>
      </c>
      <c r="BK819" t="s">
        <v>103</v>
      </c>
      <c r="BL819" t="s">
        <v>3581</v>
      </c>
      <c r="BM819" t="s">
        <v>15533</v>
      </c>
      <c r="BN819">
        <v>33317109</v>
      </c>
      <c r="BO819" t="s">
        <v>246</v>
      </c>
      <c r="BP819" t="s">
        <v>74</v>
      </c>
      <c r="BQ819" t="s">
        <v>74</v>
      </c>
      <c r="BR819" t="s">
        <v>106</v>
      </c>
      <c r="BS819" t="s">
        <v>15534</v>
      </c>
      <c r="BT819" t="str">
        <f>HYPERLINK("https%3A%2F%2Fwww.webofscience.com%2Fwos%2Fwoscc%2Ffull-record%2FWOS:000602428600001","View Full Record in Web of Science")</f>
        <v>View Full Record in Web of Science</v>
      </c>
    </row>
    <row r="820" spans="1:72" x14ac:dyDescent="0.15">
      <c r="A820" t="s">
        <v>72</v>
      </c>
      <c r="B820" t="s">
        <v>15535</v>
      </c>
      <c r="C820" t="s">
        <v>74</v>
      </c>
      <c r="D820" t="s">
        <v>74</v>
      </c>
      <c r="E820" t="s">
        <v>74</v>
      </c>
      <c r="F820" t="s">
        <v>15536</v>
      </c>
      <c r="G820" t="s">
        <v>74</v>
      </c>
      <c r="H820" t="s">
        <v>74</v>
      </c>
      <c r="I820" t="s">
        <v>15537</v>
      </c>
      <c r="J820" t="s">
        <v>15538</v>
      </c>
      <c r="K820" t="s">
        <v>74</v>
      </c>
      <c r="L820" t="s">
        <v>74</v>
      </c>
      <c r="M820" t="s">
        <v>78</v>
      </c>
      <c r="N820" t="s">
        <v>79</v>
      </c>
      <c r="O820" t="s">
        <v>74</v>
      </c>
      <c r="P820" t="s">
        <v>74</v>
      </c>
      <c r="Q820" t="s">
        <v>74</v>
      </c>
      <c r="R820" t="s">
        <v>74</v>
      </c>
      <c r="S820" t="s">
        <v>74</v>
      </c>
      <c r="T820" t="s">
        <v>15539</v>
      </c>
      <c r="U820" t="s">
        <v>15540</v>
      </c>
      <c r="V820" t="s">
        <v>15541</v>
      </c>
      <c r="W820" t="s">
        <v>15542</v>
      </c>
      <c r="X820" t="s">
        <v>10816</v>
      </c>
      <c r="Y820" t="s">
        <v>15543</v>
      </c>
      <c r="Z820" t="s">
        <v>15544</v>
      </c>
      <c r="AA820" t="s">
        <v>74</v>
      </c>
      <c r="AB820" t="s">
        <v>15545</v>
      </c>
      <c r="AC820" t="s">
        <v>15546</v>
      </c>
      <c r="AD820" t="s">
        <v>15547</v>
      </c>
      <c r="AE820" t="s">
        <v>15548</v>
      </c>
      <c r="AF820" t="s">
        <v>74</v>
      </c>
      <c r="AG820">
        <v>41</v>
      </c>
      <c r="AH820">
        <v>6</v>
      </c>
      <c r="AI820">
        <v>8</v>
      </c>
      <c r="AJ820">
        <v>0</v>
      </c>
      <c r="AK820">
        <v>9</v>
      </c>
      <c r="AL820" t="s">
        <v>8526</v>
      </c>
      <c r="AM820" t="s">
        <v>2921</v>
      </c>
      <c r="AN820" t="s">
        <v>8527</v>
      </c>
      <c r="AO820" t="s">
        <v>74</v>
      </c>
      <c r="AP820" t="s">
        <v>15549</v>
      </c>
      <c r="AQ820" t="s">
        <v>74</v>
      </c>
      <c r="AR820" t="s">
        <v>15550</v>
      </c>
      <c r="AS820" t="s">
        <v>15551</v>
      </c>
      <c r="AT820" t="s">
        <v>12678</v>
      </c>
      <c r="AU820">
        <v>2020</v>
      </c>
      <c r="AV820">
        <v>20</v>
      </c>
      <c r="AW820">
        <v>24</v>
      </c>
      <c r="AX820" t="s">
        <v>74</v>
      </c>
      <c r="AY820" t="s">
        <v>74</v>
      </c>
      <c r="AZ820" t="s">
        <v>74</v>
      </c>
      <c r="BA820" t="s">
        <v>74</v>
      </c>
      <c r="BB820" t="s">
        <v>74</v>
      </c>
      <c r="BC820" t="s">
        <v>74</v>
      </c>
      <c r="BD820">
        <v>7011</v>
      </c>
      <c r="BE820" t="s">
        <v>15552</v>
      </c>
      <c r="BF820" t="str">
        <f>HYPERLINK("http://dx.doi.org/10.3390/s20247011","http://dx.doi.org/10.3390/s20247011")</f>
        <v>http://dx.doi.org/10.3390/s20247011</v>
      </c>
      <c r="BG820" t="s">
        <v>74</v>
      </c>
      <c r="BH820" t="s">
        <v>74</v>
      </c>
      <c r="BI820">
        <v>18</v>
      </c>
      <c r="BJ820" t="s">
        <v>15553</v>
      </c>
      <c r="BK820" t="s">
        <v>103</v>
      </c>
      <c r="BL820" t="s">
        <v>15554</v>
      </c>
      <c r="BM820" t="s">
        <v>15555</v>
      </c>
      <c r="BN820">
        <v>33302393</v>
      </c>
      <c r="BO820" t="s">
        <v>1105</v>
      </c>
      <c r="BP820" t="s">
        <v>74</v>
      </c>
      <c r="BQ820" t="s">
        <v>74</v>
      </c>
      <c r="BR820" t="s">
        <v>106</v>
      </c>
      <c r="BS820" t="s">
        <v>15556</v>
      </c>
      <c r="BT820" t="str">
        <f>HYPERLINK("https%3A%2F%2Fwww.webofscience.com%2Fwos%2Fwoscc%2Ffull-record%2FWOS:000603323000001","View Full Record in Web of Science")</f>
        <v>View Full Record in Web of Science</v>
      </c>
    </row>
    <row r="821" spans="1:72" x14ac:dyDescent="0.15">
      <c r="A821" t="s">
        <v>72</v>
      </c>
      <c r="B821" t="s">
        <v>15557</v>
      </c>
      <c r="C821" t="s">
        <v>74</v>
      </c>
      <c r="D821" t="s">
        <v>74</v>
      </c>
      <c r="E821" t="s">
        <v>74</v>
      </c>
      <c r="F821" t="s">
        <v>15558</v>
      </c>
      <c r="G821" t="s">
        <v>74</v>
      </c>
      <c r="H821" t="s">
        <v>74</v>
      </c>
      <c r="I821" t="s">
        <v>15559</v>
      </c>
      <c r="J821" t="s">
        <v>15560</v>
      </c>
      <c r="K821" t="s">
        <v>74</v>
      </c>
      <c r="L821" t="s">
        <v>74</v>
      </c>
      <c r="M821" t="s">
        <v>78</v>
      </c>
      <c r="N821" t="s">
        <v>79</v>
      </c>
      <c r="O821" t="s">
        <v>74</v>
      </c>
      <c r="P821" t="s">
        <v>74</v>
      </c>
      <c r="Q821" t="s">
        <v>74</v>
      </c>
      <c r="R821" t="s">
        <v>74</v>
      </c>
      <c r="S821" t="s">
        <v>74</v>
      </c>
      <c r="T821" t="s">
        <v>15561</v>
      </c>
      <c r="U821" t="s">
        <v>15562</v>
      </c>
      <c r="V821" t="s">
        <v>15563</v>
      </c>
      <c r="W821" t="s">
        <v>15564</v>
      </c>
      <c r="X821" t="s">
        <v>15565</v>
      </c>
      <c r="Y821" t="s">
        <v>15566</v>
      </c>
      <c r="Z821" t="s">
        <v>15567</v>
      </c>
      <c r="AA821" t="s">
        <v>74</v>
      </c>
      <c r="AB821" t="s">
        <v>15568</v>
      </c>
      <c r="AC821" t="s">
        <v>15569</v>
      </c>
      <c r="AD821" t="s">
        <v>15570</v>
      </c>
      <c r="AE821" t="s">
        <v>15571</v>
      </c>
      <c r="AF821" t="s">
        <v>74</v>
      </c>
      <c r="AG821">
        <v>94</v>
      </c>
      <c r="AH821">
        <v>11</v>
      </c>
      <c r="AI821">
        <v>11</v>
      </c>
      <c r="AJ821">
        <v>1</v>
      </c>
      <c r="AK821">
        <v>17</v>
      </c>
      <c r="AL821" t="s">
        <v>15572</v>
      </c>
      <c r="AM821" t="s">
        <v>15573</v>
      </c>
      <c r="AN821" t="s">
        <v>15574</v>
      </c>
      <c r="AO821" t="s">
        <v>15575</v>
      </c>
      <c r="AP821" t="s">
        <v>15576</v>
      </c>
      <c r="AQ821" t="s">
        <v>74</v>
      </c>
      <c r="AR821" t="s">
        <v>15577</v>
      </c>
      <c r="AS821" t="s">
        <v>15578</v>
      </c>
      <c r="AT821" t="s">
        <v>12678</v>
      </c>
      <c r="AU821">
        <v>2020</v>
      </c>
      <c r="AV821">
        <v>84</v>
      </c>
      <c r="AW821">
        <v>4</v>
      </c>
      <c r="AX821" t="s">
        <v>74</v>
      </c>
      <c r="AY821" t="s">
        <v>74</v>
      </c>
      <c r="AZ821" t="s">
        <v>74</v>
      </c>
      <c r="BA821" t="s">
        <v>74</v>
      </c>
      <c r="BB821">
        <v>317</v>
      </c>
      <c r="BC821" t="s">
        <v>2146</v>
      </c>
      <c r="BD821" t="s">
        <v>74</v>
      </c>
      <c r="BE821" t="s">
        <v>15579</v>
      </c>
      <c r="BF821" t="str">
        <f>HYPERLINK("http://dx.doi.org/10.3989/scimar.05067.28A","http://dx.doi.org/10.3989/scimar.05067.28A")</f>
        <v>http://dx.doi.org/10.3989/scimar.05067.28A</v>
      </c>
      <c r="BG821" t="s">
        <v>74</v>
      </c>
      <c r="BH821" t="s">
        <v>74</v>
      </c>
      <c r="BI821">
        <v>20</v>
      </c>
      <c r="BJ821" t="s">
        <v>6762</v>
      </c>
      <c r="BK821" t="s">
        <v>103</v>
      </c>
      <c r="BL821" t="s">
        <v>6762</v>
      </c>
      <c r="BM821" t="s">
        <v>15580</v>
      </c>
      <c r="BN821" t="s">
        <v>74</v>
      </c>
      <c r="BO821" t="s">
        <v>561</v>
      </c>
      <c r="BP821" t="s">
        <v>74</v>
      </c>
      <c r="BQ821" t="s">
        <v>74</v>
      </c>
      <c r="BR821" t="s">
        <v>106</v>
      </c>
      <c r="BS821" t="s">
        <v>15581</v>
      </c>
      <c r="BT821" t="str">
        <f>HYPERLINK("https%3A%2F%2Fwww.webofscience.com%2Fwos%2Fwoscc%2Ffull-record%2FWOS:000600444100001","View Full Record in Web of Science")</f>
        <v>View Full Record in Web of Science</v>
      </c>
    </row>
    <row r="822" spans="1:72" x14ac:dyDescent="0.15">
      <c r="A822" t="s">
        <v>72</v>
      </c>
      <c r="B822" t="s">
        <v>15582</v>
      </c>
      <c r="C822" t="s">
        <v>74</v>
      </c>
      <c r="D822" t="s">
        <v>74</v>
      </c>
      <c r="E822" t="s">
        <v>74</v>
      </c>
      <c r="F822" t="s">
        <v>15583</v>
      </c>
      <c r="G822" t="s">
        <v>74</v>
      </c>
      <c r="H822" t="s">
        <v>74</v>
      </c>
      <c r="I822" t="s">
        <v>15584</v>
      </c>
      <c r="J822" t="s">
        <v>15538</v>
      </c>
      <c r="K822" t="s">
        <v>74</v>
      </c>
      <c r="L822" t="s">
        <v>74</v>
      </c>
      <c r="M822" t="s">
        <v>78</v>
      </c>
      <c r="N822" t="s">
        <v>79</v>
      </c>
      <c r="O822" t="s">
        <v>74</v>
      </c>
      <c r="P822" t="s">
        <v>74</v>
      </c>
      <c r="Q822" t="s">
        <v>74</v>
      </c>
      <c r="R822" t="s">
        <v>74</v>
      </c>
      <c r="S822" t="s">
        <v>74</v>
      </c>
      <c r="T822" t="s">
        <v>15585</v>
      </c>
      <c r="U822" t="s">
        <v>74</v>
      </c>
      <c r="V822" t="s">
        <v>15586</v>
      </c>
      <c r="W822" t="s">
        <v>15587</v>
      </c>
      <c r="X822" t="s">
        <v>15588</v>
      </c>
      <c r="Y822" t="s">
        <v>15589</v>
      </c>
      <c r="Z822" t="s">
        <v>15590</v>
      </c>
      <c r="AA822" t="s">
        <v>15591</v>
      </c>
      <c r="AB822" t="s">
        <v>15592</v>
      </c>
      <c r="AC822" t="s">
        <v>15593</v>
      </c>
      <c r="AD822" t="s">
        <v>2818</v>
      </c>
      <c r="AE822" t="s">
        <v>15594</v>
      </c>
      <c r="AF822" t="s">
        <v>74</v>
      </c>
      <c r="AG822">
        <v>46</v>
      </c>
      <c r="AH822">
        <v>3</v>
      </c>
      <c r="AI822">
        <v>3</v>
      </c>
      <c r="AJ822">
        <v>0</v>
      </c>
      <c r="AK822">
        <v>21</v>
      </c>
      <c r="AL822" t="s">
        <v>8526</v>
      </c>
      <c r="AM822" t="s">
        <v>2921</v>
      </c>
      <c r="AN822" t="s">
        <v>8527</v>
      </c>
      <c r="AO822" t="s">
        <v>74</v>
      </c>
      <c r="AP822" t="s">
        <v>15549</v>
      </c>
      <c r="AQ822" t="s">
        <v>74</v>
      </c>
      <c r="AR822" t="s">
        <v>15550</v>
      </c>
      <c r="AS822" t="s">
        <v>15551</v>
      </c>
      <c r="AT822" t="s">
        <v>12678</v>
      </c>
      <c r="AU822">
        <v>2020</v>
      </c>
      <c r="AV822">
        <v>20</v>
      </c>
      <c r="AW822">
        <v>23</v>
      </c>
      <c r="AX822" t="s">
        <v>74</v>
      </c>
      <c r="AY822" t="s">
        <v>74</v>
      </c>
      <c r="AZ822" t="s">
        <v>74</v>
      </c>
      <c r="BA822" t="s">
        <v>74</v>
      </c>
      <c r="BB822" t="s">
        <v>74</v>
      </c>
      <c r="BC822" t="s">
        <v>74</v>
      </c>
      <c r="BD822">
        <v>6877</v>
      </c>
      <c r="BE822" t="s">
        <v>15595</v>
      </c>
      <c r="BF822" t="str">
        <f>HYPERLINK("http://dx.doi.org/10.3390/s20236877","http://dx.doi.org/10.3390/s20236877")</f>
        <v>http://dx.doi.org/10.3390/s20236877</v>
      </c>
      <c r="BG822" t="s">
        <v>74</v>
      </c>
      <c r="BH822" t="s">
        <v>74</v>
      </c>
      <c r="BI822">
        <v>16</v>
      </c>
      <c r="BJ822" t="s">
        <v>15553</v>
      </c>
      <c r="BK822" t="s">
        <v>103</v>
      </c>
      <c r="BL822" t="s">
        <v>15554</v>
      </c>
      <c r="BM822" t="s">
        <v>15596</v>
      </c>
      <c r="BN822">
        <v>33271903</v>
      </c>
      <c r="BO822" t="s">
        <v>1105</v>
      </c>
      <c r="BP822" t="s">
        <v>74</v>
      </c>
      <c r="BQ822" t="s">
        <v>74</v>
      </c>
      <c r="BR822" t="s">
        <v>106</v>
      </c>
      <c r="BS822" t="s">
        <v>15597</v>
      </c>
      <c r="BT822" t="str">
        <f>HYPERLINK("https%3A%2F%2Fwww.webofscience.com%2Fwos%2Fwoscc%2Ffull-record%2FWOS:000597929600001","View Full Record in Web of Science")</f>
        <v>View Full Record in Web of Science</v>
      </c>
    </row>
    <row r="823" spans="1:72" x14ac:dyDescent="0.15">
      <c r="A823" t="s">
        <v>72</v>
      </c>
      <c r="B823" t="s">
        <v>15598</v>
      </c>
      <c r="C823" t="s">
        <v>74</v>
      </c>
      <c r="D823" t="s">
        <v>74</v>
      </c>
      <c r="E823" t="s">
        <v>74</v>
      </c>
      <c r="F823" t="s">
        <v>15599</v>
      </c>
      <c r="G823" t="s">
        <v>74</v>
      </c>
      <c r="H823" t="s">
        <v>74</v>
      </c>
      <c r="I823" t="s">
        <v>15600</v>
      </c>
      <c r="J823" t="s">
        <v>8958</v>
      </c>
      <c r="K823" t="s">
        <v>74</v>
      </c>
      <c r="L823" t="s">
        <v>74</v>
      </c>
      <c r="M823" t="s">
        <v>78</v>
      </c>
      <c r="N823" t="s">
        <v>79</v>
      </c>
      <c r="O823" t="s">
        <v>74</v>
      </c>
      <c r="P823" t="s">
        <v>74</v>
      </c>
      <c r="Q823" t="s">
        <v>74</v>
      </c>
      <c r="R823" t="s">
        <v>74</v>
      </c>
      <c r="S823" t="s">
        <v>74</v>
      </c>
      <c r="T823" t="s">
        <v>15601</v>
      </c>
      <c r="U823" t="s">
        <v>15602</v>
      </c>
      <c r="V823" t="s">
        <v>15603</v>
      </c>
      <c r="W823" t="s">
        <v>15604</v>
      </c>
      <c r="X823" t="s">
        <v>15605</v>
      </c>
      <c r="Y823" t="s">
        <v>15606</v>
      </c>
      <c r="Z823" t="s">
        <v>15607</v>
      </c>
      <c r="AA823" t="s">
        <v>15608</v>
      </c>
      <c r="AB823" t="s">
        <v>15609</v>
      </c>
      <c r="AC823" t="s">
        <v>15610</v>
      </c>
      <c r="AD823" t="s">
        <v>15611</v>
      </c>
      <c r="AE823" t="s">
        <v>15612</v>
      </c>
      <c r="AF823" t="s">
        <v>74</v>
      </c>
      <c r="AG823">
        <v>41</v>
      </c>
      <c r="AH823">
        <v>1</v>
      </c>
      <c r="AI823">
        <v>2</v>
      </c>
      <c r="AJ823">
        <v>1</v>
      </c>
      <c r="AK823">
        <v>2</v>
      </c>
      <c r="AL823" t="s">
        <v>8526</v>
      </c>
      <c r="AM823" t="s">
        <v>2921</v>
      </c>
      <c r="AN823" t="s">
        <v>8527</v>
      </c>
      <c r="AO823" t="s">
        <v>74</v>
      </c>
      <c r="AP823" t="s">
        <v>8969</v>
      </c>
      <c r="AQ823" t="s">
        <v>74</v>
      </c>
      <c r="AR823" t="s">
        <v>8970</v>
      </c>
      <c r="AS823" t="s">
        <v>8971</v>
      </c>
      <c r="AT823" t="s">
        <v>12678</v>
      </c>
      <c r="AU823">
        <v>2020</v>
      </c>
      <c r="AV823">
        <v>11</v>
      </c>
      <c r="AW823">
        <v>12</v>
      </c>
      <c r="AX823" t="s">
        <v>74</v>
      </c>
      <c r="AY823" t="s">
        <v>74</v>
      </c>
      <c r="AZ823" t="s">
        <v>74</v>
      </c>
      <c r="BA823" t="s">
        <v>74</v>
      </c>
      <c r="BB823" t="s">
        <v>74</v>
      </c>
      <c r="BC823" t="s">
        <v>74</v>
      </c>
      <c r="BD823">
        <v>1370</v>
      </c>
      <c r="BE823" t="s">
        <v>15613</v>
      </c>
      <c r="BF823" t="str">
        <f>HYPERLINK("http://dx.doi.org/10.3390/atmos11121370","http://dx.doi.org/10.3390/atmos11121370")</f>
        <v>http://dx.doi.org/10.3390/atmos11121370</v>
      </c>
      <c r="BG823" t="s">
        <v>74</v>
      </c>
      <c r="BH823" t="s">
        <v>74</v>
      </c>
      <c r="BI823">
        <v>16</v>
      </c>
      <c r="BJ823" t="s">
        <v>132</v>
      </c>
      <c r="BK823" t="s">
        <v>103</v>
      </c>
      <c r="BL823" t="s">
        <v>133</v>
      </c>
      <c r="BM823" t="s">
        <v>15614</v>
      </c>
      <c r="BN823" t="s">
        <v>74</v>
      </c>
      <c r="BO823" t="s">
        <v>326</v>
      </c>
      <c r="BP823" t="s">
        <v>74</v>
      </c>
      <c r="BQ823" t="s">
        <v>74</v>
      </c>
      <c r="BR823" t="s">
        <v>106</v>
      </c>
      <c r="BS823" t="s">
        <v>15615</v>
      </c>
      <c r="BT823" t="str">
        <f>HYPERLINK("https%3A%2F%2Fwww.webofscience.com%2Fwos%2Fwoscc%2Ffull-record%2FWOS:000601688000001","View Full Record in Web of Science")</f>
        <v>View Full Record in Web of Science</v>
      </c>
    </row>
    <row r="824" spans="1:72" x14ac:dyDescent="0.15">
      <c r="A824" t="s">
        <v>72</v>
      </c>
      <c r="B824" t="s">
        <v>15616</v>
      </c>
      <c r="C824" t="s">
        <v>74</v>
      </c>
      <c r="D824" t="s">
        <v>74</v>
      </c>
      <c r="E824" t="s">
        <v>74</v>
      </c>
      <c r="F824" t="s">
        <v>15617</v>
      </c>
      <c r="G824" t="s">
        <v>74</v>
      </c>
      <c r="H824" t="s">
        <v>74</v>
      </c>
      <c r="I824" t="s">
        <v>15618</v>
      </c>
      <c r="J824" t="s">
        <v>15619</v>
      </c>
      <c r="K824" t="s">
        <v>74</v>
      </c>
      <c r="L824" t="s">
        <v>74</v>
      </c>
      <c r="M824" t="s">
        <v>78</v>
      </c>
      <c r="N824" t="s">
        <v>141</v>
      </c>
      <c r="O824" t="s">
        <v>74</v>
      </c>
      <c r="P824" t="s">
        <v>74</v>
      </c>
      <c r="Q824" t="s">
        <v>74</v>
      </c>
      <c r="R824" t="s">
        <v>74</v>
      </c>
      <c r="S824" t="s">
        <v>74</v>
      </c>
      <c r="T824" t="s">
        <v>15620</v>
      </c>
      <c r="U824" t="s">
        <v>15621</v>
      </c>
      <c r="V824" t="s">
        <v>15622</v>
      </c>
      <c r="W824" t="s">
        <v>15623</v>
      </c>
      <c r="X824" t="s">
        <v>15624</v>
      </c>
      <c r="Y824" t="s">
        <v>15625</v>
      </c>
      <c r="Z824" t="s">
        <v>15626</v>
      </c>
      <c r="AA824" t="s">
        <v>15627</v>
      </c>
      <c r="AB824" t="s">
        <v>15628</v>
      </c>
      <c r="AC824" t="s">
        <v>15629</v>
      </c>
      <c r="AD824" t="s">
        <v>15630</v>
      </c>
      <c r="AE824" t="s">
        <v>15631</v>
      </c>
      <c r="AF824" t="s">
        <v>74</v>
      </c>
      <c r="AG824">
        <v>142</v>
      </c>
      <c r="AH824">
        <v>8</v>
      </c>
      <c r="AI824">
        <v>8</v>
      </c>
      <c r="AJ824">
        <v>2</v>
      </c>
      <c r="AK824">
        <v>9</v>
      </c>
      <c r="AL824" t="s">
        <v>92</v>
      </c>
      <c r="AM824" t="s">
        <v>93</v>
      </c>
      <c r="AN824" t="s">
        <v>94</v>
      </c>
      <c r="AO824" t="s">
        <v>15632</v>
      </c>
      <c r="AP824" t="s">
        <v>15633</v>
      </c>
      <c r="AQ824" t="s">
        <v>74</v>
      </c>
      <c r="AR824" t="s">
        <v>15634</v>
      </c>
      <c r="AS824" t="s">
        <v>15635</v>
      </c>
      <c r="AT824" t="s">
        <v>12678</v>
      </c>
      <c r="AU824">
        <v>2020</v>
      </c>
      <c r="AV824">
        <v>211</v>
      </c>
      <c r="AW824" t="s">
        <v>74</v>
      </c>
      <c r="AX824" t="s">
        <v>74</v>
      </c>
      <c r="AY824" t="s">
        <v>74</v>
      </c>
      <c r="AZ824" t="s">
        <v>74</v>
      </c>
      <c r="BA824" t="s">
        <v>74</v>
      </c>
      <c r="BB824" t="s">
        <v>74</v>
      </c>
      <c r="BC824" t="s">
        <v>74</v>
      </c>
      <c r="BD824">
        <v>103350</v>
      </c>
      <c r="BE824" t="s">
        <v>15636</v>
      </c>
      <c r="BF824" t="str">
        <f>HYPERLINK("http://dx.doi.org/10.1016.j.earscirev.2020.103350","http://dx.doi.org/10.1016.j.earscirev.2020.103350")</f>
        <v>http://dx.doi.org/10.1016.j.earscirev.2020.103350</v>
      </c>
      <c r="BG824" t="s">
        <v>74</v>
      </c>
      <c r="BH824" t="s">
        <v>74</v>
      </c>
      <c r="BI824">
        <v>20</v>
      </c>
      <c r="BJ824" t="s">
        <v>401</v>
      </c>
      <c r="BK824" t="s">
        <v>103</v>
      </c>
      <c r="BL824" t="s">
        <v>402</v>
      </c>
      <c r="BM824" t="s">
        <v>15637</v>
      </c>
      <c r="BN824" t="s">
        <v>74</v>
      </c>
      <c r="BO824" t="s">
        <v>74</v>
      </c>
      <c r="BP824" t="s">
        <v>74</v>
      </c>
      <c r="BQ824" t="s">
        <v>74</v>
      </c>
      <c r="BR824" t="s">
        <v>106</v>
      </c>
      <c r="BS824" t="s">
        <v>15638</v>
      </c>
      <c r="BT824" t="str">
        <f>HYPERLINK("https%3A%2F%2Fwww.webofscience.com%2Fwos%2Fwoscc%2Ffull-record%2FWOS:000599840700001","View Full Record in Web of Science")</f>
        <v>View Full Record in Web of Science</v>
      </c>
    </row>
    <row r="825" spans="1:72" x14ac:dyDescent="0.15">
      <c r="A825" t="s">
        <v>72</v>
      </c>
      <c r="B825" t="s">
        <v>15639</v>
      </c>
      <c r="C825" t="s">
        <v>74</v>
      </c>
      <c r="D825" t="s">
        <v>74</v>
      </c>
      <c r="E825" t="s">
        <v>74</v>
      </c>
      <c r="F825" t="s">
        <v>15640</v>
      </c>
      <c r="G825" t="s">
        <v>74</v>
      </c>
      <c r="H825" t="s">
        <v>74</v>
      </c>
      <c r="I825" t="s">
        <v>15641</v>
      </c>
      <c r="J825" t="s">
        <v>15642</v>
      </c>
      <c r="K825" t="s">
        <v>74</v>
      </c>
      <c r="L825" t="s">
        <v>74</v>
      </c>
      <c r="M825" t="s">
        <v>78</v>
      </c>
      <c r="N825" t="s">
        <v>79</v>
      </c>
      <c r="O825" t="s">
        <v>74</v>
      </c>
      <c r="P825" t="s">
        <v>74</v>
      </c>
      <c r="Q825" t="s">
        <v>74</v>
      </c>
      <c r="R825" t="s">
        <v>74</v>
      </c>
      <c r="S825" t="s">
        <v>74</v>
      </c>
      <c r="T825" t="s">
        <v>15643</v>
      </c>
      <c r="U825" t="s">
        <v>15644</v>
      </c>
      <c r="V825" t="s">
        <v>15645</v>
      </c>
      <c r="W825" t="s">
        <v>15646</v>
      </c>
      <c r="X825" t="s">
        <v>15647</v>
      </c>
      <c r="Y825" t="s">
        <v>15648</v>
      </c>
      <c r="Z825" t="s">
        <v>15649</v>
      </c>
      <c r="AA825" t="s">
        <v>15650</v>
      </c>
      <c r="AB825" t="s">
        <v>15651</v>
      </c>
      <c r="AC825" t="s">
        <v>15652</v>
      </c>
      <c r="AD825" t="s">
        <v>15653</v>
      </c>
      <c r="AE825" t="s">
        <v>15654</v>
      </c>
      <c r="AF825" t="s">
        <v>74</v>
      </c>
      <c r="AG825">
        <v>60</v>
      </c>
      <c r="AH825">
        <v>5</v>
      </c>
      <c r="AI825">
        <v>5</v>
      </c>
      <c r="AJ825">
        <v>0</v>
      </c>
      <c r="AK825">
        <v>2</v>
      </c>
      <c r="AL825" t="s">
        <v>8526</v>
      </c>
      <c r="AM825" t="s">
        <v>2921</v>
      </c>
      <c r="AN825" t="s">
        <v>8527</v>
      </c>
      <c r="AO825" t="s">
        <v>74</v>
      </c>
      <c r="AP825" t="s">
        <v>15655</v>
      </c>
      <c r="AQ825" t="s">
        <v>74</v>
      </c>
      <c r="AR825" t="s">
        <v>15642</v>
      </c>
      <c r="AS825" t="s">
        <v>15656</v>
      </c>
      <c r="AT825" t="s">
        <v>12678</v>
      </c>
      <c r="AU825">
        <v>2020</v>
      </c>
      <c r="AV825">
        <v>5</v>
      </c>
      <c r="AW825">
        <v>4</v>
      </c>
      <c r="AX825" t="s">
        <v>74</v>
      </c>
      <c r="AY825" t="s">
        <v>74</v>
      </c>
      <c r="AZ825" t="s">
        <v>74</v>
      </c>
      <c r="BA825" t="s">
        <v>74</v>
      </c>
      <c r="BB825" t="s">
        <v>74</v>
      </c>
      <c r="BC825" t="s">
        <v>74</v>
      </c>
      <c r="BD825">
        <v>235</v>
      </c>
      <c r="BE825" t="s">
        <v>15657</v>
      </c>
      <c r="BF825" t="str">
        <f>HYPERLINK("http://dx.doi.org/10.3390/fluids5040235","http://dx.doi.org/10.3390/fluids5040235")</f>
        <v>http://dx.doi.org/10.3390/fluids5040235</v>
      </c>
      <c r="BG825" t="s">
        <v>74</v>
      </c>
      <c r="BH825" t="s">
        <v>74</v>
      </c>
      <c r="BI825">
        <v>22</v>
      </c>
      <c r="BJ825" t="s">
        <v>15658</v>
      </c>
      <c r="BK825" t="s">
        <v>3050</v>
      </c>
      <c r="BL825" t="s">
        <v>15659</v>
      </c>
      <c r="BM825" t="s">
        <v>15660</v>
      </c>
      <c r="BN825" t="s">
        <v>74</v>
      </c>
      <c r="BO825" t="s">
        <v>246</v>
      </c>
      <c r="BP825" t="s">
        <v>74</v>
      </c>
      <c r="BQ825" t="s">
        <v>74</v>
      </c>
      <c r="BR825" t="s">
        <v>106</v>
      </c>
      <c r="BS825" t="s">
        <v>15661</v>
      </c>
      <c r="BT825" t="str">
        <f>HYPERLINK("https%3A%2F%2Fwww.webofscience.com%2Fwos%2Fwoscc%2Ffull-record%2FWOS:000601541000001","View Full Record in Web of Science")</f>
        <v>View Full Record in Web of Science</v>
      </c>
    </row>
    <row r="826" spans="1:72" x14ac:dyDescent="0.15">
      <c r="A826" t="s">
        <v>72</v>
      </c>
      <c r="B826" t="s">
        <v>15662</v>
      </c>
      <c r="C826" t="s">
        <v>74</v>
      </c>
      <c r="D826" t="s">
        <v>74</v>
      </c>
      <c r="E826" t="s">
        <v>74</v>
      </c>
      <c r="F826" t="s">
        <v>15663</v>
      </c>
      <c r="G826" t="s">
        <v>74</v>
      </c>
      <c r="H826" t="s">
        <v>74</v>
      </c>
      <c r="I826" t="s">
        <v>15664</v>
      </c>
      <c r="J826" t="s">
        <v>9290</v>
      </c>
      <c r="K826" t="s">
        <v>74</v>
      </c>
      <c r="L826" t="s">
        <v>74</v>
      </c>
      <c r="M826" t="s">
        <v>78</v>
      </c>
      <c r="N826" t="s">
        <v>79</v>
      </c>
      <c r="O826" t="s">
        <v>74</v>
      </c>
      <c r="P826" t="s">
        <v>74</v>
      </c>
      <c r="Q826" t="s">
        <v>74</v>
      </c>
      <c r="R826" t="s">
        <v>74</v>
      </c>
      <c r="S826" t="s">
        <v>74</v>
      </c>
      <c r="T826" t="s">
        <v>15665</v>
      </c>
      <c r="U826" t="s">
        <v>15666</v>
      </c>
      <c r="V826" t="s">
        <v>15667</v>
      </c>
      <c r="W826" t="s">
        <v>15668</v>
      </c>
      <c r="X826" t="s">
        <v>15669</v>
      </c>
      <c r="Y826" t="s">
        <v>15670</v>
      </c>
      <c r="Z826" t="s">
        <v>15671</v>
      </c>
      <c r="AA826" t="s">
        <v>15672</v>
      </c>
      <c r="AB826" t="s">
        <v>15673</v>
      </c>
      <c r="AC826" t="s">
        <v>15674</v>
      </c>
      <c r="AD826" t="s">
        <v>15675</v>
      </c>
      <c r="AE826" t="s">
        <v>15676</v>
      </c>
      <c r="AF826" t="s">
        <v>74</v>
      </c>
      <c r="AG826">
        <v>86</v>
      </c>
      <c r="AH826">
        <v>15</v>
      </c>
      <c r="AI826">
        <v>15</v>
      </c>
      <c r="AJ826">
        <v>6</v>
      </c>
      <c r="AK826">
        <v>19</v>
      </c>
      <c r="AL826" t="s">
        <v>418</v>
      </c>
      <c r="AM826" t="s">
        <v>178</v>
      </c>
      <c r="AN826" t="s">
        <v>419</v>
      </c>
      <c r="AO826" t="s">
        <v>9301</v>
      </c>
      <c r="AP826" t="s">
        <v>9302</v>
      </c>
      <c r="AQ826" t="s">
        <v>74</v>
      </c>
      <c r="AR826" t="s">
        <v>9303</v>
      </c>
      <c r="AS826" t="s">
        <v>9304</v>
      </c>
      <c r="AT826" t="s">
        <v>12678</v>
      </c>
      <c r="AU826">
        <v>2020</v>
      </c>
      <c r="AV826">
        <v>104</v>
      </c>
      <c r="AW826" t="s">
        <v>74</v>
      </c>
      <c r="AX826" t="s">
        <v>74</v>
      </c>
      <c r="AY826" t="s">
        <v>74</v>
      </c>
      <c r="AZ826" t="s">
        <v>74</v>
      </c>
      <c r="BA826" t="s">
        <v>74</v>
      </c>
      <c r="BB826" t="s">
        <v>74</v>
      </c>
      <c r="BC826" t="s">
        <v>74</v>
      </c>
      <c r="BD826">
        <v>102834</v>
      </c>
      <c r="BE826" t="s">
        <v>15677</v>
      </c>
      <c r="BF826" t="str">
        <f>HYPERLINK("http://dx.doi.org/10.1016/j.jsames.2020.102834","http://dx.doi.org/10.1016/j.jsames.2020.102834")</f>
        <v>http://dx.doi.org/10.1016/j.jsames.2020.102834</v>
      </c>
      <c r="BG826" t="s">
        <v>74</v>
      </c>
      <c r="BH826" t="s">
        <v>74</v>
      </c>
      <c r="BI826">
        <v>19</v>
      </c>
      <c r="BJ826" t="s">
        <v>401</v>
      </c>
      <c r="BK826" t="s">
        <v>103</v>
      </c>
      <c r="BL826" t="s">
        <v>402</v>
      </c>
      <c r="BM826" t="s">
        <v>15678</v>
      </c>
      <c r="BN826" t="s">
        <v>74</v>
      </c>
      <c r="BO826" t="s">
        <v>218</v>
      </c>
      <c r="BP826" t="s">
        <v>74</v>
      </c>
      <c r="BQ826" t="s">
        <v>74</v>
      </c>
      <c r="BR826" t="s">
        <v>106</v>
      </c>
      <c r="BS826" t="s">
        <v>15679</v>
      </c>
      <c r="BT826" t="str">
        <f>HYPERLINK("https%3A%2F%2Fwww.webofscience.com%2Fwos%2Fwoscc%2Ffull-record%2FWOS:000600436900002","View Full Record in Web of Science")</f>
        <v>View Full Record in Web of Science</v>
      </c>
    </row>
    <row r="827" spans="1:72" x14ac:dyDescent="0.15">
      <c r="A827" t="s">
        <v>72</v>
      </c>
      <c r="B827" t="s">
        <v>15680</v>
      </c>
      <c r="C827" t="s">
        <v>74</v>
      </c>
      <c r="D827" t="s">
        <v>74</v>
      </c>
      <c r="E827" t="s">
        <v>74</v>
      </c>
      <c r="F827" t="s">
        <v>15681</v>
      </c>
      <c r="G827" t="s">
        <v>74</v>
      </c>
      <c r="H827" t="s">
        <v>74</v>
      </c>
      <c r="I827" t="s">
        <v>15682</v>
      </c>
      <c r="J827" t="s">
        <v>9290</v>
      </c>
      <c r="K827" t="s">
        <v>74</v>
      </c>
      <c r="L827" t="s">
        <v>74</v>
      </c>
      <c r="M827" t="s">
        <v>78</v>
      </c>
      <c r="N827" t="s">
        <v>79</v>
      </c>
      <c r="O827" t="s">
        <v>74</v>
      </c>
      <c r="P827" t="s">
        <v>74</v>
      </c>
      <c r="Q827" t="s">
        <v>74</v>
      </c>
      <c r="R827" t="s">
        <v>74</v>
      </c>
      <c r="S827" t="s">
        <v>74</v>
      </c>
      <c r="T827" t="s">
        <v>15683</v>
      </c>
      <c r="U827" t="s">
        <v>15684</v>
      </c>
      <c r="V827" t="s">
        <v>15685</v>
      </c>
      <c r="W827" t="s">
        <v>15686</v>
      </c>
      <c r="X827" t="s">
        <v>15687</v>
      </c>
      <c r="Y827" t="s">
        <v>15688</v>
      </c>
      <c r="Z827" t="s">
        <v>15689</v>
      </c>
      <c r="AA827" t="s">
        <v>15690</v>
      </c>
      <c r="AB827" t="s">
        <v>15691</v>
      </c>
      <c r="AC827" t="s">
        <v>15692</v>
      </c>
      <c r="AD827" t="s">
        <v>15692</v>
      </c>
      <c r="AE827" t="s">
        <v>15693</v>
      </c>
      <c r="AF827" t="s">
        <v>74</v>
      </c>
      <c r="AG827">
        <v>94</v>
      </c>
      <c r="AH827">
        <v>19</v>
      </c>
      <c r="AI827">
        <v>19</v>
      </c>
      <c r="AJ827">
        <v>0</v>
      </c>
      <c r="AK827">
        <v>29</v>
      </c>
      <c r="AL827" t="s">
        <v>418</v>
      </c>
      <c r="AM827" t="s">
        <v>178</v>
      </c>
      <c r="AN827" t="s">
        <v>419</v>
      </c>
      <c r="AO827" t="s">
        <v>9301</v>
      </c>
      <c r="AP827" t="s">
        <v>9302</v>
      </c>
      <c r="AQ827" t="s">
        <v>74</v>
      </c>
      <c r="AR827" t="s">
        <v>9303</v>
      </c>
      <c r="AS827" t="s">
        <v>9304</v>
      </c>
      <c r="AT827" t="s">
        <v>12678</v>
      </c>
      <c r="AU827">
        <v>2020</v>
      </c>
      <c r="AV827">
        <v>104</v>
      </c>
      <c r="AW827" t="s">
        <v>74</v>
      </c>
      <c r="AX827" t="s">
        <v>74</v>
      </c>
      <c r="AY827" t="s">
        <v>74</v>
      </c>
      <c r="AZ827" t="s">
        <v>74</v>
      </c>
      <c r="BA827" t="s">
        <v>74</v>
      </c>
      <c r="BB827" t="s">
        <v>74</v>
      </c>
      <c r="BC827" t="s">
        <v>74</v>
      </c>
      <c r="BD827">
        <v>102832</v>
      </c>
      <c r="BE827" t="s">
        <v>15694</v>
      </c>
      <c r="BF827" t="str">
        <f>HYPERLINK("http://dx.doi.org/10.1016/j.jsames.2020.102832","http://dx.doi.org/10.1016/j.jsames.2020.102832")</f>
        <v>http://dx.doi.org/10.1016/j.jsames.2020.102832</v>
      </c>
      <c r="BG827" t="s">
        <v>74</v>
      </c>
      <c r="BH827" t="s">
        <v>74</v>
      </c>
      <c r="BI827">
        <v>13</v>
      </c>
      <c r="BJ827" t="s">
        <v>401</v>
      </c>
      <c r="BK827" t="s">
        <v>103</v>
      </c>
      <c r="BL827" t="s">
        <v>402</v>
      </c>
      <c r="BM827" t="s">
        <v>15678</v>
      </c>
      <c r="BN827" t="s">
        <v>74</v>
      </c>
      <c r="BO827" t="s">
        <v>74</v>
      </c>
      <c r="BP827" t="s">
        <v>74</v>
      </c>
      <c r="BQ827" t="s">
        <v>74</v>
      </c>
      <c r="BR827" t="s">
        <v>106</v>
      </c>
      <c r="BS827" t="s">
        <v>15695</v>
      </c>
      <c r="BT827" t="str">
        <f>HYPERLINK("https%3A%2F%2Fwww.webofscience.com%2Fwos%2Fwoscc%2Ffull-record%2FWOS:000600436900001","View Full Record in Web of Science")</f>
        <v>View Full Record in Web of Science</v>
      </c>
    </row>
    <row r="828" spans="1:72" x14ac:dyDescent="0.15">
      <c r="A828" t="s">
        <v>72</v>
      </c>
      <c r="B828" t="s">
        <v>15696</v>
      </c>
      <c r="C828" t="s">
        <v>74</v>
      </c>
      <c r="D828" t="s">
        <v>74</v>
      </c>
      <c r="E828" t="s">
        <v>74</v>
      </c>
      <c r="F828" t="s">
        <v>15697</v>
      </c>
      <c r="G828" t="s">
        <v>74</v>
      </c>
      <c r="H828" t="s">
        <v>74</v>
      </c>
      <c r="I828" t="s">
        <v>15698</v>
      </c>
      <c r="J828" t="s">
        <v>15699</v>
      </c>
      <c r="K828" t="s">
        <v>74</v>
      </c>
      <c r="L828" t="s">
        <v>74</v>
      </c>
      <c r="M828" t="s">
        <v>78</v>
      </c>
      <c r="N828" t="s">
        <v>79</v>
      </c>
      <c r="O828" t="s">
        <v>74</v>
      </c>
      <c r="P828" t="s">
        <v>74</v>
      </c>
      <c r="Q828" t="s">
        <v>74</v>
      </c>
      <c r="R828" t="s">
        <v>74</v>
      </c>
      <c r="S828" t="s">
        <v>74</v>
      </c>
      <c r="T828" t="s">
        <v>15700</v>
      </c>
      <c r="U828" t="s">
        <v>15701</v>
      </c>
      <c r="V828" t="s">
        <v>15702</v>
      </c>
      <c r="W828" t="s">
        <v>15703</v>
      </c>
      <c r="X828" t="s">
        <v>15704</v>
      </c>
      <c r="Y828" t="s">
        <v>15705</v>
      </c>
      <c r="Z828" t="s">
        <v>15706</v>
      </c>
      <c r="AA828" t="s">
        <v>74</v>
      </c>
      <c r="AB828" t="s">
        <v>74</v>
      </c>
      <c r="AC828" t="s">
        <v>15707</v>
      </c>
      <c r="AD828" t="s">
        <v>15708</v>
      </c>
      <c r="AE828" t="s">
        <v>15709</v>
      </c>
      <c r="AF828" t="s">
        <v>74</v>
      </c>
      <c r="AG828">
        <v>38</v>
      </c>
      <c r="AH828">
        <v>4</v>
      </c>
      <c r="AI828">
        <v>4</v>
      </c>
      <c r="AJ828">
        <v>2</v>
      </c>
      <c r="AK828">
        <v>8</v>
      </c>
      <c r="AL828" t="s">
        <v>92</v>
      </c>
      <c r="AM828" t="s">
        <v>93</v>
      </c>
      <c r="AN828" t="s">
        <v>94</v>
      </c>
      <c r="AO828" t="s">
        <v>15710</v>
      </c>
      <c r="AP828" t="s">
        <v>15711</v>
      </c>
      <c r="AQ828" t="s">
        <v>74</v>
      </c>
      <c r="AR828" t="s">
        <v>15712</v>
      </c>
      <c r="AS828" t="s">
        <v>15713</v>
      </c>
      <c r="AT828" t="s">
        <v>12678</v>
      </c>
      <c r="AU828">
        <v>2020</v>
      </c>
      <c r="AV828">
        <v>159</v>
      </c>
      <c r="AW828" t="s">
        <v>74</v>
      </c>
      <c r="AX828" t="s">
        <v>74</v>
      </c>
      <c r="AY828" t="s">
        <v>74</v>
      </c>
      <c r="AZ828" t="s">
        <v>74</v>
      </c>
      <c r="BA828" t="s">
        <v>74</v>
      </c>
      <c r="BB828" t="s">
        <v>74</v>
      </c>
      <c r="BC828" t="s">
        <v>74</v>
      </c>
      <c r="BD828">
        <v>105377</v>
      </c>
      <c r="BE828" t="s">
        <v>15714</v>
      </c>
      <c r="BF828" t="str">
        <f>HYPERLINK("http://dx.doi.org/10.1016/j.microc.2020.105377","http://dx.doi.org/10.1016/j.microc.2020.105377")</f>
        <v>http://dx.doi.org/10.1016/j.microc.2020.105377</v>
      </c>
      <c r="BG828" t="s">
        <v>74</v>
      </c>
      <c r="BH828" t="s">
        <v>74</v>
      </c>
      <c r="BI828">
        <v>11</v>
      </c>
      <c r="BJ828" t="s">
        <v>11286</v>
      </c>
      <c r="BK828" t="s">
        <v>103</v>
      </c>
      <c r="BL828" t="s">
        <v>639</v>
      </c>
      <c r="BM828" t="s">
        <v>15715</v>
      </c>
      <c r="BN828" t="s">
        <v>74</v>
      </c>
      <c r="BO828" t="s">
        <v>74</v>
      </c>
      <c r="BP828" t="s">
        <v>74</v>
      </c>
      <c r="BQ828" t="s">
        <v>74</v>
      </c>
      <c r="BR828" t="s">
        <v>106</v>
      </c>
      <c r="BS828" t="s">
        <v>15716</v>
      </c>
      <c r="BT828" t="str">
        <f>HYPERLINK("https%3A%2F%2Fwww.webofscience.com%2Fwos%2Fwoscc%2Ffull-record%2FWOS:000598763000002","View Full Record in Web of Science")</f>
        <v>View Full Record in Web of Science</v>
      </c>
    </row>
    <row r="829" spans="1:72" x14ac:dyDescent="0.15">
      <c r="A829" t="s">
        <v>72</v>
      </c>
      <c r="B829" t="s">
        <v>15717</v>
      </c>
      <c r="C829" t="s">
        <v>74</v>
      </c>
      <c r="D829" t="s">
        <v>74</v>
      </c>
      <c r="E829" t="s">
        <v>74</v>
      </c>
      <c r="F829" t="s">
        <v>15718</v>
      </c>
      <c r="G829" t="s">
        <v>74</v>
      </c>
      <c r="H829" t="s">
        <v>74</v>
      </c>
      <c r="I829" t="s">
        <v>15719</v>
      </c>
      <c r="J829" t="s">
        <v>1259</v>
      </c>
      <c r="K829" t="s">
        <v>74</v>
      </c>
      <c r="L829" t="s">
        <v>74</v>
      </c>
      <c r="M829" t="s">
        <v>78</v>
      </c>
      <c r="N829" t="s">
        <v>79</v>
      </c>
      <c r="O829" t="s">
        <v>74</v>
      </c>
      <c r="P829" t="s">
        <v>74</v>
      </c>
      <c r="Q829" t="s">
        <v>74</v>
      </c>
      <c r="R829" t="s">
        <v>74</v>
      </c>
      <c r="S829" t="s">
        <v>74</v>
      </c>
      <c r="T829" t="s">
        <v>15720</v>
      </c>
      <c r="U829" t="s">
        <v>15721</v>
      </c>
      <c r="V829" t="s">
        <v>15722</v>
      </c>
      <c r="W829" t="s">
        <v>15723</v>
      </c>
      <c r="X829" t="s">
        <v>15724</v>
      </c>
      <c r="Y829" t="s">
        <v>15725</v>
      </c>
      <c r="Z829" t="s">
        <v>15726</v>
      </c>
      <c r="AA829" t="s">
        <v>15727</v>
      </c>
      <c r="AB829" t="s">
        <v>15728</v>
      </c>
      <c r="AC829" t="s">
        <v>15729</v>
      </c>
      <c r="AD829" t="s">
        <v>15730</v>
      </c>
      <c r="AE829" t="s">
        <v>15731</v>
      </c>
      <c r="AF829" t="s">
        <v>74</v>
      </c>
      <c r="AG829">
        <v>48</v>
      </c>
      <c r="AH829">
        <v>9</v>
      </c>
      <c r="AI829">
        <v>9</v>
      </c>
      <c r="AJ829">
        <v>1</v>
      </c>
      <c r="AK829">
        <v>22</v>
      </c>
      <c r="AL829" t="s">
        <v>177</v>
      </c>
      <c r="AM829" t="s">
        <v>178</v>
      </c>
      <c r="AN829" t="s">
        <v>179</v>
      </c>
      <c r="AO829" t="s">
        <v>1267</v>
      </c>
      <c r="AP829" t="s">
        <v>1268</v>
      </c>
      <c r="AQ829" t="s">
        <v>74</v>
      </c>
      <c r="AR829" t="s">
        <v>1269</v>
      </c>
      <c r="AS829" t="s">
        <v>1270</v>
      </c>
      <c r="AT829" t="s">
        <v>12678</v>
      </c>
      <c r="AU829">
        <v>2020</v>
      </c>
      <c r="AV829">
        <v>252</v>
      </c>
      <c r="AW829" t="s">
        <v>74</v>
      </c>
      <c r="AX829" t="s">
        <v>74</v>
      </c>
      <c r="AY829" t="s">
        <v>74</v>
      </c>
      <c r="AZ829" t="s">
        <v>74</v>
      </c>
      <c r="BA829" t="s">
        <v>74</v>
      </c>
      <c r="BB829" t="s">
        <v>74</v>
      </c>
      <c r="BC829" t="s">
        <v>74</v>
      </c>
      <c r="BD829">
        <v>108831</v>
      </c>
      <c r="BE829" t="s">
        <v>15732</v>
      </c>
      <c r="BF829" t="str">
        <f>HYPERLINK("http://dx.doi.org/10.1016/j.biocon.2020.108831","http://dx.doi.org/10.1016/j.biocon.2020.108831")</f>
        <v>http://dx.doi.org/10.1016/j.biocon.2020.108831</v>
      </c>
      <c r="BG829" t="s">
        <v>74</v>
      </c>
      <c r="BH829" t="s">
        <v>74</v>
      </c>
      <c r="BI829">
        <v>8</v>
      </c>
      <c r="BJ829" t="s">
        <v>1272</v>
      </c>
      <c r="BK829" t="s">
        <v>103</v>
      </c>
      <c r="BL829" t="s">
        <v>1053</v>
      </c>
      <c r="BM829" t="s">
        <v>15733</v>
      </c>
      <c r="BN829" t="s">
        <v>74</v>
      </c>
      <c r="BO829" t="s">
        <v>74</v>
      </c>
      <c r="BP829" t="s">
        <v>74</v>
      </c>
      <c r="BQ829" t="s">
        <v>74</v>
      </c>
      <c r="BR829" t="s">
        <v>106</v>
      </c>
      <c r="BS829" t="s">
        <v>15734</v>
      </c>
      <c r="BT829" t="str">
        <f>HYPERLINK("https%3A%2F%2Fwww.webofscience.com%2Fwos%2Fwoscc%2Ffull-record%2FWOS:000599921200015","View Full Record in Web of Science")</f>
        <v>View Full Record in Web of Science</v>
      </c>
    </row>
    <row r="830" spans="1:72" x14ac:dyDescent="0.15">
      <c r="A830" t="s">
        <v>72</v>
      </c>
      <c r="B830" t="s">
        <v>15735</v>
      </c>
      <c r="C830" t="s">
        <v>74</v>
      </c>
      <c r="D830" t="s">
        <v>74</v>
      </c>
      <c r="E830" t="s">
        <v>74</v>
      </c>
      <c r="F830" t="s">
        <v>15736</v>
      </c>
      <c r="G830" t="s">
        <v>74</v>
      </c>
      <c r="H830" t="s">
        <v>74</v>
      </c>
      <c r="I830" t="s">
        <v>15737</v>
      </c>
      <c r="J830" t="s">
        <v>7010</v>
      </c>
      <c r="K830" t="s">
        <v>74</v>
      </c>
      <c r="L830" t="s">
        <v>74</v>
      </c>
      <c r="M830" t="s">
        <v>78</v>
      </c>
      <c r="N830" t="s">
        <v>79</v>
      </c>
      <c r="O830" t="s">
        <v>74</v>
      </c>
      <c r="P830" t="s">
        <v>74</v>
      </c>
      <c r="Q830" t="s">
        <v>74</v>
      </c>
      <c r="R830" t="s">
        <v>74</v>
      </c>
      <c r="S830" t="s">
        <v>74</v>
      </c>
      <c r="T830" t="s">
        <v>15738</v>
      </c>
      <c r="U830" t="s">
        <v>15739</v>
      </c>
      <c r="V830" t="s">
        <v>15740</v>
      </c>
      <c r="W830" t="s">
        <v>15741</v>
      </c>
      <c r="X830" t="s">
        <v>15742</v>
      </c>
      <c r="Y830" t="s">
        <v>15743</v>
      </c>
      <c r="Z830" t="s">
        <v>15744</v>
      </c>
      <c r="AA830" t="s">
        <v>74</v>
      </c>
      <c r="AB830" t="s">
        <v>15745</v>
      </c>
      <c r="AC830" t="s">
        <v>15746</v>
      </c>
      <c r="AD830" t="s">
        <v>15747</v>
      </c>
      <c r="AE830" t="s">
        <v>15748</v>
      </c>
      <c r="AF830" t="s">
        <v>74</v>
      </c>
      <c r="AG830">
        <v>47</v>
      </c>
      <c r="AH830">
        <v>3</v>
      </c>
      <c r="AI830">
        <v>3</v>
      </c>
      <c r="AJ830">
        <v>0</v>
      </c>
      <c r="AK830">
        <v>21</v>
      </c>
      <c r="AL830" t="s">
        <v>7022</v>
      </c>
      <c r="AM830" t="s">
        <v>528</v>
      </c>
      <c r="AN830" t="s">
        <v>7023</v>
      </c>
      <c r="AO830" t="s">
        <v>7024</v>
      </c>
      <c r="AP830" t="s">
        <v>7025</v>
      </c>
      <c r="AQ830" t="s">
        <v>74</v>
      </c>
      <c r="AR830" t="s">
        <v>7026</v>
      </c>
      <c r="AS830" t="s">
        <v>7027</v>
      </c>
      <c r="AT830" t="s">
        <v>12678</v>
      </c>
      <c r="AU830">
        <v>2020</v>
      </c>
      <c r="AV830">
        <v>63</v>
      </c>
      <c r="AW830">
        <v>6</v>
      </c>
      <c r="AX830" t="s">
        <v>74</v>
      </c>
      <c r="AY830" t="s">
        <v>74</v>
      </c>
      <c r="AZ830" t="s">
        <v>74</v>
      </c>
      <c r="BA830" t="s">
        <v>74</v>
      </c>
      <c r="BB830">
        <v>541</v>
      </c>
      <c r="BC830">
        <v>549</v>
      </c>
      <c r="BD830" t="s">
        <v>74</v>
      </c>
      <c r="BE830" t="s">
        <v>15749</v>
      </c>
      <c r="BF830" t="str">
        <f>HYPERLINK("http://dx.doi.org/10.1515/bot-2020-0025","http://dx.doi.org/10.1515/bot-2020-0025")</f>
        <v>http://dx.doi.org/10.1515/bot-2020-0025</v>
      </c>
      <c r="BG830" t="s">
        <v>74</v>
      </c>
      <c r="BH830" t="s">
        <v>74</v>
      </c>
      <c r="BI830">
        <v>9</v>
      </c>
      <c r="BJ830" t="s">
        <v>7029</v>
      </c>
      <c r="BK830" t="s">
        <v>103</v>
      </c>
      <c r="BL830" t="s">
        <v>7029</v>
      </c>
      <c r="BM830" t="s">
        <v>15750</v>
      </c>
      <c r="BN830" t="s">
        <v>74</v>
      </c>
      <c r="BO830" t="s">
        <v>3283</v>
      </c>
      <c r="BP830" t="s">
        <v>74</v>
      </c>
      <c r="BQ830" t="s">
        <v>74</v>
      </c>
      <c r="BR830" t="s">
        <v>106</v>
      </c>
      <c r="BS830" t="s">
        <v>15751</v>
      </c>
      <c r="BT830" t="str">
        <f>HYPERLINK("https%3A%2F%2Fwww.webofscience.com%2Fwos%2Fwoscc%2Ffull-record%2FWOS:000594530500006","View Full Record in Web of Science")</f>
        <v>View Full Record in Web of Science</v>
      </c>
    </row>
    <row r="831" spans="1:72" x14ac:dyDescent="0.15">
      <c r="A831" t="s">
        <v>72</v>
      </c>
      <c r="B831" t="s">
        <v>15752</v>
      </c>
      <c r="C831" t="s">
        <v>74</v>
      </c>
      <c r="D831" t="s">
        <v>74</v>
      </c>
      <c r="E831" t="s">
        <v>74</v>
      </c>
      <c r="F831" t="s">
        <v>15753</v>
      </c>
      <c r="G831" t="s">
        <v>74</v>
      </c>
      <c r="H831" t="s">
        <v>74</v>
      </c>
      <c r="I831" t="s">
        <v>15754</v>
      </c>
      <c r="J831" t="s">
        <v>15755</v>
      </c>
      <c r="K831" t="s">
        <v>74</v>
      </c>
      <c r="L831" t="s">
        <v>74</v>
      </c>
      <c r="M831" t="s">
        <v>78</v>
      </c>
      <c r="N831" t="s">
        <v>79</v>
      </c>
      <c r="O831" t="s">
        <v>74</v>
      </c>
      <c r="P831" t="s">
        <v>74</v>
      </c>
      <c r="Q831" t="s">
        <v>74</v>
      </c>
      <c r="R831" t="s">
        <v>74</v>
      </c>
      <c r="S831" t="s">
        <v>74</v>
      </c>
      <c r="T831" t="s">
        <v>15756</v>
      </c>
      <c r="U831" t="s">
        <v>15757</v>
      </c>
      <c r="V831" t="s">
        <v>15758</v>
      </c>
      <c r="W831" t="s">
        <v>15759</v>
      </c>
      <c r="X831" t="s">
        <v>4011</v>
      </c>
      <c r="Y831" t="s">
        <v>15760</v>
      </c>
      <c r="Z831" t="s">
        <v>15761</v>
      </c>
      <c r="AA831" t="s">
        <v>74</v>
      </c>
      <c r="AB831" t="s">
        <v>74</v>
      </c>
      <c r="AC831" t="s">
        <v>15762</v>
      </c>
      <c r="AD831" t="s">
        <v>15763</v>
      </c>
      <c r="AE831" t="s">
        <v>15764</v>
      </c>
      <c r="AF831" t="s">
        <v>74</v>
      </c>
      <c r="AG831">
        <v>94</v>
      </c>
      <c r="AH831">
        <v>5</v>
      </c>
      <c r="AI831">
        <v>5</v>
      </c>
      <c r="AJ831">
        <v>3</v>
      </c>
      <c r="AK831">
        <v>18</v>
      </c>
      <c r="AL831" t="s">
        <v>3094</v>
      </c>
      <c r="AM831" t="s">
        <v>3095</v>
      </c>
      <c r="AN831" t="s">
        <v>3096</v>
      </c>
      <c r="AO831" t="s">
        <v>15765</v>
      </c>
      <c r="AP831" t="s">
        <v>15766</v>
      </c>
      <c r="AQ831" t="s">
        <v>74</v>
      </c>
      <c r="AR831" t="s">
        <v>15767</v>
      </c>
      <c r="AS831" t="s">
        <v>15768</v>
      </c>
      <c r="AT831" t="s">
        <v>12678</v>
      </c>
      <c r="AU831">
        <v>2020</v>
      </c>
      <c r="AV831">
        <v>100</v>
      </c>
      <c r="AW831">
        <v>4</v>
      </c>
      <c r="AX831" t="s">
        <v>74</v>
      </c>
      <c r="AY831" t="s">
        <v>74</v>
      </c>
      <c r="AZ831" t="s">
        <v>74</v>
      </c>
      <c r="BA831" t="s">
        <v>74</v>
      </c>
      <c r="BB831">
        <v>516</v>
      </c>
      <c r="BC831">
        <v>536</v>
      </c>
      <c r="BD831" t="s">
        <v>74</v>
      </c>
      <c r="BE831" t="s">
        <v>15769</v>
      </c>
      <c r="BF831" t="str">
        <f>HYPERLINK("http://dx.doi.org/10.1139/cjss-2019-0161","http://dx.doi.org/10.1139/cjss-2019-0161")</f>
        <v>http://dx.doi.org/10.1139/cjss-2019-0161</v>
      </c>
      <c r="BG831" t="s">
        <v>74</v>
      </c>
      <c r="BH831" t="s">
        <v>74</v>
      </c>
      <c r="BI831">
        <v>21</v>
      </c>
      <c r="BJ831" t="s">
        <v>1897</v>
      </c>
      <c r="BK831" t="s">
        <v>103</v>
      </c>
      <c r="BL831" t="s">
        <v>1898</v>
      </c>
      <c r="BM831" t="s">
        <v>15770</v>
      </c>
      <c r="BN831" t="s">
        <v>74</v>
      </c>
      <c r="BO831" t="s">
        <v>74</v>
      </c>
      <c r="BP831" t="s">
        <v>74</v>
      </c>
      <c r="BQ831" t="s">
        <v>74</v>
      </c>
      <c r="BR831" t="s">
        <v>106</v>
      </c>
      <c r="BS831" t="s">
        <v>15771</v>
      </c>
      <c r="BT831" t="str">
        <f>HYPERLINK("https%3A%2F%2Fwww.webofscience.com%2Fwos%2Fwoscc%2Ffull-record%2FWOS:000595593400016","View Full Record in Web of Science")</f>
        <v>View Full Record in Web of Science</v>
      </c>
    </row>
    <row r="832" spans="1:72" x14ac:dyDescent="0.15">
      <c r="A832" t="s">
        <v>72</v>
      </c>
      <c r="B832" t="s">
        <v>15772</v>
      </c>
      <c r="C832" t="s">
        <v>74</v>
      </c>
      <c r="D832" t="s">
        <v>74</v>
      </c>
      <c r="E832" t="s">
        <v>74</v>
      </c>
      <c r="F832" t="s">
        <v>15773</v>
      </c>
      <c r="G832" t="s">
        <v>74</v>
      </c>
      <c r="H832" t="s">
        <v>74</v>
      </c>
      <c r="I832" t="s">
        <v>15774</v>
      </c>
      <c r="J832" t="s">
        <v>15619</v>
      </c>
      <c r="K832" t="s">
        <v>74</v>
      </c>
      <c r="L832" t="s">
        <v>74</v>
      </c>
      <c r="M832" t="s">
        <v>78</v>
      </c>
      <c r="N832" t="s">
        <v>141</v>
      </c>
      <c r="O832" t="s">
        <v>74</v>
      </c>
      <c r="P832" t="s">
        <v>74</v>
      </c>
      <c r="Q832" t="s">
        <v>74</v>
      </c>
      <c r="R832" t="s">
        <v>74</v>
      </c>
      <c r="S832" t="s">
        <v>74</v>
      </c>
      <c r="T832" t="s">
        <v>15775</v>
      </c>
      <c r="U832" t="s">
        <v>15776</v>
      </c>
      <c r="V832" t="s">
        <v>15777</v>
      </c>
      <c r="W832" t="s">
        <v>15778</v>
      </c>
      <c r="X832" t="s">
        <v>15779</v>
      </c>
      <c r="Y832" t="s">
        <v>15780</v>
      </c>
      <c r="Z832" t="s">
        <v>15781</v>
      </c>
      <c r="AA832" t="s">
        <v>15782</v>
      </c>
      <c r="AB832" t="s">
        <v>15783</v>
      </c>
      <c r="AC832" t="s">
        <v>15784</v>
      </c>
      <c r="AD832" t="s">
        <v>15785</v>
      </c>
      <c r="AE832" t="s">
        <v>15786</v>
      </c>
      <c r="AF832" t="s">
        <v>74</v>
      </c>
      <c r="AG832">
        <v>151</v>
      </c>
      <c r="AH832">
        <v>11</v>
      </c>
      <c r="AI832">
        <v>13</v>
      </c>
      <c r="AJ832">
        <v>8</v>
      </c>
      <c r="AK832">
        <v>47</v>
      </c>
      <c r="AL832" t="s">
        <v>92</v>
      </c>
      <c r="AM832" t="s">
        <v>93</v>
      </c>
      <c r="AN832" t="s">
        <v>94</v>
      </c>
      <c r="AO832" t="s">
        <v>15632</v>
      </c>
      <c r="AP832" t="s">
        <v>15633</v>
      </c>
      <c r="AQ832" t="s">
        <v>74</v>
      </c>
      <c r="AR832" t="s">
        <v>15634</v>
      </c>
      <c r="AS832" t="s">
        <v>15635</v>
      </c>
      <c r="AT832" t="s">
        <v>12678</v>
      </c>
      <c r="AU832">
        <v>2020</v>
      </c>
      <c r="AV832">
        <v>211</v>
      </c>
      <c r="AW832" t="s">
        <v>74</v>
      </c>
      <c r="AX832" t="s">
        <v>74</v>
      </c>
      <c r="AY832" t="s">
        <v>74</v>
      </c>
      <c r="AZ832" t="s">
        <v>74</v>
      </c>
      <c r="BA832" t="s">
        <v>74</v>
      </c>
      <c r="BB832" t="s">
        <v>74</v>
      </c>
      <c r="BC832" t="s">
        <v>74</v>
      </c>
      <c r="BD832">
        <v>103403</v>
      </c>
      <c r="BE832" t="s">
        <v>15787</v>
      </c>
      <c r="BF832" t="str">
        <f>HYPERLINK("http://dx.doi.org/10.1016/j.earscirev.2020.103403","http://dx.doi.org/10.1016/j.earscirev.2020.103403")</f>
        <v>http://dx.doi.org/10.1016/j.earscirev.2020.103403</v>
      </c>
      <c r="BG832" t="s">
        <v>74</v>
      </c>
      <c r="BH832" t="s">
        <v>74</v>
      </c>
      <c r="BI832">
        <v>21</v>
      </c>
      <c r="BJ832" t="s">
        <v>401</v>
      </c>
      <c r="BK832" t="s">
        <v>103</v>
      </c>
      <c r="BL832" t="s">
        <v>402</v>
      </c>
      <c r="BM832" t="s">
        <v>15788</v>
      </c>
      <c r="BN832" t="s">
        <v>74</v>
      </c>
      <c r="BO832" t="s">
        <v>1220</v>
      </c>
      <c r="BP832" t="s">
        <v>74</v>
      </c>
      <c r="BQ832" t="s">
        <v>74</v>
      </c>
      <c r="BR832" t="s">
        <v>106</v>
      </c>
      <c r="BS832" t="s">
        <v>15789</v>
      </c>
      <c r="BT832" t="str">
        <f>HYPERLINK("https%3A%2F%2Fwww.webofscience.com%2Fwos%2Fwoscc%2Ffull-record%2FWOS:000599839400005","View Full Record in Web of Science")</f>
        <v>View Full Record in Web of Science</v>
      </c>
    </row>
    <row r="833" spans="1:72" x14ac:dyDescent="0.15">
      <c r="A833" t="s">
        <v>72</v>
      </c>
      <c r="B833" t="s">
        <v>15790</v>
      </c>
      <c r="C833" t="s">
        <v>74</v>
      </c>
      <c r="D833" t="s">
        <v>74</v>
      </c>
      <c r="E833" t="s">
        <v>74</v>
      </c>
      <c r="F833" t="s">
        <v>15791</v>
      </c>
      <c r="G833" t="s">
        <v>74</v>
      </c>
      <c r="H833" t="s">
        <v>74</v>
      </c>
      <c r="I833" t="s">
        <v>15792</v>
      </c>
      <c r="J833" t="s">
        <v>15793</v>
      </c>
      <c r="K833" t="s">
        <v>74</v>
      </c>
      <c r="L833" t="s">
        <v>74</v>
      </c>
      <c r="M833" t="s">
        <v>78</v>
      </c>
      <c r="N833" t="s">
        <v>79</v>
      </c>
      <c r="O833" t="s">
        <v>74</v>
      </c>
      <c r="P833" t="s">
        <v>74</v>
      </c>
      <c r="Q833" t="s">
        <v>74</v>
      </c>
      <c r="R833" t="s">
        <v>74</v>
      </c>
      <c r="S833" t="s">
        <v>74</v>
      </c>
      <c r="T833" t="s">
        <v>15794</v>
      </c>
      <c r="U833" t="s">
        <v>15795</v>
      </c>
      <c r="V833" t="s">
        <v>15796</v>
      </c>
      <c r="W833" t="s">
        <v>15797</v>
      </c>
      <c r="X833" t="s">
        <v>15798</v>
      </c>
      <c r="Y833" t="s">
        <v>15799</v>
      </c>
      <c r="Z833" t="s">
        <v>15800</v>
      </c>
      <c r="AA833" t="s">
        <v>74</v>
      </c>
      <c r="AB833" t="s">
        <v>15801</v>
      </c>
      <c r="AC833" t="s">
        <v>15802</v>
      </c>
      <c r="AD833" t="s">
        <v>701</v>
      </c>
      <c r="AE833" t="s">
        <v>15803</v>
      </c>
      <c r="AF833" t="s">
        <v>74</v>
      </c>
      <c r="AG833">
        <v>46</v>
      </c>
      <c r="AH833">
        <v>16</v>
      </c>
      <c r="AI833">
        <v>16</v>
      </c>
      <c r="AJ833">
        <v>2</v>
      </c>
      <c r="AK833">
        <v>13</v>
      </c>
      <c r="AL833" t="s">
        <v>3069</v>
      </c>
      <c r="AM833" t="s">
        <v>236</v>
      </c>
      <c r="AN833" t="s">
        <v>3070</v>
      </c>
      <c r="AO833" t="s">
        <v>15804</v>
      </c>
      <c r="AP833" t="s">
        <v>15805</v>
      </c>
      <c r="AQ833" t="s">
        <v>74</v>
      </c>
      <c r="AR833" t="s">
        <v>15806</v>
      </c>
      <c r="AS833" t="s">
        <v>15807</v>
      </c>
      <c r="AT833" t="s">
        <v>12678</v>
      </c>
      <c r="AU833">
        <v>2020</v>
      </c>
      <c r="AV833">
        <v>107</v>
      </c>
      <c r="AW833" t="s">
        <v>74</v>
      </c>
      <c r="AX833" t="s">
        <v>14933</v>
      </c>
      <c r="AY833" t="s">
        <v>74</v>
      </c>
      <c r="AZ833" t="s">
        <v>74</v>
      </c>
      <c r="BA833" t="s">
        <v>74</v>
      </c>
      <c r="BB833">
        <v>301</v>
      </c>
      <c r="BC833">
        <v>308</v>
      </c>
      <c r="BD833" t="s">
        <v>74</v>
      </c>
      <c r="BE833" t="s">
        <v>15808</v>
      </c>
      <c r="BF833" t="str">
        <f>HYPERLINK("http://dx.doi.org/10.1016/j.fsi.2020.10.017","http://dx.doi.org/10.1016/j.fsi.2020.10.017")</f>
        <v>http://dx.doi.org/10.1016/j.fsi.2020.10.017</v>
      </c>
      <c r="BG833" t="s">
        <v>74</v>
      </c>
      <c r="BH833" t="s">
        <v>74</v>
      </c>
      <c r="BI833">
        <v>8</v>
      </c>
      <c r="BJ833" t="s">
        <v>15809</v>
      </c>
      <c r="BK833" t="s">
        <v>103</v>
      </c>
      <c r="BL833" t="s">
        <v>15809</v>
      </c>
      <c r="BM833" t="s">
        <v>15810</v>
      </c>
      <c r="BN833">
        <v>33068759</v>
      </c>
      <c r="BO833" t="s">
        <v>74</v>
      </c>
      <c r="BP833" t="s">
        <v>74</v>
      </c>
      <c r="BQ833" t="s">
        <v>74</v>
      </c>
      <c r="BR833" t="s">
        <v>106</v>
      </c>
      <c r="BS833" t="s">
        <v>15811</v>
      </c>
      <c r="BT833" t="str">
        <f>HYPERLINK("https%3A%2F%2Fwww.webofscience.com%2Fwos%2Fwoscc%2Ffull-record%2FWOS:000599882200033","View Full Record in Web of Science")</f>
        <v>View Full Record in Web of Science</v>
      </c>
    </row>
    <row r="834" spans="1:72" x14ac:dyDescent="0.15">
      <c r="A834" t="s">
        <v>72</v>
      </c>
      <c r="B834" t="s">
        <v>15812</v>
      </c>
      <c r="C834" t="s">
        <v>74</v>
      </c>
      <c r="D834" t="s">
        <v>74</v>
      </c>
      <c r="E834" t="s">
        <v>74</v>
      </c>
      <c r="F834" t="s">
        <v>15813</v>
      </c>
      <c r="G834" t="s">
        <v>74</v>
      </c>
      <c r="H834" t="s">
        <v>74</v>
      </c>
      <c r="I834" t="s">
        <v>15814</v>
      </c>
      <c r="J834" t="s">
        <v>15815</v>
      </c>
      <c r="K834" t="s">
        <v>74</v>
      </c>
      <c r="L834" t="s">
        <v>74</v>
      </c>
      <c r="M834" t="s">
        <v>78</v>
      </c>
      <c r="N834" t="s">
        <v>79</v>
      </c>
      <c r="O834" t="s">
        <v>74</v>
      </c>
      <c r="P834" t="s">
        <v>74</v>
      </c>
      <c r="Q834" t="s">
        <v>74</v>
      </c>
      <c r="R834" t="s">
        <v>74</v>
      </c>
      <c r="S834" t="s">
        <v>74</v>
      </c>
      <c r="T834" t="s">
        <v>15816</v>
      </c>
      <c r="U834" t="s">
        <v>15817</v>
      </c>
      <c r="V834" t="s">
        <v>15818</v>
      </c>
      <c r="W834" t="s">
        <v>15819</v>
      </c>
      <c r="X834" t="s">
        <v>15820</v>
      </c>
      <c r="Y834" t="s">
        <v>15821</v>
      </c>
      <c r="Z834" t="s">
        <v>15822</v>
      </c>
      <c r="AA834" t="s">
        <v>15823</v>
      </c>
      <c r="AB834" t="s">
        <v>74</v>
      </c>
      <c r="AC834" t="s">
        <v>15824</v>
      </c>
      <c r="AD834" t="s">
        <v>15825</v>
      </c>
      <c r="AE834" t="s">
        <v>15826</v>
      </c>
      <c r="AF834" t="s">
        <v>74</v>
      </c>
      <c r="AG834">
        <v>116</v>
      </c>
      <c r="AH834">
        <v>5</v>
      </c>
      <c r="AI834">
        <v>5</v>
      </c>
      <c r="AJ834">
        <v>1</v>
      </c>
      <c r="AK834">
        <v>8</v>
      </c>
      <c r="AL834" t="s">
        <v>92</v>
      </c>
      <c r="AM834" t="s">
        <v>93</v>
      </c>
      <c r="AN834" t="s">
        <v>94</v>
      </c>
      <c r="AO834" t="s">
        <v>15827</v>
      </c>
      <c r="AP834" t="s">
        <v>15828</v>
      </c>
      <c r="AQ834" t="s">
        <v>74</v>
      </c>
      <c r="AR834" t="s">
        <v>15829</v>
      </c>
      <c r="AS834" t="s">
        <v>15830</v>
      </c>
      <c r="AT834" t="s">
        <v>12678</v>
      </c>
      <c r="AU834">
        <v>2020</v>
      </c>
      <c r="AV834">
        <v>430</v>
      </c>
      <c r="AW834" t="s">
        <v>74</v>
      </c>
      <c r="AX834" t="s">
        <v>74</v>
      </c>
      <c r="AY834" t="s">
        <v>74</v>
      </c>
      <c r="AZ834" t="s">
        <v>74</v>
      </c>
      <c r="BA834" t="s">
        <v>74</v>
      </c>
      <c r="BB834" t="s">
        <v>74</v>
      </c>
      <c r="BC834" t="s">
        <v>74</v>
      </c>
      <c r="BD834">
        <v>106339</v>
      </c>
      <c r="BE834" t="s">
        <v>15831</v>
      </c>
      <c r="BF834" t="str">
        <f>HYPERLINK("http://dx.doi.org/10.1016/j.margeo.2020.106339","http://dx.doi.org/10.1016/j.margeo.2020.106339")</f>
        <v>http://dx.doi.org/10.1016/j.margeo.2020.106339</v>
      </c>
      <c r="BG834" t="s">
        <v>74</v>
      </c>
      <c r="BH834" t="s">
        <v>74</v>
      </c>
      <c r="BI834">
        <v>15</v>
      </c>
      <c r="BJ834" t="s">
        <v>15832</v>
      </c>
      <c r="BK834" t="s">
        <v>103</v>
      </c>
      <c r="BL834" t="s">
        <v>15833</v>
      </c>
      <c r="BM834" t="s">
        <v>15834</v>
      </c>
      <c r="BN834" t="s">
        <v>74</v>
      </c>
      <c r="BO834" t="s">
        <v>759</v>
      </c>
      <c r="BP834" t="s">
        <v>74</v>
      </c>
      <c r="BQ834" t="s">
        <v>74</v>
      </c>
      <c r="BR834" t="s">
        <v>106</v>
      </c>
      <c r="BS834" t="s">
        <v>15835</v>
      </c>
      <c r="BT834" t="str">
        <f>HYPERLINK("https%3A%2F%2Fwww.webofscience.com%2Fwos%2Fwoscc%2Ffull-record%2FWOS:000595643300008","View Full Record in Web of Science")</f>
        <v>View Full Record in Web of Science</v>
      </c>
    </row>
    <row r="835" spans="1:72" x14ac:dyDescent="0.15">
      <c r="A835" t="s">
        <v>72</v>
      </c>
      <c r="B835" t="s">
        <v>15836</v>
      </c>
      <c r="C835" t="s">
        <v>74</v>
      </c>
      <c r="D835" t="s">
        <v>74</v>
      </c>
      <c r="E835" t="s">
        <v>74</v>
      </c>
      <c r="F835" t="s">
        <v>15837</v>
      </c>
      <c r="G835" t="s">
        <v>74</v>
      </c>
      <c r="H835" t="s">
        <v>74</v>
      </c>
      <c r="I835" t="s">
        <v>15838</v>
      </c>
      <c r="J835" t="s">
        <v>15839</v>
      </c>
      <c r="K835" t="s">
        <v>74</v>
      </c>
      <c r="L835" t="s">
        <v>74</v>
      </c>
      <c r="M835" t="s">
        <v>78</v>
      </c>
      <c r="N835" t="s">
        <v>79</v>
      </c>
      <c r="O835" t="s">
        <v>74</v>
      </c>
      <c r="P835" t="s">
        <v>74</v>
      </c>
      <c r="Q835" t="s">
        <v>74</v>
      </c>
      <c r="R835" t="s">
        <v>74</v>
      </c>
      <c r="S835" t="s">
        <v>74</v>
      </c>
      <c r="T835" t="s">
        <v>74</v>
      </c>
      <c r="U835" t="s">
        <v>74</v>
      </c>
      <c r="V835" t="s">
        <v>15840</v>
      </c>
      <c r="W835" t="s">
        <v>15841</v>
      </c>
      <c r="X835" t="s">
        <v>15842</v>
      </c>
      <c r="Y835" t="s">
        <v>15843</v>
      </c>
      <c r="Z835" t="s">
        <v>15844</v>
      </c>
      <c r="AA835" t="s">
        <v>15845</v>
      </c>
      <c r="AB835" t="s">
        <v>15846</v>
      </c>
      <c r="AC835" t="s">
        <v>15847</v>
      </c>
      <c r="AD835" t="s">
        <v>15848</v>
      </c>
      <c r="AE835" t="s">
        <v>15849</v>
      </c>
      <c r="AF835" t="s">
        <v>74</v>
      </c>
      <c r="AG835">
        <v>5</v>
      </c>
      <c r="AH835">
        <v>2</v>
      </c>
      <c r="AI835">
        <v>2</v>
      </c>
      <c r="AJ835">
        <v>0</v>
      </c>
      <c r="AK835">
        <v>5</v>
      </c>
      <c r="AL835" t="s">
        <v>9467</v>
      </c>
      <c r="AM835" t="s">
        <v>629</v>
      </c>
      <c r="AN835" t="s">
        <v>9468</v>
      </c>
      <c r="AO835" t="s">
        <v>15850</v>
      </c>
      <c r="AP835" t="s">
        <v>74</v>
      </c>
      <c r="AQ835" t="s">
        <v>74</v>
      </c>
      <c r="AR835" t="s">
        <v>15851</v>
      </c>
      <c r="AS835" t="s">
        <v>15852</v>
      </c>
      <c r="AT835" t="s">
        <v>12678</v>
      </c>
      <c r="AU835">
        <v>2020</v>
      </c>
      <c r="AV835">
        <v>9</v>
      </c>
      <c r="AW835">
        <v>50</v>
      </c>
      <c r="AX835" t="s">
        <v>74</v>
      </c>
      <c r="AY835" t="s">
        <v>74</v>
      </c>
      <c r="AZ835" t="s">
        <v>74</v>
      </c>
      <c r="BA835" t="s">
        <v>74</v>
      </c>
      <c r="BB835" t="s">
        <v>74</v>
      </c>
      <c r="BC835" t="s">
        <v>74</v>
      </c>
      <c r="BD835" t="s">
        <v>15853</v>
      </c>
      <c r="BE835" t="s">
        <v>15854</v>
      </c>
      <c r="BF835" t="str">
        <f>HYPERLINK("http://dx.doi.org/10.1128/MRA.01125-20","http://dx.doi.org/10.1128/MRA.01125-20")</f>
        <v>http://dx.doi.org/10.1128/MRA.01125-20</v>
      </c>
      <c r="BG835" t="s">
        <v>74</v>
      </c>
      <c r="BH835" t="s">
        <v>74</v>
      </c>
      <c r="BI835">
        <v>2</v>
      </c>
      <c r="BJ835" t="s">
        <v>3581</v>
      </c>
      <c r="BK835" t="s">
        <v>3050</v>
      </c>
      <c r="BL835" t="s">
        <v>3581</v>
      </c>
      <c r="BM835" t="s">
        <v>15855</v>
      </c>
      <c r="BN835">
        <v>33303663</v>
      </c>
      <c r="BO835" t="s">
        <v>561</v>
      </c>
      <c r="BP835" t="s">
        <v>74</v>
      </c>
      <c r="BQ835" t="s">
        <v>74</v>
      </c>
      <c r="BR835" t="s">
        <v>106</v>
      </c>
      <c r="BS835" t="s">
        <v>15856</v>
      </c>
      <c r="BT835" t="str">
        <f>HYPERLINK("https%3A%2F%2Fwww.webofscience.com%2Fwos%2Fwoscc%2Ffull-record%2FWOS:000600412300011","View Full Record in Web of Science")</f>
        <v>View Full Record in Web of Science</v>
      </c>
    </row>
    <row r="836" spans="1:72" x14ac:dyDescent="0.15">
      <c r="A836" t="s">
        <v>72</v>
      </c>
      <c r="B836" t="s">
        <v>15857</v>
      </c>
      <c r="C836" t="s">
        <v>74</v>
      </c>
      <c r="D836" t="s">
        <v>74</v>
      </c>
      <c r="E836" t="s">
        <v>74</v>
      </c>
      <c r="F836" t="s">
        <v>15858</v>
      </c>
      <c r="G836" t="s">
        <v>74</v>
      </c>
      <c r="H836" t="s">
        <v>74</v>
      </c>
      <c r="I836" t="s">
        <v>15859</v>
      </c>
      <c r="J836" t="s">
        <v>15860</v>
      </c>
      <c r="K836" t="s">
        <v>74</v>
      </c>
      <c r="L836" t="s">
        <v>74</v>
      </c>
      <c r="M836" t="s">
        <v>78</v>
      </c>
      <c r="N836" t="s">
        <v>79</v>
      </c>
      <c r="O836" t="s">
        <v>74</v>
      </c>
      <c r="P836" t="s">
        <v>74</v>
      </c>
      <c r="Q836" t="s">
        <v>74</v>
      </c>
      <c r="R836" t="s">
        <v>74</v>
      </c>
      <c r="S836" t="s">
        <v>74</v>
      </c>
      <c r="T836" t="s">
        <v>15861</v>
      </c>
      <c r="U836" t="s">
        <v>15862</v>
      </c>
      <c r="V836" t="s">
        <v>15863</v>
      </c>
      <c r="W836" t="s">
        <v>15864</v>
      </c>
      <c r="X836" t="s">
        <v>13352</v>
      </c>
      <c r="Y836" t="s">
        <v>15865</v>
      </c>
      <c r="Z836" t="s">
        <v>15866</v>
      </c>
      <c r="AA836" t="s">
        <v>15867</v>
      </c>
      <c r="AB836" t="s">
        <v>15868</v>
      </c>
      <c r="AC836" t="s">
        <v>74</v>
      </c>
      <c r="AD836" t="s">
        <v>74</v>
      </c>
      <c r="AE836" t="s">
        <v>74</v>
      </c>
      <c r="AF836" t="s">
        <v>74</v>
      </c>
      <c r="AG836">
        <v>67</v>
      </c>
      <c r="AH836">
        <v>0</v>
      </c>
      <c r="AI836">
        <v>0</v>
      </c>
      <c r="AJ836">
        <v>0</v>
      </c>
      <c r="AK836">
        <v>4</v>
      </c>
      <c r="AL836" t="s">
        <v>15869</v>
      </c>
      <c r="AM836" t="s">
        <v>15870</v>
      </c>
      <c r="AN836" t="s">
        <v>15871</v>
      </c>
      <c r="AO836" t="s">
        <v>15872</v>
      </c>
      <c r="AP836" t="s">
        <v>15873</v>
      </c>
      <c r="AQ836" t="s">
        <v>74</v>
      </c>
      <c r="AR836" t="s">
        <v>15874</v>
      </c>
      <c r="AS836" t="s">
        <v>15875</v>
      </c>
      <c r="AT836" t="s">
        <v>12678</v>
      </c>
      <c r="AU836">
        <v>2020</v>
      </c>
      <c r="AV836">
        <v>28</v>
      </c>
      <c r="AW836" t="s">
        <v>13749</v>
      </c>
      <c r="AX836" t="s">
        <v>74</v>
      </c>
      <c r="AY836" t="s">
        <v>74</v>
      </c>
      <c r="AZ836" t="s">
        <v>74</v>
      </c>
      <c r="BA836" t="s">
        <v>74</v>
      </c>
      <c r="BB836">
        <v>651</v>
      </c>
      <c r="BC836">
        <v>669</v>
      </c>
      <c r="BD836" t="s">
        <v>74</v>
      </c>
      <c r="BE836" t="s">
        <v>15876</v>
      </c>
      <c r="BF836" t="str">
        <f>HYPERLINK("http://dx.doi.org/10.1163/15685306-12341564","http://dx.doi.org/10.1163/15685306-12341564")</f>
        <v>http://dx.doi.org/10.1163/15685306-12341564</v>
      </c>
      <c r="BG836" t="s">
        <v>74</v>
      </c>
      <c r="BH836" t="s">
        <v>74</v>
      </c>
      <c r="BI836">
        <v>19</v>
      </c>
      <c r="BJ836" t="s">
        <v>15877</v>
      </c>
      <c r="BK836" t="s">
        <v>271</v>
      </c>
      <c r="BL836" t="s">
        <v>15877</v>
      </c>
      <c r="BM836" t="s">
        <v>15878</v>
      </c>
      <c r="BN836" t="s">
        <v>74</v>
      </c>
      <c r="BO836" t="s">
        <v>74</v>
      </c>
      <c r="BP836" t="s">
        <v>74</v>
      </c>
      <c r="BQ836" t="s">
        <v>74</v>
      </c>
      <c r="BR836" t="s">
        <v>106</v>
      </c>
      <c r="BS836" t="s">
        <v>15879</v>
      </c>
      <c r="BT836" t="str">
        <f>HYPERLINK("https%3A%2F%2Fwww.webofscience.com%2Fwos%2Fwoscc%2Ffull-record%2FWOS:000599654800011","View Full Record in Web of Science")</f>
        <v>View Full Record in Web of Science</v>
      </c>
    </row>
    <row r="837" spans="1:72" x14ac:dyDescent="0.15">
      <c r="A837" t="s">
        <v>72</v>
      </c>
      <c r="B837" t="s">
        <v>15880</v>
      </c>
      <c r="C837" t="s">
        <v>74</v>
      </c>
      <c r="D837" t="s">
        <v>74</v>
      </c>
      <c r="E837" t="s">
        <v>74</v>
      </c>
      <c r="F837" t="s">
        <v>15881</v>
      </c>
      <c r="G837" t="s">
        <v>74</v>
      </c>
      <c r="H837" t="s">
        <v>74</v>
      </c>
      <c r="I837" t="s">
        <v>15882</v>
      </c>
      <c r="J837" t="s">
        <v>15883</v>
      </c>
      <c r="K837" t="s">
        <v>74</v>
      </c>
      <c r="L837" t="s">
        <v>74</v>
      </c>
      <c r="M837" t="s">
        <v>78</v>
      </c>
      <c r="N837" t="s">
        <v>79</v>
      </c>
      <c r="O837" t="s">
        <v>74</v>
      </c>
      <c r="P837" t="s">
        <v>74</v>
      </c>
      <c r="Q837" t="s">
        <v>74</v>
      </c>
      <c r="R837" t="s">
        <v>74</v>
      </c>
      <c r="S837" t="s">
        <v>74</v>
      </c>
      <c r="T837" t="s">
        <v>15884</v>
      </c>
      <c r="U837" t="s">
        <v>15885</v>
      </c>
      <c r="V837" t="s">
        <v>15886</v>
      </c>
      <c r="W837" t="s">
        <v>15887</v>
      </c>
      <c r="X837" t="s">
        <v>15888</v>
      </c>
      <c r="Y837" t="s">
        <v>15889</v>
      </c>
      <c r="Z837" t="s">
        <v>15890</v>
      </c>
      <c r="AA837" t="s">
        <v>15891</v>
      </c>
      <c r="AB837" t="s">
        <v>15892</v>
      </c>
      <c r="AC837" t="s">
        <v>15893</v>
      </c>
      <c r="AD837" t="s">
        <v>15894</v>
      </c>
      <c r="AE837" t="s">
        <v>15895</v>
      </c>
      <c r="AF837" t="s">
        <v>74</v>
      </c>
      <c r="AG837">
        <v>77</v>
      </c>
      <c r="AH837">
        <v>9</v>
      </c>
      <c r="AI837">
        <v>9</v>
      </c>
      <c r="AJ837">
        <v>2</v>
      </c>
      <c r="AK837">
        <v>21</v>
      </c>
      <c r="AL837" t="s">
        <v>2046</v>
      </c>
      <c r="AM837" t="s">
        <v>473</v>
      </c>
      <c r="AN837" t="s">
        <v>2047</v>
      </c>
      <c r="AO837" t="s">
        <v>15896</v>
      </c>
      <c r="AP837" t="s">
        <v>15897</v>
      </c>
      <c r="AQ837" t="s">
        <v>74</v>
      </c>
      <c r="AR837" t="s">
        <v>15898</v>
      </c>
      <c r="AS837" t="s">
        <v>15899</v>
      </c>
      <c r="AT837" t="s">
        <v>12678</v>
      </c>
      <c r="AU837">
        <v>2020</v>
      </c>
      <c r="AV837">
        <v>250</v>
      </c>
      <c r="AW837" t="s">
        <v>74</v>
      </c>
      <c r="AX837" t="s">
        <v>74</v>
      </c>
      <c r="AY837" t="s">
        <v>74</v>
      </c>
      <c r="AZ837" t="s">
        <v>74</v>
      </c>
      <c r="BA837" t="s">
        <v>74</v>
      </c>
      <c r="BB837" t="s">
        <v>74</v>
      </c>
      <c r="BC837" t="s">
        <v>74</v>
      </c>
      <c r="BD837">
        <v>110504</v>
      </c>
      <c r="BE837" t="s">
        <v>15900</v>
      </c>
      <c r="BF837" t="str">
        <f>HYPERLINK("http://dx.doi.org/10.1016/j.cbpb.2020.110504","http://dx.doi.org/10.1016/j.cbpb.2020.110504")</f>
        <v>http://dx.doi.org/10.1016/j.cbpb.2020.110504</v>
      </c>
      <c r="BG837" t="s">
        <v>74</v>
      </c>
      <c r="BH837" t="s">
        <v>74</v>
      </c>
      <c r="BI837">
        <v>11</v>
      </c>
      <c r="BJ837" t="s">
        <v>15901</v>
      </c>
      <c r="BK837" t="s">
        <v>103</v>
      </c>
      <c r="BL837" t="s">
        <v>15901</v>
      </c>
      <c r="BM837" t="s">
        <v>15902</v>
      </c>
      <c r="BN837">
        <v>32916299</v>
      </c>
      <c r="BO837" t="s">
        <v>74</v>
      </c>
      <c r="BP837" t="s">
        <v>74</v>
      </c>
      <c r="BQ837" t="s">
        <v>74</v>
      </c>
      <c r="BR837" t="s">
        <v>106</v>
      </c>
      <c r="BS837" t="s">
        <v>15903</v>
      </c>
      <c r="BT837" t="str">
        <f>HYPERLINK("https%3A%2F%2Fwww.webofscience.com%2Fwos%2Fwoscc%2Ffull-record%2FWOS:000580412900014","View Full Record in Web of Science")</f>
        <v>View Full Record in Web of Science</v>
      </c>
    </row>
    <row r="838" spans="1:72" x14ac:dyDescent="0.15">
      <c r="A838" t="s">
        <v>72</v>
      </c>
      <c r="B838" t="s">
        <v>15904</v>
      </c>
      <c r="C838" t="s">
        <v>74</v>
      </c>
      <c r="D838" t="s">
        <v>74</v>
      </c>
      <c r="E838" t="s">
        <v>74</v>
      </c>
      <c r="F838" t="s">
        <v>15905</v>
      </c>
      <c r="G838" t="s">
        <v>74</v>
      </c>
      <c r="H838" t="s">
        <v>74</v>
      </c>
      <c r="I838" t="s">
        <v>15906</v>
      </c>
      <c r="J838" t="s">
        <v>15883</v>
      </c>
      <c r="K838" t="s">
        <v>74</v>
      </c>
      <c r="L838" t="s">
        <v>74</v>
      </c>
      <c r="M838" t="s">
        <v>78</v>
      </c>
      <c r="N838" t="s">
        <v>79</v>
      </c>
      <c r="O838" t="s">
        <v>74</v>
      </c>
      <c r="P838" t="s">
        <v>74</v>
      </c>
      <c r="Q838" t="s">
        <v>74</v>
      </c>
      <c r="R838" t="s">
        <v>74</v>
      </c>
      <c r="S838" t="s">
        <v>74</v>
      </c>
      <c r="T838" t="s">
        <v>15907</v>
      </c>
      <c r="U838" t="s">
        <v>15908</v>
      </c>
      <c r="V838" t="s">
        <v>15909</v>
      </c>
      <c r="W838" t="s">
        <v>15910</v>
      </c>
      <c r="X838" t="s">
        <v>15911</v>
      </c>
      <c r="Y838" t="s">
        <v>15912</v>
      </c>
      <c r="Z838" t="s">
        <v>15913</v>
      </c>
      <c r="AA838" t="s">
        <v>74</v>
      </c>
      <c r="AB838" t="s">
        <v>15914</v>
      </c>
      <c r="AC838" t="s">
        <v>15915</v>
      </c>
      <c r="AD838" t="s">
        <v>15916</v>
      </c>
      <c r="AE838" t="s">
        <v>15917</v>
      </c>
      <c r="AF838" t="s">
        <v>74</v>
      </c>
      <c r="AG838">
        <v>88</v>
      </c>
      <c r="AH838">
        <v>13</v>
      </c>
      <c r="AI838">
        <v>13</v>
      </c>
      <c r="AJ838">
        <v>0</v>
      </c>
      <c r="AK838">
        <v>20</v>
      </c>
      <c r="AL838" t="s">
        <v>2046</v>
      </c>
      <c r="AM838" t="s">
        <v>473</v>
      </c>
      <c r="AN838" t="s">
        <v>2047</v>
      </c>
      <c r="AO838" t="s">
        <v>15896</v>
      </c>
      <c r="AP838" t="s">
        <v>15897</v>
      </c>
      <c r="AQ838" t="s">
        <v>74</v>
      </c>
      <c r="AR838" t="s">
        <v>15898</v>
      </c>
      <c r="AS838" t="s">
        <v>15899</v>
      </c>
      <c r="AT838" t="s">
        <v>12678</v>
      </c>
      <c r="AU838">
        <v>2020</v>
      </c>
      <c r="AV838">
        <v>250</v>
      </c>
      <c r="AW838" t="s">
        <v>74</v>
      </c>
      <c r="AX838" t="s">
        <v>74</v>
      </c>
      <c r="AY838" t="s">
        <v>74</v>
      </c>
      <c r="AZ838" t="s">
        <v>74</v>
      </c>
      <c r="BA838" t="s">
        <v>74</v>
      </c>
      <c r="BB838" t="s">
        <v>74</v>
      </c>
      <c r="BC838" t="s">
        <v>74</v>
      </c>
      <c r="BD838">
        <v>110505</v>
      </c>
      <c r="BE838" t="s">
        <v>15918</v>
      </c>
      <c r="BF838" t="str">
        <f>HYPERLINK("http://dx.doi.org/10.1016/j.cbpb.2020.110505","http://dx.doi.org/10.1016/j.cbpb.2020.110505")</f>
        <v>http://dx.doi.org/10.1016/j.cbpb.2020.110505</v>
      </c>
      <c r="BG838" t="s">
        <v>74</v>
      </c>
      <c r="BH838" t="s">
        <v>74</v>
      </c>
      <c r="BI838">
        <v>11</v>
      </c>
      <c r="BJ838" t="s">
        <v>15901</v>
      </c>
      <c r="BK838" t="s">
        <v>103</v>
      </c>
      <c r="BL838" t="s">
        <v>15901</v>
      </c>
      <c r="BM838" t="s">
        <v>15902</v>
      </c>
      <c r="BN838">
        <v>32966875</v>
      </c>
      <c r="BO838" t="s">
        <v>3760</v>
      </c>
      <c r="BP838" t="s">
        <v>74</v>
      </c>
      <c r="BQ838" t="s">
        <v>74</v>
      </c>
      <c r="BR838" t="s">
        <v>106</v>
      </c>
      <c r="BS838" t="s">
        <v>15919</v>
      </c>
      <c r="BT838" t="str">
        <f>HYPERLINK("https%3A%2F%2Fwww.webofscience.com%2Fwos%2Fwoscc%2Ffull-record%2FWOS:000580412900015","View Full Record in Web of Science")</f>
        <v>View Full Record in Web of Science</v>
      </c>
    </row>
    <row r="839" spans="1:72" x14ac:dyDescent="0.15">
      <c r="A839" t="s">
        <v>72</v>
      </c>
      <c r="B839" t="s">
        <v>15920</v>
      </c>
      <c r="C839" t="s">
        <v>74</v>
      </c>
      <c r="D839" t="s">
        <v>74</v>
      </c>
      <c r="E839" t="s">
        <v>74</v>
      </c>
      <c r="F839" t="s">
        <v>15921</v>
      </c>
      <c r="G839" t="s">
        <v>74</v>
      </c>
      <c r="H839" t="s">
        <v>74</v>
      </c>
      <c r="I839" t="s">
        <v>15922</v>
      </c>
      <c r="J839" t="s">
        <v>8916</v>
      </c>
      <c r="K839" t="s">
        <v>74</v>
      </c>
      <c r="L839" t="s">
        <v>74</v>
      </c>
      <c r="M839" t="s">
        <v>78</v>
      </c>
      <c r="N839" t="s">
        <v>79</v>
      </c>
      <c r="O839" t="s">
        <v>74</v>
      </c>
      <c r="P839" t="s">
        <v>74</v>
      </c>
      <c r="Q839" t="s">
        <v>74</v>
      </c>
      <c r="R839" t="s">
        <v>74</v>
      </c>
      <c r="S839" t="s">
        <v>74</v>
      </c>
      <c r="T839" t="s">
        <v>74</v>
      </c>
      <c r="U839" t="s">
        <v>15923</v>
      </c>
      <c r="V839" t="s">
        <v>15924</v>
      </c>
      <c r="W839" t="s">
        <v>15925</v>
      </c>
      <c r="X839" t="s">
        <v>15926</v>
      </c>
      <c r="Y839" t="s">
        <v>15927</v>
      </c>
      <c r="Z839" t="s">
        <v>15928</v>
      </c>
      <c r="AA839" t="s">
        <v>15929</v>
      </c>
      <c r="AB839" t="s">
        <v>15930</v>
      </c>
      <c r="AC839" t="s">
        <v>15931</v>
      </c>
      <c r="AD839" t="s">
        <v>5797</v>
      </c>
      <c r="AE839" t="s">
        <v>15932</v>
      </c>
      <c r="AF839" t="s">
        <v>74</v>
      </c>
      <c r="AG839">
        <v>50</v>
      </c>
      <c r="AH839">
        <v>20</v>
      </c>
      <c r="AI839">
        <v>22</v>
      </c>
      <c r="AJ839">
        <v>2</v>
      </c>
      <c r="AK839">
        <v>8</v>
      </c>
      <c r="AL839" t="s">
        <v>8927</v>
      </c>
      <c r="AM839" t="s">
        <v>629</v>
      </c>
      <c r="AN839" t="s">
        <v>8928</v>
      </c>
      <c r="AO839" t="s">
        <v>8929</v>
      </c>
      <c r="AP839" t="s">
        <v>74</v>
      </c>
      <c r="AQ839" t="s">
        <v>74</v>
      </c>
      <c r="AR839" t="s">
        <v>8930</v>
      </c>
      <c r="AS839" t="s">
        <v>8931</v>
      </c>
      <c r="AT839" t="s">
        <v>12678</v>
      </c>
      <c r="AU839">
        <v>2020</v>
      </c>
      <c r="AV839">
        <v>6</v>
      </c>
      <c r="AW839">
        <v>51</v>
      </c>
      <c r="AX839" t="s">
        <v>74</v>
      </c>
      <c r="AY839" t="s">
        <v>74</v>
      </c>
      <c r="AZ839" t="s">
        <v>74</v>
      </c>
      <c r="BA839" t="s">
        <v>74</v>
      </c>
      <c r="BB839" t="s">
        <v>74</v>
      </c>
      <c r="BC839" t="s">
        <v>74</v>
      </c>
      <c r="BD839" t="s">
        <v>15933</v>
      </c>
      <c r="BE839" t="s">
        <v>15934</v>
      </c>
      <c r="BF839" t="str">
        <f>HYPERLINK("http://dx.doi.org/10.1126/sciadv.abd1273","http://dx.doi.org/10.1126/sciadv.abd1273")</f>
        <v>http://dx.doi.org/10.1126/sciadv.abd1273</v>
      </c>
      <c r="BG839" t="s">
        <v>74</v>
      </c>
      <c r="BH839" t="s">
        <v>74</v>
      </c>
      <c r="BI839">
        <v>8</v>
      </c>
      <c r="BJ839" t="s">
        <v>534</v>
      </c>
      <c r="BK839" t="s">
        <v>103</v>
      </c>
      <c r="BL839" t="s">
        <v>535</v>
      </c>
      <c r="BM839" t="s">
        <v>15935</v>
      </c>
      <c r="BN839">
        <v>33328234</v>
      </c>
      <c r="BO839" t="s">
        <v>561</v>
      </c>
      <c r="BP839" t="s">
        <v>74</v>
      </c>
      <c r="BQ839" t="s">
        <v>74</v>
      </c>
      <c r="BR839" t="s">
        <v>106</v>
      </c>
      <c r="BS839" t="s">
        <v>15936</v>
      </c>
      <c r="BT839" t="str">
        <f>HYPERLINK("https%3A%2F%2Fwww.webofscience.com%2Fwos%2Fwoscc%2Ffull-record%2FWOS:000599905500026","View Full Record in Web of Science")</f>
        <v>View Full Record in Web of Science</v>
      </c>
    </row>
    <row r="840" spans="1:72" x14ac:dyDescent="0.15">
      <c r="A840" t="s">
        <v>72</v>
      </c>
      <c r="B840" t="s">
        <v>15937</v>
      </c>
      <c r="C840" t="s">
        <v>74</v>
      </c>
      <c r="D840" t="s">
        <v>74</v>
      </c>
      <c r="E840" t="s">
        <v>74</v>
      </c>
      <c r="F840" t="s">
        <v>15938</v>
      </c>
      <c r="G840" t="s">
        <v>74</v>
      </c>
      <c r="H840" t="s">
        <v>74</v>
      </c>
      <c r="I840" t="s">
        <v>15939</v>
      </c>
      <c r="J840" t="s">
        <v>15940</v>
      </c>
      <c r="K840" t="s">
        <v>74</v>
      </c>
      <c r="L840" t="s">
        <v>74</v>
      </c>
      <c r="M840" t="s">
        <v>78</v>
      </c>
      <c r="N840" t="s">
        <v>3976</v>
      </c>
      <c r="O840" t="s">
        <v>74</v>
      </c>
      <c r="P840" t="s">
        <v>74</v>
      </c>
      <c r="Q840" t="s">
        <v>74</v>
      </c>
      <c r="R840" t="s">
        <v>74</v>
      </c>
      <c r="S840" t="s">
        <v>74</v>
      </c>
      <c r="T840" t="s">
        <v>74</v>
      </c>
      <c r="U840" t="s">
        <v>74</v>
      </c>
      <c r="V840" t="s">
        <v>74</v>
      </c>
      <c r="W840" t="s">
        <v>74</v>
      </c>
      <c r="X840" t="s">
        <v>74</v>
      </c>
      <c r="Y840" t="s">
        <v>74</v>
      </c>
      <c r="Z840" t="s">
        <v>74</v>
      </c>
      <c r="AA840" t="s">
        <v>15941</v>
      </c>
      <c r="AB840" t="s">
        <v>15942</v>
      </c>
      <c r="AC840" t="s">
        <v>15943</v>
      </c>
      <c r="AD840" t="s">
        <v>5636</v>
      </c>
      <c r="AE840" t="s">
        <v>74</v>
      </c>
      <c r="AF840" t="s">
        <v>74</v>
      </c>
      <c r="AG840">
        <v>1</v>
      </c>
      <c r="AH840">
        <v>14</v>
      </c>
      <c r="AI840">
        <v>14</v>
      </c>
      <c r="AJ840">
        <v>0</v>
      </c>
      <c r="AK840">
        <v>4</v>
      </c>
      <c r="AL840" t="s">
        <v>1210</v>
      </c>
      <c r="AM840" t="s">
        <v>473</v>
      </c>
      <c r="AN840" t="s">
        <v>1211</v>
      </c>
      <c r="AO840" t="s">
        <v>15944</v>
      </c>
      <c r="AP840" t="s">
        <v>15945</v>
      </c>
      <c r="AQ840" t="s">
        <v>74</v>
      </c>
      <c r="AR840" t="s">
        <v>15946</v>
      </c>
      <c r="AS840" t="s">
        <v>15947</v>
      </c>
      <c r="AT840" t="s">
        <v>12678</v>
      </c>
      <c r="AU840">
        <v>2020</v>
      </c>
      <c r="AV840">
        <v>32</v>
      </c>
      <c r="AW840">
        <v>6</v>
      </c>
      <c r="AX840" t="s">
        <v>74</v>
      </c>
      <c r="AY840" t="s">
        <v>74</v>
      </c>
      <c r="AZ840" t="s">
        <v>74</v>
      </c>
      <c r="BA840" t="s">
        <v>74</v>
      </c>
      <c r="BB840">
        <v>425</v>
      </c>
      <c r="BC840">
        <v>425</v>
      </c>
      <c r="BD840" t="s">
        <v>74</v>
      </c>
      <c r="BE840" t="s">
        <v>15948</v>
      </c>
      <c r="BF840" t="str">
        <f>HYPERLINK("http://dx.doi.org/10.1017/S0954102020000577","http://dx.doi.org/10.1017/S0954102020000577")</f>
        <v>http://dx.doi.org/10.1017/S0954102020000577</v>
      </c>
      <c r="BG840" t="s">
        <v>74</v>
      </c>
      <c r="BH840" t="s">
        <v>74</v>
      </c>
      <c r="BI840">
        <v>1</v>
      </c>
      <c r="BJ840" t="s">
        <v>14642</v>
      </c>
      <c r="BK840" t="s">
        <v>103</v>
      </c>
      <c r="BL840" t="s">
        <v>14643</v>
      </c>
      <c r="BM840" t="s">
        <v>15949</v>
      </c>
      <c r="BN840" t="s">
        <v>74</v>
      </c>
      <c r="BO840" t="s">
        <v>3283</v>
      </c>
      <c r="BP840" t="s">
        <v>74</v>
      </c>
      <c r="BQ840" t="s">
        <v>74</v>
      </c>
      <c r="BR840" t="s">
        <v>106</v>
      </c>
      <c r="BS840" t="s">
        <v>15950</v>
      </c>
      <c r="BT840" t="str">
        <f>HYPERLINK("https%3A%2F%2Fwww.webofscience.com%2Fwos%2Fwoscc%2Ffull-record%2FWOS:000590479300001","View Full Record in Web of Science")</f>
        <v>View Full Record in Web of Science</v>
      </c>
    </row>
    <row r="841" spans="1:72" x14ac:dyDescent="0.15">
      <c r="A841" t="s">
        <v>72</v>
      </c>
      <c r="B841" t="s">
        <v>15951</v>
      </c>
      <c r="C841" t="s">
        <v>74</v>
      </c>
      <c r="D841" t="s">
        <v>74</v>
      </c>
      <c r="E841" t="s">
        <v>74</v>
      </c>
      <c r="F841" t="s">
        <v>15952</v>
      </c>
      <c r="G841" t="s">
        <v>74</v>
      </c>
      <c r="H841" t="s">
        <v>74</v>
      </c>
      <c r="I841" t="s">
        <v>15953</v>
      </c>
      <c r="J841" t="s">
        <v>2437</v>
      </c>
      <c r="K841" t="s">
        <v>74</v>
      </c>
      <c r="L841" t="s">
        <v>74</v>
      </c>
      <c r="M841" t="s">
        <v>78</v>
      </c>
      <c r="N841" t="s">
        <v>79</v>
      </c>
      <c r="O841" t="s">
        <v>74</v>
      </c>
      <c r="P841" t="s">
        <v>74</v>
      </c>
      <c r="Q841" t="s">
        <v>74</v>
      </c>
      <c r="R841" t="s">
        <v>74</v>
      </c>
      <c r="S841" t="s">
        <v>74</v>
      </c>
      <c r="T841" t="s">
        <v>15954</v>
      </c>
      <c r="U841" t="s">
        <v>15955</v>
      </c>
      <c r="V841" t="s">
        <v>15956</v>
      </c>
      <c r="W841" t="s">
        <v>15957</v>
      </c>
      <c r="X841" t="s">
        <v>15958</v>
      </c>
      <c r="Y841" t="s">
        <v>15959</v>
      </c>
      <c r="Z841" t="s">
        <v>15960</v>
      </c>
      <c r="AA841" t="s">
        <v>15961</v>
      </c>
      <c r="AB841" t="s">
        <v>15962</v>
      </c>
      <c r="AC841" t="s">
        <v>15963</v>
      </c>
      <c r="AD841" t="s">
        <v>15964</v>
      </c>
      <c r="AE841" t="s">
        <v>15965</v>
      </c>
      <c r="AF841" t="s">
        <v>74</v>
      </c>
      <c r="AG841">
        <v>51</v>
      </c>
      <c r="AH841">
        <v>38</v>
      </c>
      <c r="AI841">
        <v>43</v>
      </c>
      <c r="AJ841">
        <v>29</v>
      </c>
      <c r="AK841">
        <v>164</v>
      </c>
      <c r="AL841" t="s">
        <v>177</v>
      </c>
      <c r="AM841" t="s">
        <v>178</v>
      </c>
      <c r="AN841" t="s">
        <v>179</v>
      </c>
      <c r="AO841" t="s">
        <v>2448</v>
      </c>
      <c r="AP841" t="s">
        <v>2449</v>
      </c>
      <c r="AQ841" t="s">
        <v>74</v>
      </c>
      <c r="AR841" t="s">
        <v>2450</v>
      </c>
      <c r="AS841" t="s">
        <v>2451</v>
      </c>
      <c r="AT841" t="s">
        <v>12678</v>
      </c>
      <c r="AU841">
        <v>2020</v>
      </c>
      <c r="AV841">
        <v>267</v>
      </c>
      <c r="AW841" t="s">
        <v>74</v>
      </c>
      <c r="AX841" t="s">
        <v>74</v>
      </c>
      <c r="AY841" t="s">
        <v>74</v>
      </c>
      <c r="AZ841" t="s">
        <v>74</v>
      </c>
      <c r="BA841" t="s">
        <v>74</v>
      </c>
      <c r="BB841" t="s">
        <v>74</v>
      </c>
      <c r="BC841" t="s">
        <v>74</v>
      </c>
      <c r="BD841">
        <v>115512</v>
      </c>
      <c r="BE841" t="s">
        <v>15966</v>
      </c>
      <c r="BF841" t="str">
        <f>HYPERLINK("http://dx.doi.org/10.1016/j.envpol.2020.115512","http://dx.doi.org/10.1016/j.envpol.2020.115512")</f>
        <v>http://dx.doi.org/10.1016/j.envpol.2020.115512</v>
      </c>
      <c r="BG841" t="s">
        <v>74</v>
      </c>
      <c r="BH841" t="s">
        <v>74</v>
      </c>
      <c r="BI841">
        <v>7</v>
      </c>
      <c r="BJ841" t="s">
        <v>102</v>
      </c>
      <c r="BK841" t="s">
        <v>103</v>
      </c>
      <c r="BL841" t="s">
        <v>104</v>
      </c>
      <c r="BM841" t="s">
        <v>15967</v>
      </c>
      <c r="BN841">
        <v>32892018</v>
      </c>
      <c r="BO841" t="s">
        <v>74</v>
      </c>
      <c r="BP841" t="s">
        <v>74</v>
      </c>
      <c r="BQ841" t="s">
        <v>74</v>
      </c>
      <c r="BR841" t="s">
        <v>106</v>
      </c>
      <c r="BS841" t="s">
        <v>15968</v>
      </c>
      <c r="BT841" t="str">
        <f>HYPERLINK("https%3A%2F%2Fwww.webofscience.com%2Fwos%2Fwoscc%2Ffull-record%2FWOS:000593965600005","View Full Record in Web of Science")</f>
        <v>View Full Record in Web of Science</v>
      </c>
    </row>
    <row r="842" spans="1:72" x14ac:dyDescent="0.15">
      <c r="A842" t="s">
        <v>72</v>
      </c>
      <c r="B842" t="s">
        <v>15969</v>
      </c>
      <c r="C842" t="s">
        <v>74</v>
      </c>
      <c r="D842" t="s">
        <v>74</v>
      </c>
      <c r="E842" t="s">
        <v>74</v>
      </c>
      <c r="F842" t="s">
        <v>15970</v>
      </c>
      <c r="G842" t="s">
        <v>74</v>
      </c>
      <c r="H842" t="s">
        <v>74</v>
      </c>
      <c r="I842" t="s">
        <v>15971</v>
      </c>
      <c r="J842" t="s">
        <v>15972</v>
      </c>
      <c r="K842" t="s">
        <v>74</v>
      </c>
      <c r="L842" t="s">
        <v>74</v>
      </c>
      <c r="M842" t="s">
        <v>78</v>
      </c>
      <c r="N842" t="s">
        <v>79</v>
      </c>
      <c r="O842" t="s">
        <v>74</v>
      </c>
      <c r="P842" t="s">
        <v>74</v>
      </c>
      <c r="Q842" t="s">
        <v>74</v>
      </c>
      <c r="R842" t="s">
        <v>74</v>
      </c>
      <c r="S842" t="s">
        <v>74</v>
      </c>
      <c r="T842" t="s">
        <v>15973</v>
      </c>
      <c r="U842" t="s">
        <v>15974</v>
      </c>
      <c r="V842" t="s">
        <v>15975</v>
      </c>
      <c r="W842" t="s">
        <v>15976</v>
      </c>
      <c r="X842" t="s">
        <v>15508</v>
      </c>
      <c r="Y842" t="s">
        <v>15977</v>
      </c>
      <c r="Z842" t="s">
        <v>15978</v>
      </c>
      <c r="AA842" t="s">
        <v>15979</v>
      </c>
      <c r="AB842" t="s">
        <v>15980</v>
      </c>
      <c r="AC842" t="s">
        <v>74</v>
      </c>
      <c r="AD842" t="s">
        <v>74</v>
      </c>
      <c r="AE842" t="s">
        <v>74</v>
      </c>
      <c r="AF842" t="s">
        <v>74</v>
      </c>
      <c r="AG842">
        <v>74</v>
      </c>
      <c r="AH842">
        <v>1</v>
      </c>
      <c r="AI842">
        <v>1</v>
      </c>
      <c r="AJ842">
        <v>4</v>
      </c>
      <c r="AK842">
        <v>16</v>
      </c>
      <c r="AL842" t="s">
        <v>2724</v>
      </c>
      <c r="AM842" t="s">
        <v>2631</v>
      </c>
      <c r="AN842" t="s">
        <v>2725</v>
      </c>
      <c r="AO842" t="s">
        <v>15981</v>
      </c>
      <c r="AP842" t="s">
        <v>15982</v>
      </c>
      <c r="AQ842" t="s">
        <v>74</v>
      </c>
      <c r="AR842" t="s">
        <v>15983</v>
      </c>
      <c r="AS842" t="s">
        <v>15984</v>
      </c>
      <c r="AT842" t="s">
        <v>14993</v>
      </c>
      <c r="AU842">
        <v>2020</v>
      </c>
      <c r="AV842">
        <v>25</v>
      </c>
      <c r="AW842" t="s">
        <v>15985</v>
      </c>
      <c r="AX842" t="s">
        <v>74</v>
      </c>
      <c r="AY842" t="s">
        <v>74</v>
      </c>
      <c r="AZ842" t="s">
        <v>74</v>
      </c>
      <c r="BA842" t="s">
        <v>74</v>
      </c>
      <c r="BB842">
        <v>849</v>
      </c>
      <c r="BC842">
        <v>871</v>
      </c>
      <c r="BD842" t="s">
        <v>74</v>
      </c>
      <c r="BE842" t="s">
        <v>15986</v>
      </c>
      <c r="BF842" t="str">
        <f>HYPERLINK("http://dx.doi.org/10.1080/13549839.2020.1843420","http://dx.doi.org/10.1080/13549839.2020.1843420")</f>
        <v>http://dx.doi.org/10.1080/13549839.2020.1843420</v>
      </c>
      <c r="BG842" t="s">
        <v>74</v>
      </c>
      <c r="BH842" t="s">
        <v>74</v>
      </c>
      <c r="BI842">
        <v>23</v>
      </c>
      <c r="BJ842" t="s">
        <v>15987</v>
      </c>
      <c r="BK842" t="s">
        <v>2733</v>
      </c>
      <c r="BL842" t="s">
        <v>15988</v>
      </c>
      <c r="BM842" t="s">
        <v>15989</v>
      </c>
      <c r="BN842" t="s">
        <v>74</v>
      </c>
      <c r="BO842" t="s">
        <v>74</v>
      </c>
      <c r="BP842" t="s">
        <v>74</v>
      </c>
      <c r="BQ842" t="s">
        <v>74</v>
      </c>
      <c r="BR842" t="s">
        <v>106</v>
      </c>
      <c r="BS842" t="s">
        <v>15990</v>
      </c>
      <c r="BT842" t="str">
        <f>HYPERLINK("https%3A%2F%2Fwww.webofscience.com%2Fwos%2Fwoscc%2Ffull-record%2FWOS:000596005500002","View Full Record in Web of Science")</f>
        <v>View Full Record in Web of Science</v>
      </c>
    </row>
    <row r="843" spans="1:72" x14ac:dyDescent="0.15">
      <c r="A843" t="s">
        <v>72</v>
      </c>
      <c r="B843" t="s">
        <v>15991</v>
      </c>
      <c r="C843" t="s">
        <v>74</v>
      </c>
      <c r="D843" t="s">
        <v>74</v>
      </c>
      <c r="E843" t="s">
        <v>74</v>
      </c>
      <c r="F843" t="s">
        <v>15992</v>
      </c>
      <c r="G843" t="s">
        <v>74</v>
      </c>
      <c r="H843" t="s">
        <v>74</v>
      </c>
      <c r="I843" t="s">
        <v>15993</v>
      </c>
      <c r="J843" t="s">
        <v>15994</v>
      </c>
      <c r="K843" t="s">
        <v>74</v>
      </c>
      <c r="L843" t="s">
        <v>74</v>
      </c>
      <c r="M843" t="s">
        <v>78</v>
      </c>
      <c r="N843" t="s">
        <v>79</v>
      </c>
      <c r="O843" t="s">
        <v>74</v>
      </c>
      <c r="P843" t="s">
        <v>74</v>
      </c>
      <c r="Q843" t="s">
        <v>74</v>
      </c>
      <c r="R843" t="s">
        <v>74</v>
      </c>
      <c r="S843" t="s">
        <v>74</v>
      </c>
      <c r="T843" t="s">
        <v>15995</v>
      </c>
      <c r="U843" t="s">
        <v>74</v>
      </c>
      <c r="V843" t="s">
        <v>15996</v>
      </c>
      <c r="W843" t="s">
        <v>15997</v>
      </c>
      <c r="X843" t="s">
        <v>15998</v>
      </c>
      <c r="Y843" t="s">
        <v>15999</v>
      </c>
      <c r="Z843" t="s">
        <v>16000</v>
      </c>
      <c r="AA843" t="s">
        <v>16001</v>
      </c>
      <c r="AB843" t="s">
        <v>16002</v>
      </c>
      <c r="AC843" t="s">
        <v>16003</v>
      </c>
      <c r="AD843" t="s">
        <v>16004</v>
      </c>
      <c r="AE843" t="s">
        <v>16005</v>
      </c>
      <c r="AF843" t="s">
        <v>74</v>
      </c>
      <c r="AG843">
        <v>68</v>
      </c>
      <c r="AH843">
        <v>0</v>
      </c>
      <c r="AI843">
        <v>0</v>
      </c>
      <c r="AJ843">
        <v>1</v>
      </c>
      <c r="AK843">
        <v>5</v>
      </c>
      <c r="AL843" t="s">
        <v>418</v>
      </c>
      <c r="AM843" t="s">
        <v>178</v>
      </c>
      <c r="AN843" t="s">
        <v>419</v>
      </c>
      <c r="AO843" t="s">
        <v>16006</v>
      </c>
      <c r="AP843" t="s">
        <v>74</v>
      </c>
      <c r="AQ843" t="s">
        <v>74</v>
      </c>
      <c r="AR843" t="s">
        <v>16007</v>
      </c>
      <c r="AS843" t="s">
        <v>16008</v>
      </c>
      <c r="AT843" t="s">
        <v>12678</v>
      </c>
      <c r="AU843">
        <v>2020</v>
      </c>
      <c r="AV843">
        <v>194</v>
      </c>
      <c r="AW843" t="s">
        <v>74</v>
      </c>
      <c r="AX843" t="s">
        <v>74</v>
      </c>
      <c r="AY843" t="s">
        <v>74</v>
      </c>
      <c r="AZ843" t="s">
        <v>74</v>
      </c>
      <c r="BA843" t="s">
        <v>74</v>
      </c>
      <c r="BB843" t="s">
        <v>74</v>
      </c>
      <c r="BC843" t="s">
        <v>74</v>
      </c>
      <c r="BD843">
        <v>105106</v>
      </c>
      <c r="BE843" t="s">
        <v>16009</v>
      </c>
      <c r="BF843" t="str">
        <f>HYPERLINK("http://dx.doi.org/10.1016/j.pss.2020.105106","http://dx.doi.org/10.1016/j.pss.2020.105106")</f>
        <v>http://dx.doi.org/10.1016/j.pss.2020.105106</v>
      </c>
      <c r="BG843" t="s">
        <v>74</v>
      </c>
      <c r="BH843" t="s">
        <v>74</v>
      </c>
      <c r="BI843">
        <v>15</v>
      </c>
      <c r="BJ843" t="s">
        <v>3258</v>
      </c>
      <c r="BK843" t="s">
        <v>103</v>
      </c>
      <c r="BL843" t="s">
        <v>3258</v>
      </c>
      <c r="BM843" t="s">
        <v>16010</v>
      </c>
      <c r="BN843" t="s">
        <v>74</v>
      </c>
      <c r="BO843" t="s">
        <v>218</v>
      </c>
      <c r="BP843" t="s">
        <v>74</v>
      </c>
      <c r="BQ843" t="s">
        <v>74</v>
      </c>
      <c r="BR843" t="s">
        <v>106</v>
      </c>
      <c r="BS843" t="s">
        <v>16011</v>
      </c>
      <c r="BT843" t="str">
        <f>HYPERLINK("https%3A%2F%2Fwww.webofscience.com%2Fwos%2Fwoscc%2Ffull-record%2FWOS:000595642600010","View Full Record in Web of Science")</f>
        <v>View Full Record in Web of Science</v>
      </c>
    </row>
    <row r="844" spans="1:72" x14ac:dyDescent="0.15">
      <c r="A844" t="s">
        <v>72</v>
      </c>
      <c r="B844" t="s">
        <v>16012</v>
      </c>
      <c r="C844" t="s">
        <v>74</v>
      </c>
      <c r="D844" t="s">
        <v>74</v>
      </c>
      <c r="E844" t="s">
        <v>74</v>
      </c>
      <c r="F844" t="s">
        <v>16013</v>
      </c>
      <c r="G844" t="s">
        <v>74</v>
      </c>
      <c r="H844" t="s">
        <v>74</v>
      </c>
      <c r="I844" t="s">
        <v>16014</v>
      </c>
      <c r="J844" t="s">
        <v>16015</v>
      </c>
      <c r="K844" t="s">
        <v>74</v>
      </c>
      <c r="L844" t="s">
        <v>74</v>
      </c>
      <c r="M844" t="s">
        <v>78</v>
      </c>
      <c r="N844" t="s">
        <v>79</v>
      </c>
      <c r="O844" t="s">
        <v>74</v>
      </c>
      <c r="P844" t="s">
        <v>74</v>
      </c>
      <c r="Q844" t="s">
        <v>74</v>
      </c>
      <c r="R844" t="s">
        <v>74</v>
      </c>
      <c r="S844" t="s">
        <v>74</v>
      </c>
      <c r="T844" t="s">
        <v>16016</v>
      </c>
      <c r="U844" t="s">
        <v>16017</v>
      </c>
      <c r="V844" t="s">
        <v>16018</v>
      </c>
      <c r="W844" t="s">
        <v>16019</v>
      </c>
      <c r="X844" t="s">
        <v>16020</v>
      </c>
      <c r="Y844" t="s">
        <v>16021</v>
      </c>
      <c r="Z844" t="s">
        <v>16022</v>
      </c>
      <c r="AA844" t="s">
        <v>74</v>
      </c>
      <c r="AB844" t="s">
        <v>16023</v>
      </c>
      <c r="AC844" t="s">
        <v>16024</v>
      </c>
      <c r="AD844" t="s">
        <v>16025</v>
      </c>
      <c r="AE844" t="s">
        <v>16026</v>
      </c>
      <c r="AF844" t="s">
        <v>74</v>
      </c>
      <c r="AG844">
        <v>89</v>
      </c>
      <c r="AH844">
        <v>4</v>
      </c>
      <c r="AI844">
        <v>5</v>
      </c>
      <c r="AJ844">
        <v>0</v>
      </c>
      <c r="AK844">
        <v>13</v>
      </c>
      <c r="AL844" t="s">
        <v>1210</v>
      </c>
      <c r="AM844" t="s">
        <v>473</v>
      </c>
      <c r="AN844" t="s">
        <v>1211</v>
      </c>
      <c r="AO844" t="s">
        <v>16027</v>
      </c>
      <c r="AP844" t="s">
        <v>16028</v>
      </c>
      <c r="AQ844" t="s">
        <v>74</v>
      </c>
      <c r="AR844" t="s">
        <v>16029</v>
      </c>
      <c r="AS844" t="s">
        <v>16030</v>
      </c>
      <c r="AT844" t="s">
        <v>12678</v>
      </c>
      <c r="AU844">
        <v>2020</v>
      </c>
      <c r="AV844">
        <v>30</v>
      </c>
      <c r="AW844">
        <v>4</v>
      </c>
      <c r="AX844" t="s">
        <v>74</v>
      </c>
      <c r="AY844" t="s">
        <v>74</v>
      </c>
      <c r="AZ844" t="s">
        <v>74</v>
      </c>
      <c r="BA844" t="s">
        <v>74</v>
      </c>
      <c r="BB844">
        <v>634</v>
      </c>
      <c r="BC844">
        <v>648</v>
      </c>
      <c r="BD844" t="s">
        <v>16031</v>
      </c>
      <c r="BE844" t="s">
        <v>16032</v>
      </c>
      <c r="BF844" t="str">
        <f>HYPERLINK("http://dx.doi.org/10.1017/S0959270920000143","http://dx.doi.org/10.1017/S0959270920000143")</f>
        <v>http://dx.doi.org/10.1017/S0959270920000143</v>
      </c>
      <c r="BG844" t="s">
        <v>74</v>
      </c>
      <c r="BH844" t="s">
        <v>74</v>
      </c>
      <c r="BI844">
        <v>15</v>
      </c>
      <c r="BJ844" t="s">
        <v>16033</v>
      </c>
      <c r="BK844" t="s">
        <v>103</v>
      </c>
      <c r="BL844" t="s">
        <v>10479</v>
      </c>
      <c r="BM844" t="s">
        <v>16034</v>
      </c>
      <c r="BN844" t="s">
        <v>74</v>
      </c>
      <c r="BO844" t="s">
        <v>74</v>
      </c>
      <c r="BP844" t="s">
        <v>74</v>
      </c>
      <c r="BQ844" t="s">
        <v>74</v>
      </c>
      <c r="BR844" t="s">
        <v>106</v>
      </c>
      <c r="BS844" t="s">
        <v>16035</v>
      </c>
      <c r="BT844" t="str">
        <f>HYPERLINK("https%3A%2F%2Fwww.webofscience.com%2Fwos%2Fwoscc%2Ffull-record%2FWOS:000596251700010","View Full Record in Web of Science")</f>
        <v>View Full Record in Web of Science</v>
      </c>
    </row>
    <row r="845" spans="1:72" x14ac:dyDescent="0.15">
      <c r="A845" t="s">
        <v>72</v>
      </c>
      <c r="B845" t="s">
        <v>16036</v>
      </c>
      <c r="C845" t="s">
        <v>74</v>
      </c>
      <c r="D845" t="s">
        <v>74</v>
      </c>
      <c r="E845" t="s">
        <v>74</v>
      </c>
      <c r="F845" t="s">
        <v>16037</v>
      </c>
      <c r="G845" t="s">
        <v>74</v>
      </c>
      <c r="H845" t="s">
        <v>74</v>
      </c>
      <c r="I845" t="s">
        <v>16038</v>
      </c>
      <c r="J845" t="s">
        <v>10756</v>
      </c>
      <c r="K845" t="s">
        <v>74</v>
      </c>
      <c r="L845" t="s">
        <v>74</v>
      </c>
      <c r="M845" t="s">
        <v>78</v>
      </c>
      <c r="N845" t="s">
        <v>79</v>
      </c>
      <c r="O845" t="s">
        <v>74</v>
      </c>
      <c r="P845" t="s">
        <v>74</v>
      </c>
      <c r="Q845" t="s">
        <v>74</v>
      </c>
      <c r="R845" t="s">
        <v>74</v>
      </c>
      <c r="S845" t="s">
        <v>74</v>
      </c>
      <c r="T845" t="s">
        <v>16039</v>
      </c>
      <c r="U845" t="s">
        <v>16040</v>
      </c>
      <c r="V845" t="s">
        <v>16041</v>
      </c>
      <c r="W845" t="s">
        <v>16042</v>
      </c>
      <c r="X845" t="s">
        <v>16043</v>
      </c>
      <c r="Y845" t="s">
        <v>16044</v>
      </c>
      <c r="Z845" t="s">
        <v>16045</v>
      </c>
      <c r="AA845" t="s">
        <v>16046</v>
      </c>
      <c r="AB845" t="s">
        <v>16047</v>
      </c>
      <c r="AC845" t="s">
        <v>16048</v>
      </c>
      <c r="AD845" t="s">
        <v>16049</v>
      </c>
      <c r="AE845" t="s">
        <v>16050</v>
      </c>
      <c r="AF845" t="s">
        <v>74</v>
      </c>
      <c r="AG845">
        <v>44</v>
      </c>
      <c r="AH845">
        <v>3</v>
      </c>
      <c r="AI845">
        <v>3</v>
      </c>
      <c r="AJ845">
        <v>3</v>
      </c>
      <c r="AK845">
        <v>23</v>
      </c>
      <c r="AL845" t="s">
        <v>10769</v>
      </c>
      <c r="AM845" t="s">
        <v>10770</v>
      </c>
      <c r="AN845" t="s">
        <v>10771</v>
      </c>
      <c r="AO845" t="s">
        <v>10772</v>
      </c>
      <c r="AP845" t="s">
        <v>74</v>
      </c>
      <c r="AQ845" t="s">
        <v>74</v>
      </c>
      <c r="AR845" t="s">
        <v>10773</v>
      </c>
      <c r="AS845" t="s">
        <v>10774</v>
      </c>
      <c r="AT845" t="s">
        <v>12678</v>
      </c>
      <c r="AU845">
        <v>2020</v>
      </c>
      <c r="AV845">
        <v>15</v>
      </c>
      <c r="AW845">
        <v>12</v>
      </c>
      <c r="AX845" t="s">
        <v>74</v>
      </c>
      <c r="AY845" t="s">
        <v>74</v>
      </c>
      <c r="AZ845" t="s">
        <v>74</v>
      </c>
      <c r="BA845" t="s">
        <v>74</v>
      </c>
      <c r="BB845" t="s">
        <v>74</v>
      </c>
      <c r="BC845" t="s">
        <v>74</v>
      </c>
      <c r="BD845">
        <v>124027</v>
      </c>
      <c r="BE845" t="s">
        <v>16051</v>
      </c>
      <c r="BF845" t="str">
        <f>HYPERLINK("http://dx.doi.org/10.1088/1748-9326/abc4b0","http://dx.doi.org/10.1088/1748-9326/abc4b0")</f>
        <v>http://dx.doi.org/10.1088/1748-9326/abc4b0</v>
      </c>
      <c r="BG845" t="s">
        <v>74</v>
      </c>
      <c r="BH845" t="s">
        <v>74</v>
      </c>
      <c r="BI845">
        <v>12</v>
      </c>
      <c r="BJ845" t="s">
        <v>132</v>
      </c>
      <c r="BK845" t="s">
        <v>103</v>
      </c>
      <c r="BL845" t="s">
        <v>133</v>
      </c>
      <c r="BM845" t="s">
        <v>16052</v>
      </c>
      <c r="BN845" t="s">
        <v>74</v>
      </c>
      <c r="BO845" t="s">
        <v>326</v>
      </c>
      <c r="BP845" t="s">
        <v>74</v>
      </c>
      <c r="BQ845" t="s">
        <v>74</v>
      </c>
      <c r="BR845" t="s">
        <v>106</v>
      </c>
      <c r="BS845" t="s">
        <v>16053</v>
      </c>
      <c r="BT845" t="str">
        <f>HYPERLINK("https%3A%2F%2Fwww.webofscience.com%2Fwos%2Fwoscc%2Ffull-record%2FWOS:000596065700001","View Full Record in Web of Science")</f>
        <v>View Full Record in Web of Science</v>
      </c>
    </row>
    <row r="846" spans="1:72" x14ac:dyDescent="0.15">
      <c r="A846" t="s">
        <v>72</v>
      </c>
      <c r="B846" t="s">
        <v>16054</v>
      </c>
      <c r="C846" t="s">
        <v>74</v>
      </c>
      <c r="D846" t="s">
        <v>74</v>
      </c>
      <c r="E846" t="s">
        <v>74</v>
      </c>
      <c r="F846" t="s">
        <v>16055</v>
      </c>
      <c r="G846" t="s">
        <v>74</v>
      </c>
      <c r="H846" t="s">
        <v>74</v>
      </c>
      <c r="I846" t="s">
        <v>16056</v>
      </c>
      <c r="J846" t="s">
        <v>1927</v>
      </c>
      <c r="K846" t="s">
        <v>74</v>
      </c>
      <c r="L846" t="s">
        <v>74</v>
      </c>
      <c r="M846" t="s">
        <v>78</v>
      </c>
      <c r="N846" t="s">
        <v>79</v>
      </c>
      <c r="O846" t="s">
        <v>74</v>
      </c>
      <c r="P846" t="s">
        <v>74</v>
      </c>
      <c r="Q846" t="s">
        <v>74</v>
      </c>
      <c r="R846" t="s">
        <v>74</v>
      </c>
      <c r="S846" t="s">
        <v>74</v>
      </c>
      <c r="T846" t="s">
        <v>16057</v>
      </c>
      <c r="U846" t="s">
        <v>16058</v>
      </c>
      <c r="V846" t="s">
        <v>16059</v>
      </c>
      <c r="W846" t="s">
        <v>16060</v>
      </c>
      <c r="X846" t="s">
        <v>16061</v>
      </c>
      <c r="Y846" t="s">
        <v>16062</v>
      </c>
      <c r="Z846" t="s">
        <v>16063</v>
      </c>
      <c r="AA846" t="s">
        <v>16064</v>
      </c>
      <c r="AB846" t="s">
        <v>16065</v>
      </c>
      <c r="AC846" t="s">
        <v>16066</v>
      </c>
      <c r="AD846" t="s">
        <v>16066</v>
      </c>
      <c r="AE846" t="s">
        <v>16067</v>
      </c>
      <c r="AF846" t="s">
        <v>74</v>
      </c>
      <c r="AG846">
        <v>139</v>
      </c>
      <c r="AH846">
        <v>14</v>
      </c>
      <c r="AI846">
        <v>14</v>
      </c>
      <c r="AJ846">
        <v>1</v>
      </c>
      <c r="AK846">
        <v>21</v>
      </c>
      <c r="AL846" t="s">
        <v>92</v>
      </c>
      <c r="AM846" t="s">
        <v>93</v>
      </c>
      <c r="AN846" t="s">
        <v>16068</v>
      </c>
      <c r="AO846" t="s">
        <v>1940</v>
      </c>
      <c r="AP846" t="s">
        <v>1941</v>
      </c>
      <c r="AQ846" t="s">
        <v>74</v>
      </c>
      <c r="AR846" t="s">
        <v>1927</v>
      </c>
      <c r="AS846" t="s">
        <v>1942</v>
      </c>
      <c r="AT846" t="s">
        <v>14993</v>
      </c>
      <c r="AU846">
        <v>2020</v>
      </c>
      <c r="AV846">
        <v>370</v>
      </c>
      <c r="AW846" t="s">
        <v>74</v>
      </c>
      <c r="AX846" t="s">
        <v>74</v>
      </c>
      <c r="AY846" t="s">
        <v>74</v>
      </c>
      <c r="AZ846" t="s">
        <v>74</v>
      </c>
      <c r="BA846" t="s">
        <v>74</v>
      </c>
      <c r="BB846" t="s">
        <v>74</v>
      </c>
      <c r="BC846" t="s">
        <v>74</v>
      </c>
      <c r="BD846">
        <v>107396</v>
      </c>
      <c r="BE846" t="s">
        <v>16069</v>
      </c>
      <c r="BF846" t="str">
        <f>HYPERLINK("http://dx.doi.org/10.1016/j.geomorph.2020.107396","http://dx.doi.org/10.1016/j.geomorph.2020.107396")</f>
        <v>http://dx.doi.org/10.1016/j.geomorph.2020.107396</v>
      </c>
      <c r="BG846" t="s">
        <v>74</v>
      </c>
      <c r="BH846" t="s">
        <v>74</v>
      </c>
      <c r="BI846">
        <v>17</v>
      </c>
      <c r="BJ846" t="s">
        <v>156</v>
      </c>
      <c r="BK846" t="s">
        <v>103</v>
      </c>
      <c r="BL846" t="s">
        <v>157</v>
      </c>
      <c r="BM846" t="s">
        <v>16070</v>
      </c>
      <c r="BN846" t="s">
        <v>74</v>
      </c>
      <c r="BO846" t="s">
        <v>759</v>
      </c>
      <c r="BP846" t="s">
        <v>74</v>
      </c>
      <c r="BQ846" t="s">
        <v>74</v>
      </c>
      <c r="BR846" t="s">
        <v>106</v>
      </c>
      <c r="BS846" t="s">
        <v>16071</v>
      </c>
      <c r="BT846" t="str">
        <f>HYPERLINK("https%3A%2F%2Fwww.webofscience.com%2Fwos%2Fwoscc%2Ffull-record%2FWOS:000589916700005","View Full Record in Web of Science")</f>
        <v>View Full Record in Web of Science</v>
      </c>
    </row>
    <row r="847" spans="1:72" x14ac:dyDescent="0.15">
      <c r="A847" t="s">
        <v>72</v>
      </c>
      <c r="B847" t="s">
        <v>16072</v>
      </c>
      <c r="C847" t="s">
        <v>74</v>
      </c>
      <c r="D847" t="s">
        <v>74</v>
      </c>
      <c r="E847" t="s">
        <v>74</v>
      </c>
      <c r="F847" t="s">
        <v>16073</v>
      </c>
      <c r="G847" t="s">
        <v>74</v>
      </c>
      <c r="H847" t="s">
        <v>74</v>
      </c>
      <c r="I847" t="s">
        <v>16074</v>
      </c>
      <c r="J847" t="s">
        <v>16075</v>
      </c>
      <c r="K847" t="s">
        <v>74</v>
      </c>
      <c r="L847" t="s">
        <v>74</v>
      </c>
      <c r="M847" t="s">
        <v>78</v>
      </c>
      <c r="N847" t="s">
        <v>79</v>
      </c>
      <c r="O847" t="s">
        <v>74</v>
      </c>
      <c r="P847" t="s">
        <v>74</v>
      </c>
      <c r="Q847" t="s">
        <v>74</v>
      </c>
      <c r="R847" t="s">
        <v>74</v>
      </c>
      <c r="S847" t="s">
        <v>74</v>
      </c>
      <c r="T847" t="s">
        <v>16076</v>
      </c>
      <c r="U847" t="s">
        <v>16077</v>
      </c>
      <c r="V847" t="s">
        <v>16078</v>
      </c>
      <c r="W847" t="s">
        <v>16079</v>
      </c>
      <c r="X847" t="s">
        <v>16080</v>
      </c>
      <c r="Y847" t="s">
        <v>16081</v>
      </c>
      <c r="Z847" t="s">
        <v>16082</v>
      </c>
      <c r="AA847" t="s">
        <v>16083</v>
      </c>
      <c r="AB847" t="s">
        <v>74</v>
      </c>
      <c r="AC847" t="s">
        <v>16084</v>
      </c>
      <c r="AD847" t="s">
        <v>16085</v>
      </c>
      <c r="AE847" t="s">
        <v>16086</v>
      </c>
      <c r="AF847" t="s">
        <v>74</v>
      </c>
      <c r="AG847">
        <v>55</v>
      </c>
      <c r="AH847">
        <v>24</v>
      </c>
      <c r="AI847">
        <v>26</v>
      </c>
      <c r="AJ847">
        <v>10</v>
      </c>
      <c r="AK847">
        <v>61</v>
      </c>
      <c r="AL847" t="s">
        <v>92</v>
      </c>
      <c r="AM847" t="s">
        <v>93</v>
      </c>
      <c r="AN847" t="s">
        <v>94</v>
      </c>
      <c r="AO847" t="s">
        <v>16087</v>
      </c>
      <c r="AP847" t="s">
        <v>16088</v>
      </c>
      <c r="AQ847" t="s">
        <v>74</v>
      </c>
      <c r="AR847" t="s">
        <v>16089</v>
      </c>
      <c r="AS847" t="s">
        <v>16090</v>
      </c>
      <c r="AT847" t="s">
        <v>14993</v>
      </c>
      <c r="AU847">
        <v>2020</v>
      </c>
      <c r="AV847">
        <v>164</v>
      </c>
      <c r="AW847" t="s">
        <v>74</v>
      </c>
      <c r="AX847" t="s">
        <v>74</v>
      </c>
      <c r="AY847" t="s">
        <v>74</v>
      </c>
      <c r="AZ847" t="s">
        <v>74</v>
      </c>
      <c r="BA847" t="s">
        <v>74</v>
      </c>
      <c r="BB847">
        <v>4125</v>
      </c>
      <c r="BC847">
        <v>4137</v>
      </c>
      <c r="BD847" t="s">
        <v>74</v>
      </c>
      <c r="BE847" t="s">
        <v>16091</v>
      </c>
      <c r="BF847" t="str">
        <f>HYPERLINK("http://dx.doi.org/10.1016/j.ijbiomac.2020.08.244","http://dx.doi.org/10.1016/j.ijbiomac.2020.08.244")</f>
        <v>http://dx.doi.org/10.1016/j.ijbiomac.2020.08.244</v>
      </c>
      <c r="BG847" t="s">
        <v>74</v>
      </c>
      <c r="BH847" t="s">
        <v>74</v>
      </c>
      <c r="BI847">
        <v>13</v>
      </c>
      <c r="BJ847" t="s">
        <v>16092</v>
      </c>
      <c r="BK847" t="s">
        <v>103</v>
      </c>
      <c r="BL847" t="s">
        <v>16093</v>
      </c>
      <c r="BM847" t="s">
        <v>16094</v>
      </c>
      <c r="BN847">
        <v>32890560</v>
      </c>
      <c r="BO847" t="s">
        <v>74</v>
      </c>
      <c r="BP847" t="s">
        <v>74</v>
      </c>
      <c r="BQ847" t="s">
        <v>74</v>
      </c>
      <c r="BR847" t="s">
        <v>106</v>
      </c>
      <c r="BS847" t="s">
        <v>16095</v>
      </c>
      <c r="BT847" t="str">
        <f>HYPERLINK("https%3A%2F%2Fwww.webofscience.com%2Fwos%2Fwoscc%2Ffull-record%2FWOS:000588093700393","View Full Record in Web of Science")</f>
        <v>View Full Record in Web of Science</v>
      </c>
    </row>
    <row r="848" spans="1:72" x14ac:dyDescent="0.15">
      <c r="A848" t="s">
        <v>72</v>
      </c>
      <c r="B848" t="s">
        <v>16096</v>
      </c>
      <c r="C848" t="s">
        <v>74</v>
      </c>
      <c r="D848" t="s">
        <v>74</v>
      </c>
      <c r="E848" t="s">
        <v>74</v>
      </c>
      <c r="F848" t="s">
        <v>16097</v>
      </c>
      <c r="G848" t="s">
        <v>74</v>
      </c>
      <c r="H848" t="s">
        <v>74</v>
      </c>
      <c r="I848" t="s">
        <v>16098</v>
      </c>
      <c r="J848" t="s">
        <v>1713</v>
      </c>
      <c r="K848" t="s">
        <v>74</v>
      </c>
      <c r="L848" t="s">
        <v>74</v>
      </c>
      <c r="M848" t="s">
        <v>78</v>
      </c>
      <c r="N848" t="s">
        <v>79</v>
      </c>
      <c r="O848" t="s">
        <v>74</v>
      </c>
      <c r="P848" t="s">
        <v>74</v>
      </c>
      <c r="Q848" t="s">
        <v>74</v>
      </c>
      <c r="R848" t="s">
        <v>74</v>
      </c>
      <c r="S848" t="s">
        <v>74</v>
      </c>
      <c r="T848" t="s">
        <v>16099</v>
      </c>
      <c r="U848" t="s">
        <v>16100</v>
      </c>
      <c r="V848" t="s">
        <v>16101</v>
      </c>
      <c r="W848" t="s">
        <v>16102</v>
      </c>
      <c r="X848" t="s">
        <v>16103</v>
      </c>
      <c r="Y848" t="s">
        <v>16104</v>
      </c>
      <c r="Z848" t="s">
        <v>16105</v>
      </c>
      <c r="AA848" t="s">
        <v>9129</v>
      </c>
      <c r="AB848" t="s">
        <v>16106</v>
      </c>
      <c r="AC848" t="s">
        <v>16107</v>
      </c>
      <c r="AD848" t="s">
        <v>16108</v>
      </c>
      <c r="AE848" t="s">
        <v>16109</v>
      </c>
      <c r="AF848" t="s">
        <v>74</v>
      </c>
      <c r="AG848">
        <v>81</v>
      </c>
      <c r="AH848">
        <v>6</v>
      </c>
      <c r="AI848">
        <v>7</v>
      </c>
      <c r="AJ848">
        <v>0</v>
      </c>
      <c r="AK848">
        <v>10</v>
      </c>
      <c r="AL848" t="s">
        <v>418</v>
      </c>
      <c r="AM848" t="s">
        <v>178</v>
      </c>
      <c r="AN848" t="s">
        <v>419</v>
      </c>
      <c r="AO848" t="s">
        <v>1726</v>
      </c>
      <c r="AP848" t="s">
        <v>74</v>
      </c>
      <c r="AQ848" t="s">
        <v>74</v>
      </c>
      <c r="AR848" t="s">
        <v>1728</v>
      </c>
      <c r="AS848" t="s">
        <v>1729</v>
      </c>
      <c r="AT848" t="s">
        <v>14993</v>
      </c>
      <c r="AU848">
        <v>2020</v>
      </c>
      <c r="AV848">
        <v>249</v>
      </c>
      <c r="AW848" t="s">
        <v>74</v>
      </c>
      <c r="AX848" t="s">
        <v>74</v>
      </c>
      <c r="AY848" t="s">
        <v>74</v>
      </c>
      <c r="AZ848" t="s">
        <v>74</v>
      </c>
      <c r="BA848" t="s">
        <v>74</v>
      </c>
      <c r="BB848" t="s">
        <v>74</v>
      </c>
      <c r="BC848" t="s">
        <v>74</v>
      </c>
      <c r="BD848">
        <v>106563</v>
      </c>
      <c r="BE848" t="s">
        <v>16110</v>
      </c>
      <c r="BF848" t="str">
        <f>HYPERLINK("http://dx.doi.org/10.1016/j.quascirev.2020.106563","http://dx.doi.org/10.1016/j.quascirev.2020.106563")</f>
        <v>http://dx.doi.org/10.1016/j.quascirev.2020.106563</v>
      </c>
      <c r="BG848" t="s">
        <v>74</v>
      </c>
      <c r="BH848" t="s">
        <v>74</v>
      </c>
      <c r="BI848">
        <v>14</v>
      </c>
      <c r="BJ848" t="s">
        <v>156</v>
      </c>
      <c r="BK848" t="s">
        <v>103</v>
      </c>
      <c r="BL848" t="s">
        <v>157</v>
      </c>
      <c r="BM848" t="s">
        <v>16111</v>
      </c>
      <c r="BN848" t="s">
        <v>74</v>
      </c>
      <c r="BO848" t="s">
        <v>74</v>
      </c>
      <c r="BP848" t="s">
        <v>74</v>
      </c>
      <c r="BQ848" t="s">
        <v>74</v>
      </c>
      <c r="BR848" t="s">
        <v>106</v>
      </c>
      <c r="BS848" t="s">
        <v>16112</v>
      </c>
      <c r="BT848" t="str">
        <f>HYPERLINK("https%3A%2F%2Fwww.webofscience.com%2Fwos%2Fwoscc%2Ffull-record%2FWOS:000589910600007","View Full Record in Web of Science")</f>
        <v>View Full Record in Web of Science</v>
      </c>
    </row>
    <row r="849" spans="1:72" x14ac:dyDescent="0.15">
      <c r="A849" t="s">
        <v>72</v>
      </c>
      <c r="B849" t="s">
        <v>16113</v>
      </c>
      <c r="C849" t="s">
        <v>74</v>
      </c>
      <c r="D849" t="s">
        <v>74</v>
      </c>
      <c r="E849" t="s">
        <v>74</v>
      </c>
      <c r="F849" t="s">
        <v>16114</v>
      </c>
      <c r="G849" t="s">
        <v>74</v>
      </c>
      <c r="H849" t="s">
        <v>74</v>
      </c>
      <c r="I849" t="s">
        <v>16115</v>
      </c>
      <c r="J849" t="s">
        <v>10756</v>
      </c>
      <c r="K849" t="s">
        <v>74</v>
      </c>
      <c r="L849" t="s">
        <v>74</v>
      </c>
      <c r="M849" t="s">
        <v>78</v>
      </c>
      <c r="N849" t="s">
        <v>79</v>
      </c>
      <c r="O849" t="s">
        <v>74</v>
      </c>
      <c r="P849" t="s">
        <v>74</v>
      </c>
      <c r="Q849" t="s">
        <v>74</v>
      </c>
      <c r="R849" t="s">
        <v>74</v>
      </c>
      <c r="S849" t="s">
        <v>74</v>
      </c>
      <c r="T849" t="s">
        <v>16116</v>
      </c>
      <c r="U849" t="s">
        <v>16117</v>
      </c>
      <c r="V849" t="s">
        <v>16118</v>
      </c>
      <c r="W849" t="s">
        <v>16119</v>
      </c>
      <c r="X849" t="s">
        <v>16120</v>
      </c>
      <c r="Y849" t="s">
        <v>16121</v>
      </c>
      <c r="Z849" t="s">
        <v>16122</v>
      </c>
      <c r="AA849" t="s">
        <v>16123</v>
      </c>
      <c r="AB849" t="s">
        <v>16124</v>
      </c>
      <c r="AC849" t="s">
        <v>16125</v>
      </c>
      <c r="AD849" t="s">
        <v>16126</v>
      </c>
      <c r="AE849" t="s">
        <v>16127</v>
      </c>
      <c r="AF849" t="s">
        <v>74</v>
      </c>
      <c r="AG849">
        <v>67</v>
      </c>
      <c r="AH849">
        <v>21</v>
      </c>
      <c r="AI849">
        <v>22</v>
      </c>
      <c r="AJ849">
        <v>3</v>
      </c>
      <c r="AK849">
        <v>23</v>
      </c>
      <c r="AL849" t="s">
        <v>10769</v>
      </c>
      <c r="AM849" t="s">
        <v>10770</v>
      </c>
      <c r="AN849" t="s">
        <v>10771</v>
      </c>
      <c r="AO849" t="s">
        <v>10772</v>
      </c>
      <c r="AP849" t="s">
        <v>74</v>
      </c>
      <c r="AQ849" t="s">
        <v>74</v>
      </c>
      <c r="AR849" t="s">
        <v>10773</v>
      </c>
      <c r="AS849" t="s">
        <v>10774</v>
      </c>
      <c r="AT849" t="s">
        <v>12678</v>
      </c>
      <c r="AU849">
        <v>2020</v>
      </c>
      <c r="AV849">
        <v>15</v>
      </c>
      <c r="AW849">
        <v>12</v>
      </c>
      <c r="AX849" t="s">
        <v>74</v>
      </c>
      <c r="AY849" t="s">
        <v>74</v>
      </c>
      <c r="AZ849" t="s">
        <v>74</v>
      </c>
      <c r="BA849" t="s">
        <v>74</v>
      </c>
      <c r="BB849" t="s">
        <v>74</v>
      </c>
      <c r="BC849" t="s">
        <v>74</v>
      </c>
      <c r="BD849">
        <v>124022</v>
      </c>
      <c r="BE849" t="s">
        <v>16128</v>
      </c>
      <c r="BF849" t="str">
        <f>HYPERLINK("http://dx.doi.org/10.1088/1748-9326/abc379","http://dx.doi.org/10.1088/1748-9326/abc379")</f>
        <v>http://dx.doi.org/10.1088/1748-9326/abc379</v>
      </c>
      <c r="BG849" t="s">
        <v>74</v>
      </c>
      <c r="BH849" t="s">
        <v>74</v>
      </c>
      <c r="BI849">
        <v>16</v>
      </c>
      <c r="BJ849" t="s">
        <v>132</v>
      </c>
      <c r="BK849" t="s">
        <v>103</v>
      </c>
      <c r="BL849" t="s">
        <v>133</v>
      </c>
      <c r="BM849" t="s">
        <v>16129</v>
      </c>
      <c r="BN849" t="s">
        <v>74</v>
      </c>
      <c r="BO849" t="s">
        <v>246</v>
      </c>
      <c r="BP849" t="s">
        <v>74</v>
      </c>
      <c r="BQ849" t="s">
        <v>74</v>
      </c>
      <c r="BR849" t="s">
        <v>106</v>
      </c>
      <c r="BS849" t="s">
        <v>16130</v>
      </c>
      <c r="BT849" t="str">
        <f>HYPERLINK("https%3A%2F%2Fwww.webofscience.com%2Fwos%2Fwoscc%2Ffull-record%2FWOS:000595853000001","View Full Record in Web of Science")</f>
        <v>View Full Record in Web of Science</v>
      </c>
    </row>
    <row r="850" spans="1:72" x14ac:dyDescent="0.15">
      <c r="A850" t="s">
        <v>72</v>
      </c>
      <c r="B850" t="s">
        <v>16131</v>
      </c>
      <c r="C850" t="s">
        <v>74</v>
      </c>
      <c r="D850" t="s">
        <v>74</v>
      </c>
      <c r="E850" t="s">
        <v>74</v>
      </c>
      <c r="F850" t="s">
        <v>16132</v>
      </c>
      <c r="G850" t="s">
        <v>74</v>
      </c>
      <c r="H850" t="s">
        <v>74</v>
      </c>
      <c r="I850" t="s">
        <v>16133</v>
      </c>
      <c r="J850" t="s">
        <v>9227</v>
      </c>
      <c r="K850" t="s">
        <v>74</v>
      </c>
      <c r="L850" t="s">
        <v>74</v>
      </c>
      <c r="M850" t="s">
        <v>78</v>
      </c>
      <c r="N850" t="s">
        <v>79</v>
      </c>
      <c r="O850" t="s">
        <v>74</v>
      </c>
      <c r="P850" t="s">
        <v>74</v>
      </c>
      <c r="Q850" t="s">
        <v>74</v>
      </c>
      <c r="R850" t="s">
        <v>74</v>
      </c>
      <c r="S850" t="s">
        <v>74</v>
      </c>
      <c r="T850" t="s">
        <v>16134</v>
      </c>
      <c r="U850" t="s">
        <v>16135</v>
      </c>
      <c r="V850" t="s">
        <v>16136</v>
      </c>
      <c r="W850" t="s">
        <v>16137</v>
      </c>
      <c r="X850" t="s">
        <v>16138</v>
      </c>
      <c r="Y850" t="s">
        <v>16139</v>
      </c>
      <c r="Z850" t="s">
        <v>16140</v>
      </c>
      <c r="AA850" t="s">
        <v>16141</v>
      </c>
      <c r="AB850" t="s">
        <v>16142</v>
      </c>
      <c r="AC850" t="s">
        <v>16143</v>
      </c>
      <c r="AD850" t="s">
        <v>16144</v>
      </c>
      <c r="AE850" t="s">
        <v>16145</v>
      </c>
      <c r="AF850" t="s">
        <v>74</v>
      </c>
      <c r="AG850">
        <v>39</v>
      </c>
      <c r="AH850">
        <v>11</v>
      </c>
      <c r="AI850">
        <v>12</v>
      </c>
      <c r="AJ850">
        <v>3</v>
      </c>
      <c r="AK850">
        <v>15</v>
      </c>
      <c r="AL850" t="s">
        <v>92</v>
      </c>
      <c r="AM850" t="s">
        <v>93</v>
      </c>
      <c r="AN850" t="s">
        <v>94</v>
      </c>
      <c r="AO850" t="s">
        <v>9240</v>
      </c>
      <c r="AP850" t="s">
        <v>9241</v>
      </c>
      <c r="AQ850" t="s">
        <v>74</v>
      </c>
      <c r="AR850" t="s">
        <v>9242</v>
      </c>
      <c r="AS850" t="s">
        <v>9243</v>
      </c>
      <c r="AT850" t="s">
        <v>12678</v>
      </c>
      <c r="AU850">
        <v>2020</v>
      </c>
      <c r="AV850">
        <v>195</v>
      </c>
      <c r="AW850" t="s">
        <v>74</v>
      </c>
      <c r="AX850" t="s">
        <v>74</v>
      </c>
      <c r="AY850" t="s">
        <v>74</v>
      </c>
      <c r="AZ850" t="s">
        <v>74</v>
      </c>
      <c r="BA850" t="s">
        <v>74</v>
      </c>
      <c r="BB850" t="s">
        <v>74</v>
      </c>
      <c r="BC850" t="s">
        <v>74</v>
      </c>
      <c r="BD850">
        <v>103356</v>
      </c>
      <c r="BE850" t="s">
        <v>16146</v>
      </c>
      <c r="BF850" t="str">
        <f>HYPERLINK("http://dx.doi.org/10.1016/j.gloplacha.2020.103356","http://dx.doi.org/10.1016/j.gloplacha.2020.103356")</f>
        <v>http://dx.doi.org/10.1016/j.gloplacha.2020.103356</v>
      </c>
      <c r="BG850" t="s">
        <v>74</v>
      </c>
      <c r="BH850" t="s">
        <v>74</v>
      </c>
      <c r="BI850">
        <v>16</v>
      </c>
      <c r="BJ850" t="s">
        <v>156</v>
      </c>
      <c r="BK850" t="s">
        <v>103</v>
      </c>
      <c r="BL850" t="s">
        <v>157</v>
      </c>
      <c r="BM850" t="s">
        <v>16147</v>
      </c>
      <c r="BN850" t="s">
        <v>74</v>
      </c>
      <c r="BO850" t="s">
        <v>3283</v>
      </c>
      <c r="BP850" t="s">
        <v>74</v>
      </c>
      <c r="BQ850" t="s">
        <v>74</v>
      </c>
      <c r="BR850" t="s">
        <v>106</v>
      </c>
      <c r="BS850" t="s">
        <v>16148</v>
      </c>
      <c r="BT850" t="str">
        <f>HYPERLINK("https%3A%2F%2Fwww.webofscience.com%2Fwos%2Fwoscc%2Ffull-record%2FWOS:000592360500004","View Full Record in Web of Science")</f>
        <v>View Full Record in Web of Science</v>
      </c>
    </row>
    <row r="851" spans="1:72" x14ac:dyDescent="0.15">
      <c r="A851" t="s">
        <v>72</v>
      </c>
      <c r="B851" t="s">
        <v>16149</v>
      </c>
      <c r="C851" t="s">
        <v>74</v>
      </c>
      <c r="D851" t="s">
        <v>74</v>
      </c>
      <c r="E851" t="s">
        <v>74</v>
      </c>
      <c r="F851" t="s">
        <v>16150</v>
      </c>
      <c r="G851" t="s">
        <v>74</v>
      </c>
      <c r="H851" t="s">
        <v>74</v>
      </c>
      <c r="I851" t="s">
        <v>16151</v>
      </c>
      <c r="J851" t="s">
        <v>1200</v>
      </c>
      <c r="K851" t="s">
        <v>74</v>
      </c>
      <c r="L851" t="s">
        <v>74</v>
      </c>
      <c r="M851" t="s">
        <v>78</v>
      </c>
      <c r="N851" t="s">
        <v>79</v>
      </c>
      <c r="O851" t="s">
        <v>74</v>
      </c>
      <c r="P851" t="s">
        <v>74</v>
      </c>
      <c r="Q851" t="s">
        <v>74</v>
      </c>
      <c r="R851" t="s">
        <v>74</v>
      </c>
      <c r="S851" t="s">
        <v>74</v>
      </c>
      <c r="T851" t="s">
        <v>16152</v>
      </c>
      <c r="U851" t="s">
        <v>16153</v>
      </c>
      <c r="V851" t="s">
        <v>16154</v>
      </c>
      <c r="W851" t="s">
        <v>16155</v>
      </c>
      <c r="X851" t="s">
        <v>16156</v>
      </c>
      <c r="Y851" t="s">
        <v>16157</v>
      </c>
      <c r="Z851" t="s">
        <v>16158</v>
      </c>
      <c r="AA851" t="s">
        <v>16159</v>
      </c>
      <c r="AB851" t="s">
        <v>16160</v>
      </c>
      <c r="AC851" t="s">
        <v>74</v>
      </c>
      <c r="AD851" t="s">
        <v>74</v>
      </c>
      <c r="AE851" t="s">
        <v>74</v>
      </c>
      <c r="AF851" t="s">
        <v>74</v>
      </c>
      <c r="AG851">
        <v>52</v>
      </c>
      <c r="AH851">
        <v>13</v>
      </c>
      <c r="AI851">
        <v>14</v>
      </c>
      <c r="AJ851">
        <v>4</v>
      </c>
      <c r="AK851">
        <v>54</v>
      </c>
      <c r="AL851" t="s">
        <v>1210</v>
      </c>
      <c r="AM851" t="s">
        <v>473</v>
      </c>
      <c r="AN851" t="s">
        <v>1211</v>
      </c>
      <c r="AO851" t="s">
        <v>1212</v>
      </c>
      <c r="AP851" t="s">
        <v>1213</v>
      </c>
      <c r="AQ851" t="s">
        <v>74</v>
      </c>
      <c r="AR851" t="s">
        <v>1214</v>
      </c>
      <c r="AS851" t="s">
        <v>1215</v>
      </c>
      <c r="AT851" t="s">
        <v>14993</v>
      </c>
      <c r="AU851">
        <v>2020</v>
      </c>
      <c r="AV851">
        <v>56</v>
      </c>
      <c r="AW851" t="s">
        <v>74</v>
      </c>
      <c r="AX851" t="s">
        <v>74</v>
      </c>
      <c r="AY851" t="s">
        <v>74</v>
      </c>
      <c r="AZ851" t="s">
        <v>74</v>
      </c>
      <c r="BA851" t="s">
        <v>74</v>
      </c>
      <c r="BB851" t="s">
        <v>74</v>
      </c>
      <c r="BC851" t="s">
        <v>74</v>
      </c>
      <c r="BD851" t="s">
        <v>16161</v>
      </c>
      <c r="BE851" t="s">
        <v>16162</v>
      </c>
      <c r="BF851" t="str">
        <f>HYPERLINK("http://dx.doi.org/10.1017/S0032247420000388","http://dx.doi.org/10.1017/S0032247420000388")</f>
        <v>http://dx.doi.org/10.1017/S0032247420000388</v>
      </c>
      <c r="BG851" t="s">
        <v>74</v>
      </c>
      <c r="BH851" t="s">
        <v>74</v>
      </c>
      <c r="BI851">
        <v>9</v>
      </c>
      <c r="BJ851" t="s">
        <v>1218</v>
      </c>
      <c r="BK851" t="s">
        <v>103</v>
      </c>
      <c r="BL851" t="s">
        <v>104</v>
      </c>
      <c r="BM851" t="s">
        <v>16163</v>
      </c>
      <c r="BN851" t="s">
        <v>74</v>
      </c>
      <c r="BO851" t="s">
        <v>74</v>
      </c>
      <c r="BP851" t="s">
        <v>74</v>
      </c>
      <c r="BQ851" t="s">
        <v>74</v>
      </c>
      <c r="BR851" t="s">
        <v>106</v>
      </c>
      <c r="BS851" t="s">
        <v>16164</v>
      </c>
      <c r="BT851" t="str">
        <f>HYPERLINK("https%3A%2F%2Fwww.webofscience.com%2Fwos%2Fwoscc%2Ffull-record%2FWOS:000594860000001","View Full Record in Web of Science")</f>
        <v>View Full Record in Web of Science</v>
      </c>
    </row>
    <row r="852" spans="1:72" x14ac:dyDescent="0.15">
      <c r="A852" t="s">
        <v>72</v>
      </c>
      <c r="B852" t="s">
        <v>16165</v>
      </c>
      <c r="C852" t="s">
        <v>74</v>
      </c>
      <c r="D852" t="s">
        <v>74</v>
      </c>
      <c r="E852" t="s">
        <v>74</v>
      </c>
      <c r="F852" t="s">
        <v>16166</v>
      </c>
      <c r="G852" t="s">
        <v>74</v>
      </c>
      <c r="H852" t="s">
        <v>74</v>
      </c>
      <c r="I852" t="s">
        <v>16167</v>
      </c>
      <c r="J852" t="s">
        <v>16168</v>
      </c>
      <c r="K852" t="s">
        <v>74</v>
      </c>
      <c r="L852" t="s">
        <v>74</v>
      </c>
      <c r="M852" t="s">
        <v>78</v>
      </c>
      <c r="N852" t="s">
        <v>79</v>
      </c>
      <c r="O852" t="s">
        <v>74</v>
      </c>
      <c r="P852" t="s">
        <v>74</v>
      </c>
      <c r="Q852" t="s">
        <v>74</v>
      </c>
      <c r="R852" t="s">
        <v>74</v>
      </c>
      <c r="S852" t="s">
        <v>74</v>
      </c>
      <c r="T852" t="s">
        <v>74</v>
      </c>
      <c r="U852" t="s">
        <v>16169</v>
      </c>
      <c r="V852" t="s">
        <v>16170</v>
      </c>
      <c r="W852" t="s">
        <v>16171</v>
      </c>
      <c r="X852" t="s">
        <v>16172</v>
      </c>
      <c r="Y852" t="s">
        <v>16173</v>
      </c>
      <c r="Z852" t="s">
        <v>16174</v>
      </c>
      <c r="AA852" t="s">
        <v>74</v>
      </c>
      <c r="AB852" t="s">
        <v>74</v>
      </c>
      <c r="AC852" t="s">
        <v>74</v>
      </c>
      <c r="AD852" t="s">
        <v>74</v>
      </c>
      <c r="AE852" t="s">
        <v>74</v>
      </c>
      <c r="AF852" t="s">
        <v>74</v>
      </c>
      <c r="AG852">
        <v>77</v>
      </c>
      <c r="AH852">
        <v>0</v>
      </c>
      <c r="AI852">
        <v>0</v>
      </c>
      <c r="AJ852">
        <v>0</v>
      </c>
      <c r="AK852">
        <v>3</v>
      </c>
      <c r="AL852" t="s">
        <v>1210</v>
      </c>
      <c r="AM852" t="s">
        <v>473</v>
      </c>
      <c r="AN852" t="s">
        <v>1211</v>
      </c>
      <c r="AO852" t="s">
        <v>16175</v>
      </c>
      <c r="AP852" t="s">
        <v>16176</v>
      </c>
      <c r="AQ852" t="s">
        <v>74</v>
      </c>
      <c r="AR852" t="s">
        <v>16177</v>
      </c>
      <c r="AS852" t="s">
        <v>16178</v>
      </c>
      <c r="AT852" t="s">
        <v>12678</v>
      </c>
      <c r="AU852">
        <v>2020</v>
      </c>
      <c r="AV852">
        <v>63</v>
      </c>
      <c r="AW852">
        <v>5</v>
      </c>
      <c r="AX852" t="s">
        <v>74</v>
      </c>
      <c r="AY852" t="s">
        <v>74</v>
      </c>
      <c r="AZ852" t="s">
        <v>74</v>
      </c>
      <c r="BA852" t="s">
        <v>74</v>
      </c>
      <c r="BB852">
        <v>1079</v>
      </c>
      <c r="BC852">
        <v>1106</v>
      </c>
      <c r="BD852" t="s">
        <v>16179</v>
      </c>
      <c r="BE852" t="s">
        <v>16180</v>
      </c>
      <c r="BF852" t="str">
        <f>HYPERLINK("http://dx.doi.org/10.1017/S0018246X19000700","http://dx.doi.org/10.1017/S0018246X19000700")</f>
        <v>http://dx.doi.org/10.1017/S0018246X19000700</v>
      </c>
      <c r="BG852" t="s">
        <v>74</v>
      </c>
      <c r="BH852" t="s">
        <v>74</v>
      </c>
      <c r="BI852">
        <v>28</v>
      </c>
      <c r="BJ852" t="s">
        <v>4338</v>
      </c>
      <c r="BK852" t="s">
        <v>16181</v>
      </c>
      <c r="BL852" t="s">
        <v>4338</v>
      </c>
      <c r="BM852" t="s">
        <v>16182</v>
      </c>
      <c r="BN852" t="s">
        <v>74</v>
      </c>
      <c r="BO852" t="s">
        <v>218</v>
      </c>
      <c r="BP852" t="s">
        <v>74</v>
      </c>
      <c r="BQ852" t="s">
        <v>74</v>
      </c>
      <c r="BR852" t="s">
        <v>106</v>
      </c>
      <c r="BS852" t="s">
        <v>16183</v>
      </c>
      <c r="BT852" t="str">
        <f>HYPERLINK("https%3A%2F%2Fwww.webofscience.com%2Fwos%2Fwoscc%2Ffull-record%2FWOS:000590810200001","View Full Record in Web of Science")</f>
        <v>View Full Record in Web of Science</v>
      </c>
    </row>
    <row r="853" spans="1:72" x14ac:dyDescent="0.15">
      <c r="A853" t="s">
        <v>72</v>
      </c>
      <c r="B853" t="s">
        <v>16184</v>
      </c>
      <c r="C853" t="s">
        <v>74</v>
      </c>
      <c r="D853" t="s">
        <v>74</v>
      </c>
      <c r="E853" t="s">
        <v>74</v>
      </c>
      <c r="F853" t="s">
        <v>16185</v>
      </c>
      <c r="G853" t="s">
        <v>74</v>
      </c>
      <c r="H853" t="s">
        <v>74</v>
      </c>
      <c r="I853" t="s">
        <v>16186</v>
      </c>
      <c r="J853" t="s">
        <v>9614</v>
      </c>
      <c r="K853" t="s">
        <v>74</v>
      </c>
      <c r="L853" t="s">
        <v>74</v>
      </c>
      <c r="M853" t="s">
        <v>78</v>
      </c>
      <c r="N853" t="s">
        <v>141</v>
      </c>
      <c r="O853" t="s">
        <v>74</v>
      </c>
      <c r="P853" t="s">
        <v>74</v>
      </c>
      <c r="Q853" t="s">
        <v>74</v>
      </c>
      <c r="R853" t="s">
        <v>74</v>
      </c>
      <c r="S853" t="s">
        <v>74</v>
      </c>
      <c r="T853" t="s">
        <v>16187</v>
      </c>
      <c r="U853" t="s">
        <v>16188</v>
      </c>
      <c r="V853" t="s">
        <v>16189</v>
      </c>
      <c r="W853" t="s">
        <v>16190</v>
      </c>
      <c r="X853" t="s">
        <v>16191</v>
      </c>
      <c r="Y853" t="s">
        <v>16192</v>
      </c>
      <c r="Z853" t="s">
        <v>16193</v>
      </c>
      <c r="AA853" t="s">
        <v>16194</v>
      </c>
      <c r="AB853" t="s">
        <v>16195</v>
      </c>
      <c r="AC853" t="s">
        <v>16196</v>
      </c>
      <c r="AD853" t="s">
        <v>16197</v>
      </c>
      <c r="AE853" t="s">
        <v>16198</v>
      </c>
      <c r="AF853" t="s">
        <v>74</v>
      </c>
      <c r="AG853">
        <v>121</v>
      </c>
      <c r="AH853">
        <v>84</v>
      </c>
      <c r="AI853">
        <v>92</v>
      </c>
      <c r="AJ853">
        <v>35</v>
      </c>
      <c r="AK853">
        <v>222</v>
      </c>
      <c r="AL853" t="s">
        <v>418</v>
      </c>
      <c r="AM853" t="s">
        <v>178</v>
      </c>
      <c r="AN853" t="s">
        <v>419</v>
      </c>
      <c r="AO853" t="s">
        <v>9627</v>
      </c>
      <c r="AP853" t="s">
        <v>9628</v>
      </c>
      <c r="AQ853" t="s">
        <v>74</v>
      </c>
      <c r="AR853" t="s">
        <v>9629</v>
      </c>
      <c r="AS853" t="s">
        <v>9630</v>
      </c>
      <c r="AT853" t="s">
        <v>12678</v>
      </c>
      <c r="AU853">
        <v>2020</v>
      </c>
      <c r="AV853">
        <v>145</v>
      </c>
      <c r="AW853" t="s">
        <v>74</v>
      </c>
      <c r="AX853" t="s">
        <v>74</v>
      </c>
      <c r="AY853" t="s">
        <v>74</v>
      </c>
      <c r="AZ853" t="s">
        <v>74</v>
      </c>
      <c r="BA853" t="s">
        <v>74</v>
      </c>
      <c r="BB853" t="s">
        <v>74</v>
      </c>
      <c r="BC853" t="s">
        <v>74</v>
      </c>
      <c r="BD853">
        <v>106156</v>
      </c>
      <c r="BE853" t="s">
        <v>16199</v>
      </c>
      <c r="BF853" t="str">
        <f>HYPERLINK("http://dx.doi.org/10.1016/j.envint.2020.106156","http://dx.doi.org/10.1016/j.envint.2020.106156")</f>
        <v>http://dx.doi.org/10.1016/j.envint.2020.106156</v>
      </c>
      <c r="BG853" t="s">
        <v>74</v>
      </c>
      <c r="BH853" t="s">
        <v>74</v>
      </c>
      <c r="BI853">
        <v>14</v>
      </c>
      <c r="BJ853" t="s">
        <v>102</v>
      </c>
      <c r="BK853" t="s">
        <v>103</v>
      </c>
      <c r="BL853" t="s">
        <v>104</v>
      </c>
      <c r="BM853" t="s">
        <v>16200</v>
      </c>
      <c r="BN853">
        <v>33039877</v>
      </c>
      <c r="BO853" t="s">
        <v>326</v>
      </c>
      <c r="BP853" t="s">
        <v>74</v>
      </c>
      <c r="BQ853" t="s">
        <v>74</v>
      </c>
      <c r="BR853" t="s">
        <v>106</v>
      </c>
      <c r="BS853" t="s">
        <v>16201</v>
      </c>
      <c r="BT853" t="str">
        <f>HYPERLINK("https%3A%2F%2Fwww.webofscience.com%2Fwos%2Fwoscc%2Ffull-record%2FWOS:000580632000068","View Full Record in Web of Science")</f>
        <v>View Full Record in Web of Science</v>
      </c>
    </row>
    <row r="854" spans="1:72" x14ac:dyDescent="0.15">
      <c r="A854" t="s">
        <v>72</v>
      </c>
      <c r="B854" t="s">
        <v>16202</v>
      </c>
      <c r="C854" t="s">
        <v>74</v>
      </c>
      <c r="D854" t="s">
        <v>74</v>
      </c>
      <c r="E854" t="s">
        <v>74</v>
      </c>
      <c r="F854" t="s">
        <v>16203</v>
      </c>
      <c r="G854" t="s">
        <v>74</v>
      </c>
      <c r="H854" t="s">
        <v>74</v>
      </c>
      <c r="I854" t="s">
        <v>16204</v>
      </c>
      <c r="J854" t="s">
        <v>9344</v>
      </c>
      <c r="K854" t="s">
        <v>74</v>
      </c>
      <c r="L854" t="s">
        <v>74</v>
      </c>
      <c r="M854" t="s">
        <v>78</v>
      </c>
      <c r="N854" t="s">
        <v>79</v>
      </c>
      <c r="O854" t="s">
        <v>74</v>
      </c>
      <c r="P854" t="s">
        <v>74</v>
      </c>
      <c r="Q854" t="s">
        <v>74</v>
      </c>
      <c r="R854" t="s">
        <v>74</v>
      </c>
      <c r="S854" t="s">
        <v>74</v>
      </c>
      <c r="T854" t="s">
        <v>16205</v>
      </c>
      <c r="U854" t="s">
        <v>16206</v>
      </c>
      <c r="V854" t="s">
        <v>16207</v>
      </c>
      <c r="W854" t="s">
        <v>16208</v>
      </c>
      <c r="X854" t="s">
        <v>16209</v>
      </c>
      <c r="Y854" t="s">
        <v>16210</v>
      </c>
      <c r="Z854" t="s">
        <v>16211</v>
      </c>
      <c r="AA854" t="s">
        <v>16212</v>
      </c>
      <c r="AB854" t="s">
        <v>16213</v>
      </c>
      <c r="AC854" t="s">
        <v>16214</v>
      </c>
      <c r="AD854" t="s">
        <v>16215</v>
      </c>
      <c r="AE854" t="s">
        <v>16216</v>
      </c>
      <c r="AF854" t="s">
        <v>74</v>
      </c>
      <c r="AG854">
        <v>41</v>
      </c>
      <c r="AH854">
        <v>2</v>
      </c>
      <c r="AI854">
        <v>2</v>
      </c>
      <c r="AJ854">
        <v>1</v>
      </c>
      <c r="AK854">
        <v>5</v>
      </c>
      <c r="AL854" t="s">
        <v>5603</v>
      </c>
      <c r="AM854" t="s">
        <v>5604</v>
      </c>
      <c r="AN854" t="s">
        <v>5605</v>
      </c>
      <c r="AO854" t="s">
        <v>9357</v>
      </c>
      <c r="AP854" t="s">
        <v>9358</v>
      </c>
      <c r="AQ854" t="s">
        <v>74</v>
      </c>
      <c r="AR854" t="s">
        <v>9359</v>
      </c>
      <c r="AS854" t="s">
        <v>9360</v>
      </c>
      <c r="AT854" t="s">
        <v>12678</v>
      </c>
      <c r="AU854">
        <v>2020</v>
      </c>
      <c r="AV854">
        <v>58</v>
      </c>
      <c r="AW854">
        <v>12</v>
      </c>
      <c r="AX854" t="s">
        <v>74</v>
      </c>
      <c r="AY854" t="s">
        <v>74</v>
      </c>
      <c r="AZ854" t="s">
        <v>74</v>
      </c>
      <c r="BA854" t="s">
        <v>74</v>
      </c>
      <c r="BB854">
        <v>8598</v>
      </c>
      <c r="BC854">
        <v>8611</v>
      </c>
      <c r="BD854" t="s">
        <v>74</v>
      </c>
      <c r="BE854" t="s">
        <v>16217</v>
      </c>
      <c r="BF854" t="str">
        <f>HYPERLINK("http://dx.doi.org/10.1109/TGRS.2020.2989102","http://dx.doi.org/10.1109/TGRS.2020.2989102")</f>
        <v>http://dx.doi.org/10.1109/TGRS.2020.2989102</v>
      </c>
      <c r="BG854" t="s">
        <v>74</v>
      </c>
      <c r="BH854" t="s">
        <v>74</v>
      </c>
      <c r="BI854">
        <v>14</v>
      </c>
      <c r="BJ854" t="s">
        <v>9362</v>
      </c>
      <c r="BK854" t="s">
        <v>103</v>
      </c>
      <c r="BL854" t="s">
        <v>9363</v>
      </c>
      <c r="BM854" t="s">
        <v>16218</v>
      </c>
      <c r="BN854" t="s">
        <v>74</v>
      </c>
      <c r="BO854" t="s">
        <v>74</v>
      </c>
      <c r="BP854" t="s">
        <v>74</v>
      </c>
      <c r="BQ854" t="s">
        <v>74</v>
      </c>
      <c r="BR854" t="s">
        <v>106</v>
      </c>
      <c r="BS854" t="s">
        <v>16219</v>
      </c>
      <c r="BT854" t="str">
        <f>HYPERLINK("https%3A%2F%2Fwww.webofscience.com%2Fwos%2Fwoscc%2Ffull-record%2FWOS:000594389800027","View Full Record in Web of Science")</f>
        <v>View Full Record in Web of Science</v>
      </c>
    </row>
    <row r="855" spans="1:72" x14ac:dyDescent="0.15">
      <c r="A855" t="s">
        <v>72</v>
      </c>
      <c r="B855" t="s">
        <v>16220</v>
      </c>
      <c r="C855" t="s">
        <v>74</v>
      </c>
      <c r="D855" t="s">
        <v>74</v>
      </c>
      <c r="E855" t="s">
        <v>74</v>
      </c>
      <c r="F855" t="s">
        <v>16221</v>
      </c>
      <c r="G855" t="s">
        <v>74</v>
      </c>
      <c r="H855" t="s">
        <v>74</v>
      </c>
      <c r="I855" t="s">
        <v>16222</v>
      </c>
      <c r="J855" t="s">
        <v>16223</v>
      </c>
      <c r="K855" t="s">
        <v>74</v>
      </c>
      <c r="L855" t="s">
        <v>74</v>
      </c>
      <c r="M855" t="s">
        <v>78</v>
      </c>
      <c r="N855" t="s">
        <v>79</v>
      </c>
      <c r="O855" t="s">
        <v>74</v>
      </c>
      <c r="P855" t="s">
        <v>74</v>
      </c>
      <c r="Q855" t="s">
        <v>74</v>
      </c>
      <c r="R855" t="s">
        <v>74</v>
      </c>
      <c r="S855" t="s">
        <v>74</v>
      </c>
      <c r="T855" t="s">
        <v>16224</v>
      </c>
      <c r="U855" t="s">
        <v>16225</v>
      </c>
      <c r="V855" t="s">
        <v>16226</v>
      </c>
      <c r="W855" t="s">
        <v>16227</v>
      </c>
      <c r="X855" t="s">
        <v>16228</v>
      </c>
      <c r="Y855" t="s">
        <v>697</v>
      </c>
      <c r="Z855" t="s">
        <v>698</v>
      </c>
      <c r="AA855" t="s">
        <v>74</v>
      </c>
      <c r="AB855" t="s">
        <v>16229</v>
      </c>
      <c r="AC855" t="s">
        <v>74</v>
      </c>
      <c r="AD855" t="s">
        <v>74</v>
      </c>
      <c r="AE855" t="s">
        <v>74</v>
      </c>
      <c r="AF855" t="s">
        <v>74</v>
      </c>
      <c r="AG855">
        <v>27</v>
      </c>
      <c r="AH855">
        <v>3</v>
      </c>
      <c r="AI855">
        <v>3</v>
      </c>
      <c r="AJ855">
        <v>0</v>
      </c>
      <c r="AK855">
        <v>14</v>
      </c>
      <c r="AL855" t="s">
        <v>16230</v>
      </c>
      <c r="AM855" t="s">
        <v>679</v>
      </c>
      <c r="AN855" t="s">
        <v>16231</v>
      </c>
      <c r="AO855" t="s">
        <v>16232</v>
      </c>
      <c r="AP855" t="s">
        <v>16233</v>
      </c>
      <c r="AQ855" t="s">
        <v>74</v>
      </c>
      <c r="AR855" t="s">
        <v>16234</v>
      </c>
      <c r="AS855" t="s">
        <v>16235</v>
      </c>
      <c r="AT855" t="s">
        <v>12678</v>
      </c>
      <c r="AU855">
        <v>2020</v>
      </c>
      <c r="AV855">
        <v>58</v>
      </c>
      <c r="AW855">
        <v>12</v>
      </c>
      <c r="AX855" t="s">
        <v>74</v>
      </c>
      <c r="AY855" t="s">
        <v>74</v>
      </c>
      <c r="AZ855" t="s">
        <v>74</v>
      </c>
      <c r="BA855" t="s">
        <v>74</v>
      </c>
      <c r="BB855">
        <v>1010</v>
      </c>
      <c r="BC855">
        <v>1017</v>
      </c>
      <c r="BD855" t="s">
        <v>74</v>
      </c>
      <c r="BE855" t="s">
        <v>16236</v>
      </c>
      <c r="BF855" t="str">
        <f>HYPERLINK("http://dx.doi.org/10.1007/s12275-020-0490-9","http://dx.doi.org/10.1007/s12275-020-0490-9")</f>
        <v>http://dx.doi.org/10.1007/s12275-020-0490-9</v>
      </c>
      <c r="BG855" t="s">
        <v>74</v>
      </c>
      <c r="BH855" t="s">
        <v>74</v>
      </c>
      <c r="BI855">
        <v>8</v>
      </c>
      <c r="BJ855" t="s">
        <v>3581</v>
      </c>
      <c r="BK855" t="s">
        <v>103</v>
      </c>
      <c r="BL855" t="s">
        <v>3581</v>
      </c>
      <c r="BM855" t="s">
        <v>16237</v>
      </c>
      <c r="BN855">
        <v>33263894</v>
      </c>
      <c r="BO855" t="s">
        <v>74</v>
      </c>
      <c r="BP855" t="s">
        <v>74</v>
      </c>
      <c r="BQ855" t="s">
        <v>74</v>
      </c>
      <c r="BR855" t="s">
        <v>106</v>
      </c>
      <c r="BS855" t="s">
        <v>16238</v>
      </c>
      <c r="BT855" t="str">
        <f>HYPERLINK("https%3A%2F%2Fwww.webofscience.com%2Fwos%2Fwoscc%2Ffull-record%2FWOS:000595382700004","View Full Record in Web of Science")</f>
        <v>View Full Record in Web of Science</v>
      </c>
    </row>
    <row r="856" spans="1:72" x14ac:dyDescent="0.15">
      <c r="A856" t="s">
        <v>72</v>
      </c>
      <c r="B856" t="s">
        <v>16239</v>
      </c>
      <c r="C856" t="s">
        <v>74</v>
      </c>
      <c r="D856" t="s">
        <v>74</v>
      </c>
      <c r="E856" t="s">
        <v>74</v>
      </c>
      <c r="F856" t="s">
        <v>16240</v>
      </c>
      <c r="G856" t="s">
        <v>74</v>
      </c>
      <c r="H856" t="s">
        <v>74</v>
      </c>
      <c r="I856" t="s">
        <v>16241</v>
      </c>
      <c r="J856" t="s">
        <v>16223</v>
      </c>
      <c r="K856" t="s">
        <v>74</v>
      </c>
      <c r="L856" t="s">
        <v>74</v>
      </c>
      <c r="M856" t="s">
        <v>78</v>
      </c>
      <c r="N856" t="s">
        <v>79</v>
      </c>
      <c r="O856" t="s">
        <v>74</v>
      </c>
      <c r="P856" t="s">
        <v>74</v>
      </c>
      <c r="Q856" t="s">
        <v>74</v>
      </c>
      <c r="R856" t="s">
        <v>74</v>
      </c>
      <c r="S856" t="s">
        <v>74</v>
      </c>
      <c r="T856" t="s">
        <v>16242</v>
      </c>
      <c r="U856" t="s">
        <v>16243</v>
      </c>
      <c r="V856" t="s">
        <v>16244</v>
      </c>
      <c r="W856" t="s">
        <v>16245</v>
      </c>
      <c r="X856" t="s">
        <v>16246</v>
      </c>
      <c r="Y856" t="s">
        <v>16247</v>
      </c>
      <c r="Z856" t="s">
        <v>16248</v>
      </c>
      <c r="AA856" t="s">
        <v>74</v>
      </c>
      <c r="AB856" t="s">
        <v>74</v>
      </c>
      <c r="AC856" t="s">
        <v>74</v>
      </c>
      <c r="AD856" t="s">
        <v>74</v>
      </c>
      <c r="AE856" t="s">
        <v>74</v>
      </c>
      <c r="AF856" t="s">
        <v>74</v>
      </c>
      <c r="AG856">
        <v>63</v>
      </c>
      <c r="AH856">
        <v>9</v>
      </c>
      <c r="AI856">
        <v>10</v>
      </c>
      <c r="AJ856">
        <v>0</v>
      </c>
      <c r="AK856">
        <v>21</v>
      </c>
      <c r="AL856" t="s">
        <v>16230</v>
      </c>
      <c r="AM856" t="s">
        <v>679</v>
      </c>
      <c r="AN856" t="s">
        <v>16231</v>
      </c>
      <c r="AO856" t="s">
        <v>16232</v>
      </c>
      <c r="AP856" t="s">
        <v>16233</v>
      </c>
      <c r="AQ856" t="s">
        <v>74</v>
      </c>
      <c r="AR856" t="s">
        <v>16234</v>
      </c>
      <c r="AS856" t="s">
        <v>16235</v>
      </c>
      <c r="AT856" t="s">
        <v>12678</v>
      </c>
      <c r="AU856">
        <v>2020</v>
      </c>
      <c r="AV856">
        <v>58</v>
      </c>
      <c r="AW856">
        <v>12</v>
      </c>
      <c r="AX856" t="s">
        <v>74</v>
      </c>
      <c r="AY856" t="s">
        <v>74</v>
      </c>
      <c r="AZ856" t="s">
        <v>74</v>
      </c>
      <c r="BA856" t="s">
        <v>74</v>
      </c>
      <c r="BB856">
        <v>1018</v>
      </c>
      <c r="BC856">
        <v>1026</v>
      </c>
      <c r="BD856" t="s">
        <v>74</v>
      </c>
      <c r="BE856" t="s">
        <v>16249</v>
      </c>
      <c r="BF856" t="str">
        <f>HYPERLINK("http://dx.doi.org/10.1007/s12275-020-0524-3","http://dx.doi.org/10.1007/s12275-020-0524-3")</f>
        <v>http://dx.doi.org/10.1007/s12275-020-0524-3</v>
      </c>
      <c r="BG856" t="s">
        <v>74</v>
      </c>
      <c r="BH856" t="s">
        <v>74</v>
      </c>
      <c r="BI856">
        <v>9</v>
      </c>
      <c r="BJ856" t="s">
        <v>3581</v>
      </c>
      <c r="BK856" t="s">
        <v>103</v>
      </c>
      <c r="BL856" t="s">
        <v>3581</v>
      </c>
      <c r="BM856" t="s">
        <v>16237</v>
      </c>
      <c r="BN856">
        <v>33263895</v>
      </c>
      <c r="BO856" t="s">
        <v>74</v>
      </c>
      <c r="BP856" t="s">
        <v>74</v>
      </c>
      <c r="BQ856" t="s">
        <v>74</v>
      </c>
      <c r="BR856" t="s">
        <v>106</v>
      </c>
      <c r="BS856" t="s">
        <v>16250</v>
      </c>
      <c r="BT856" t="str">
        <f>HYPERLINK("https%3A%2F%2Fwww.webofscience.com%2Fwos%2Fwoscc%2Ffull-record%2FWOS:000595382700005","View Full Record in Web of Science")</f>
        <v>View Full Record in Web of Science</v>
      </c>
    </row>
    <row r="857" spans="1:72" x14ac:dyDescent="0.15">
      <c r="A857" t="s">
        <v>72</v>
      </c>
      <c r="B857" t="s">
        <v>16251</v>
      </c>
      <c r="C857" t="s">
        <v>74</v>
      </c>
      <c r="D857" t="s">
        <v>74</v>
      </c>
      <c r="E857" t="s">
        <v>74</v>
      </c>
      <c r="F857" t="s">
        <v>16252</v>
      </c>
      <c r="G857" t="s">
        <v>74</v>
      </c>
      <c r="H857" t="s">
        <v>74</v>
      </c>
      <c r="I857" t="s">
        <v>16253</v>
      </c>
      <c r="J857" t="s">
        <v>1690</v>
      </c>
      <c r="K857" t="s">
        <v>74</v>
      </c>
      <c r="L857" t="s">
        <v>74</v>
      </c>
      <c r="M857" t="s">
        <v>78</v>
      </c>
      <c r="N857" t="s">
        <v>79</v>
      </c>
      <c r="O857" t="s">
        <v>74</v>
      </c>
      <c r="P857" t="s">
        <v>74</v>
      </c>
      <c r="Q857" t="s">
        <v>74</v>
      </c>
      <c r="R857" t="s">
        <v>74</v>
      </c>
      <c r="S857" t="s">
        <v>74</v>
      </c>
      <c r="T857" t="s">
        <v>16254</v>
      </c>
      <c r="U857" t="s">
        <v>16255</v>
      </c>
      <c r="V857" t="s">
        <v>16256</v>
      </c>
      <c r="W857" t="s">
        <v>16257</v>
      </c>
      <c r="X857" t="s">
        <v>16258</v>
      </c>
      <c r="Y857" t="s">
        <v>16259</v>
      </c>
      <c r="Z857" t="s">
        <v>16260</v>
      </c>
      <c r="AA857" t="s">
        <v>16261</v>
      </c>
      <c r="AB857" t="s">
        <v>16262</v>
      </c>
      <c r="AC857" t="s">
        <v>16263</v>
      </c>
      <c r="AD857" t="s">
        <v>16264</v>
      </c>
      <c r="AE857" t="s">
        <v>16265</v>
      </c>
      <c r="AF857" t="s">
        <v>74</v>
      </c>
      <c r="AG857">
        <v>71</v>
      </c>
      <c r="AH857">
        <v>3</v>
      </c>
      <c r="AI857">
        <v>3</v>
      </c>
      <c r="AJ857">
        <v>3</v>
      </c>
      <c r="AK857">
        <v>16</v>
      </c>
      <c r="AL857" t="s">
        <v>207</v>
      </c>
      <c r="AM857" t="s">
        <v>473</v>
      </c>
      <c r="AN857" t="s">
        <v>474</v>
      </c>
      <c r="AO857" t="s">
        <v>1702</v>
      </c>
      <c r="AP857" t="s">
        <v>1703</v>
      </c>
      <c r="AQ857" t="s">
        <v>74</v>
      </c>
      <c r="AR857" t="s">
        <v>1704</v>
      </c>
      <c r="AS857" t="s">
        <v>1705</v>
      </c>
      <c r="AT857" t="s">
        <v>374</v>
      </c>
      <c r="AU857">
        <v>2021</v>
      </c>
      <c r="AV857">
        <v>44</v>
      </c>
      <c r="AW857">
        <v>1</v>
      </c>
      <c r="AX857" t="s">
        <v>74</v>
      </c>
      <c r="AY857" t="s">
        <v>74</v>
      </c>
      <c r="AZ857" t="s">
        <v>74</v>
      </c>
      <c r="BA857" t="s">
        <v>74</v>
      </c>
      <c r="BB857">
        <v>17</v>
      </c>
      <c r="BC857">
        <v>30</v>
      </c>
      <c r="BD857" t="s">
        <v>74</v>
      </c>
      <c r="BE857" t="s">
        <v>16266</v>
      </c>
      <c r="BF857" t="str">
        <f>HYPERLINK("http://dx.doi.org/10.1007/s00300-020-02768-2","http://dx.doi.org/10.1007/s00300-020-02768-2")</f>
        <v>http://dx.doi.org/10.1007/s00300-020-02768-2</v>
      </c>
      <c r="BG857" t="s">
        <v>74</v>
      </c>
      <c r="BH857" t="s">
        <v>11309</v>
      </c>
      <c r="BI857">
        <v>14</v>
      </c>
      <c r="BJ857" t="s">
        <v>1052</v>
      </c>
      <c r="BK857" t="s">
        <v>103</v>
      </c>
      <c r="BL857" t="s">
        <v>1053</v>
      </c>
      <c r="BM857" t="s">
        <v>2655</v>
      </c>
      <c r="BN857" t="s">
        <v>74</v>
      </c>
      <c r="BO857" t="s">
        <v>1220</v>
      </c>
      <c r="BP857" t="s">
        <v>74</v>
      </c>
      <c r="BQ857" t="s">
        <v>74</v>
      </c>
      <c r="BR857" t="s">
        <v>106</v>
      </c>
      <c r="BS857" t="s">
        <v>16267</v>
      </c>
      <c r="BT857" t="str">
        <f>HYPERLINK("https%3A%2F%2Fwww.webofscience.com%2Fwos%2Fwoscc%2Ffull-record%2FWOS:000595035800001","View Full Record in Web of Science")</f>
        <v>View Full Record in Web of Science</v>
      </c>
    </row>
    <row r="858" spans="1:72" x14ac:dyDescent="0.15">
      <c r="A858" t="s">
        <v>72</v>
      </c>
      <c r="B858" t="s">
        <v>16268</v>
      </c>
      <c r="C858" t="s">
        <v>74</v>
      </c>
      <c r="D858" t="s">
        <v>74</v>
      </c>
      <c r="E858" t="s">
        <v>74</v>
      </c>
      <c r="F858" t="s">
        <v>16269</v>
      </c>
      <c r="G858" t="s">
        <v>74</v>
      </c>
      <c r="H858" t="s">
        <v>74</v>
      </c>
      <c r="I858" t="s">
        <v>16270</v>
      </c>
      <c r="J858" t="s">
        <v>16271</v>
      </c>
      <c r="K858" t="s">
        <v>74</v>
      </c>
      <c r="L858" t="s">
        <v>74</v>
      </c>
      <c r="M858" t="s">
        <v>78</v>
      </c>
      <c r="N858" t="s">
        <v>79</v>
      </c>
      <c r="O858" t="s">
        <v>74</v>
      </c>
      <c r="P858" t="s">
        <v>74</v>
      </c>
      <c r="Q858" t="s">
        <v>74</v>
      </c>
      <c r="R858" t="s">
        <v>74</v>
      </c>
      <c r="S858" t="s">
        <v>74</v>
      </c>
      <c r="T858" t="s">
        <v>16272</v>
      </c>
      <c r="U858" t="s">
        <v>16273</v>
      </c>
      <c r="V858" t="s">
        <v>16274</v>
      </c>
      <c r="W858" t="s">
        <v>16275</v>
      </c>
      <c r="X858" t="s">
        <v>16276</v>
      </c>
      <c r="Y858" t="s">
        <v>16277</v>
      </c>
      <c r="Z858" t="s">
        <v>16278</v>
      </c>
      <c r="AA858" t="s">
        <v>74</v>
      </c>
      <c r="AB858" t="s">
        <v>74</v>
      </c>
      <c r="AC858" t="s">
        <v>16279</v>
      </c>
      <c r="AD858" t="s">
        <v>16280</v>
      </c>
      <c r="AE858" t="s">
        <v>16281</v>
      </c>
      <c r="AF858" t="s">
        <v>74</v>
      </c>
      <c r="AG858">
        <v>47</v>
      </c>
      <c r="AH858">
        <v>20</v>
      </c>
      <c r="AI858">
        <v>21</v>
      </c>
      <c r="AJ858">
        <v>0</v>
      </c>
      <c r="AK858">
        <v>5</v>
      </c>
      <c r="AL858" t="s">
        <v>92</v>
      </c>
      <c r="AM858" t="s">
        <v>93</v>
      </c>
      <c r="AN858" t="s">
        <v>94</v>
      </c>
      <c r="AO858" t="s">
        <v>16282</v>
      </c>
      <c r="AP858" t="s">
        <v>16283</v>
      </c>
      <c r="AQ858" t="s">
        <v>74</v>
      </c>
      <c r="AR858" t="s">
        <v>16284</v>
      </c>
      <c r="AS858" t="s">
        <v>16285</v>
      </c>
      <c r="AT858" t="s">
        <v>12678</v>
      </c>
      <c r="AU858">
        <v>2020</v>
      </c>
      <c r="AV858">
        <v>26</v>
      </c>
      <c r="AW858" t="s">
        <v>74</v>
      </c>
      <c r="AX858" t="s">
        <v>74</v>
      </c>
      <c r="AY858" t="s">
        <v>74</v>
      </c>
      <c r="AZ858" t="s">
        <v>74</v>
      </c>
      <c r="BA858" t="s">
        <v>74</v>
      </c>
      <c r="BB858" t="s">
        <v>74</v>
      </c>
      <c r="BC858" t="s">
        <v>74</v>
      </c>
      <c r="BD858">
        <v>100606</v>
      </c>
      <c r="BE858" t="s">
        <v>16286</v>
      </c>
      <c r="BF858" t="str">
        <f>HYPERLINK("http://dx.doi.org/10.1016/j.polar.2020.100606","http://dx.doi.org/10.1016/j.polar.2020.100606")</f>
        <v>http://dx.doi.org/10.1016/j.polar.2020.100606</v>
      </c>
      <c r="BG858" t="s">
        <v>74</v>
      </c>
      <c r="BH858" t="s">
        <v>74</v>
      </c>
      <c r="BI858">
        <v>9</v>
      </c>
      <c r="BJ858" t="s">
        <v>3680</v>
      </c>
      <c r="BK858" t="s">
        <v>103</v>
      </c>
      <c r="BL858" t="s">
        <v>3681</v>
      </c>
      <c r="BM858" t="s">
        <v>16287</v>
      </c>
      <c r="BN858" t="s">
        <v>74</v>
      </c>
      <c r="BO858" t="s">
        <v>74</v>
      </c>
      <c r="BP858" t="s">
        <v>74</v>
      </c>
      <c r="BQ858" t="s">
        <v>74</v>
      </c>
      <c r="BR858" t="s">
        <v>106</v>
      </c>
      <c r="BS858" t="s">
        <v>16288</v>
      </c>
      <c r="BT858" t="str">
        <f>HYPERLINK("https%3A%2F%2Fwww.webofscience.com%2Fwos%2Fwoscc%2Ffull-record%2FWOS:000593925700003","View Full Record in Web of Science")</f>
        <v>View Full Record in Web of Science</v>
      </c>
    </row>
    <row r="859" spans="1:72" x14ac:dyDescent="0.15">
      <c r="A859" t="s">
        <v>72</v>
      </c>
      <c r="B859" t="s">
        <v>16289</v>
      </c>
      <c r="C859" t="s">
        <v>74</v>
      </c>
      <c r="D859" t="s">
        <v>74</v>
      </c>
      <c r="E859" t="s">
        <v>74</v>
      </c>
      <c r="F859" t="s">
        <v>16290</v>
      </c>
      <c r="G859" t="s">
        <v>74</v>
      </c>
      <c r="H859" t="s">
        <v>74</v>
      </c>
      <c r="I859" t="s">
        <v>16291</v>
      </c>
      <c r="J859" t="s">
        <v>16271</v>
      </c>
      <c r="K859" t="s">
        <v>74</v>
      </c>
      <c r="L859" t="s">
        <v>74</v>
      </c>
      <c r="M859" t="s">
        <v>78</v>
      </c>
      <c r="N859" t="s">
        <v>79</v>
      </c>
      <c r="O859" t="s">
        <v>74</v>
      </c>
      <c r="P859" t="s">
        <v>74</v>
      </c>
      <c r="Q859" t="s">
        <v>74</v>
      </c>
      <c r="R859" t="s">
        <v>74</v>
      </c>
      <c r="S859" t="s">
        <v>74</v>
      </c>
      <c r="T859" t="s">
        <v>16292</v>
      </c>
      <c r="U859" t="s">
        <v>16293</v>
      </c>
      <c r="V859" t="s">
        <v>16294</v>
      </c>
      <c r="W859" t="s">
        <v>16295</v>
      </c>
      <c r="X859" t="s">
        <v>74</v>
      </c>
      <c r="Y859" t="s">
        <v>16296</v>
      </c>
      <c r="Z859" t="s">
        <v>16297</v>
      </c>
      <c r="AA859" t="s">
        <v>16298</v>
      </c>
      <c r="AB859" t="s">
        <v>16299</v>
      </c>
      <c r="AC859" t="s">
        <v>74</v>
      </c>
      <c r="AD859" t="s">
        <v>74</v>
      </c>
      <c r="AE859" t="s">
        <v>74</v>
      </c>
      <c r="AF859" t="s">
        <v>74</v>
      </c>
      <c r="AG859">
        <v>67</v>
      </c>
      <c r="AH859">
        <v>0</v>
      </c>
      <c r="AI859">
        <v>0</v>
      </c>
      <c r="AJ859">
        <v>3</v>
      </c>
      <c r="AK859">
        <v>23</v>
      </c>
      <c r="AL859" t="s">
        <v>92</v>
      </c>
      <c r="AM859" t="s">
        <v>93</v>
      </c>
      <c r="AN859" t="s">
        <v>94</v>
      </c>
      <c r="AO859" t="s">
        <v>16282</v>
      </c>
      <c r="AP859" t="s">
        <v>16283</v>
      </c>
      <c r="AQ859" t="s">
        <v>74</v>
      </c>
      <c r="AR859" t="s">
        <v>16284</v>
      </c>
      <c r="AS859" t="s">
        <v>16285</v>
      </c>
      <c r="AT859" t="s">
        <v>12678</v>
      </c>
      <c r="AU859">
        <v>2020</v>
      </c>
      <c r="AV859">
        <v>26</v>
      </c>
      <c r="AW859" t="s">
        <v>74</v>
      </c>
      <c r="AX859" t="s">
        <v>74</v>
      </c>
      <c r="AY859" t="s">
        <v>74</v>
      </c>
      <c r="AZ859" t="s">
        <v>74</v>
      </c>
      <c r="BA859" t="s">
        <v>74</v>
      </c>
      <c r="BB859" t="s">
        <v>74</v>
      </c>
      <c r="BC859" t="s">
        <v>74</v>
      </c>
      <c r="BD859">
        <v>100590</v>
      </c>
      <c r="BE859" t="s">
        <v>16300</v>
      </c>
      <c r="BF859" t="str">
        <f>HYPERLINK("http://dx.doi.org/10.1016/j.polar.2020.100590","http://dx.doi.org/10.1016/j.polar.2020.100590")</f>
        <v>http://dx.doi.org/10.1016/j.polar.2020.100590</v>
      </c>
      <c r="BG859" t="s">
        <v>74</v>
      </c>
      <c r="BH859" t="s">
        <v>74</v>
      </c>
      <c r="BI859">
        <v>7</v>
      </c>
      <c r="BJ859" t="s">
        <v>3680</v>
      </c>
      <c r="BK859" t="s">
        <v>271</v>
      </c>
      <c r="BL859" t="s">
        <v>3681</v>
      </c>
      <c r="BM859" t="s">
        <v>16287</v>
      </c>
      <c r="BN859" t="s">
        <v>74</v>
      </c>
      <c r="BO859" t="s">
        <v>74</v>
      </c>
      <c r="BP859" t="s">
        <v>74</v>
      </c>
      <c r="BQ859" t="s">
        <v>74</v>
      </c>
      <c r="BR859" t="s">
        <v>106</v>
      </c>
      <c r="BS859" t="s">
        <v>16301</v>
      </c>
      <c r="BT859" t="str">
        <f>HYPERLINK("https%3A%2F%2Fwww.webofscience.com%2Fwos%2Fwoscc%2Ffull-record%2FWOS:000593925700006","View Full Record in Web of Science")</f>
        <v>View Full Record in Web of Science</v>
      </c>
    </row>
    <row r="860" spans="1:72" x14ac:dyDescent="0.15">
      <c r="A860" t="s">
        <v>72</v>
      </c>
      <c r="B860" t="s">
        <v>13414</v>
      </c>
      <c r="C860" t="s">
        <v>74</v>
      </c>
      <c r="D860" t="s">
        <v>74</v>
      </c>
      <c r="E860" t="s">
        <v>74</v>
      </c>
      <c r="F860" t="s">
        <v>13415</v>
      </c>
      <c r="G860" t="s">
        <v>74</v>
      </c>
      <c r="H860" t="s">
        <v>74</v>
      </c>
      <c r="I860" t="s">
        <v>16302</v>
      </c>
      <c r="J860" t="s">
        <v>16271</v>
      </c>
      <c r="K860" t="s">
        <v>74</v>
      </c>
      <c r="L860" t="s">
        <v>74</v>
      </c>
      <c r="M860" t="s">
        <v>78</v>
      </c>
      <c r="N860" t="s">
        <v>79</v>
      </c>
      <c r="O860" t="s">
        <v>74</v>
      </c>
      <c r="P860" t="s">
        <v>74</v>
      </c>
      <c r="Q860" t="s">
        <v>74</v>
      </c>
      <c r="R860" t="s">
        <v>74</v>
      </c>
      <c r="S860" t="s">
        <v>74</v>
      </c>
      <c r="T860" t="s">
        <v>16303</v>
      </c>
      <c r="U860" t="s">
        <v>16304</v>
      </c>
      <c r="V860" t="s">
        <v>16305</v>
      </c>
      <c r="W860" t="s">
        <v>13420</v>
      </c>
      <c r="X860" t="s">
        <v>13421</v>
      </c>
      <c r="Y860" t="s">
        <v>13422</v>
      </c>
      <c r="Z860" t="s">
        <v>16306</v>
      </c>
      <c r="AA860" t="s">
        <v>16307</v>
      </c>
      <c r="AB860" t="s">
        <v>16308</v>
      </c>
      <c r="AC860" t="s">
        <v>16309</v>
      </c>
      <c r="AD860" t="s">
        <v>16310</v>
      </c>
      <c r="AE860" t="s">
        <v>16311</v>
      </c>
      <c r="AF860" t="s">
        <v>74</v>
      </c>
      <c r="AG860">
        <v>80</v>
      </c>
      <c r="AH860">
        <v>5</v>
      </c>
      <c r="AI860">
        <v>5</v>
      </c>
      <c r="AJ860">
        <v>1</v>
      </c>
      <c r="AK860">
        <v>6</v>
      </c>
      <c r="AL860" t="s">
        <v>92</v>
      </c>
      <c r="AM860" t="s">
        <v>93</v>
      </c>
      <c r="AN860" t="s">
        <v>94</v>
      </c>
      <c r="AO860" t="s">
        <v>16282</v>
      </c>
      <c r="AP860" t="s">
        <v>16283</v>
      </c>
      <c r="AQ860" t="s">
        <v>74</v>
      </c>
      <c r="AR860" t="s">
        <v>16284</v>
      </c>
      <c r="AS860" t="s">
        <v>16285</v>
      </c>
      <c r="AT860" t="s">
        <v>12678</v>
      </c>
      <c r="AU860">
        <v>2020</v>
      </c>
      <c r="AV860">
        <v>26</v>
      </c>
      <c r="AW860" t="s">
        <v>74</v>
      </c>
      <c r="AX860" t="s">
        <v>74</v>
      </c>
      <c r="AY860" t="s">
        <v>74</v>
      </c>
      <c r="AZ860" t="s">
        <v>74</v>
      </c>
      <c r="BA860" t="s">
        <v>74</v>
      </c>
      <c r="BB860" t="s">
        <v>74</v>
      </c>
      <c r="BC860" t="s">
        <v>74</v>
      </c>
      <c r="BD860">
        <v>100566</v>
      </c>
      <c r="BE860" t="s">
        <v>16312</v>
      </c>
      <c r="BF860" t="str">
        <f>HYPERLINK("http://dx.doi.org/10.1016/j.polar.2020.100566","http://dx.doi.org/10.1016/j.polar.2020.100566")</f>
        <v>http://dx.doi.org/10.1016/j.polar.2020.100566</v>
      </c>
      <c r="BG860" t="s">
        <v>74</v>
      </c>
      <c r="BH860" t="s">
        <v>74</v>
      </c>
      <c r="BI860">
        <v>10</v>
      </c>
      <c r="BJ860" t="s">
        <v>3680</v>
      </c>
      <c r="BK860" t="s">
        <v>103</v>
      </c>
      <c r="BL860" t="s">
        <v>3681</v>
      </c>
      <c r="BM860" t="s">
        <v>16313</v>
      </c>
      <c r="BN860" t="s">
        <v>74</v>
      </c>
      <c r="BO860" t="s">
        <v>74</v>
      </c>
      <c r="BP860" t="s">
        <v>74</v>
      </c>
      <c r="BQ860" t="s">
        <v>74</v>
      </c>
      <c r="BR860" t="s">
        <v>106</v>
      </c>
      <c r="BS860" t="s">
        <v>16314</v>
      </c>
      <c r="BT860" t="str">
        <f>HYPERLINK("https%3A%2F%2Fwww.webofscience.com%2Fwos%2Fwoscc%2Ffull-record%2FWOS:000593925200002","View Full Record in Web of Science")</f>
        <v>View Full Record in Web of Science</v>
      </c>
    </row>
    <row r="861" spans="1:72" x14ac:dyDescent="0.15">
      <c r="A861" t="s">
        <v>72</v>
      </c>
      <c r="B861" t="s">
        <v>16315</v>
      </c>
      <c r="C861" t="s">
        <v>74</v>
      </c>
      <c r="D861" t="s">
        <v>74</v>
      </c>
      <c r="E861" t="s">
        <v>74</v>
      </c>
      <c r="F861" t="s">
        <v>16316</v>
      </c>
      <c r="G861" t="s">
        <v>74</v>
      </c>
      <c r="H861" t="s">
        <v>74</v>
      </c>
      <c r="I861" t="s">
        <v>16317</v>
      </c>
      <c r="J861" t="s">
        <v>16271</v>
      </c>
      <c r="K861" t="s">
        <v>74</v>
      </c>
      <c r="L861" t="s">
        <v>74</v>
      </c>
      <c r="M861" t="s">
        <v>78</v>
      </c>
      <c r="N861" t="s">
        <v>79</v>
      </c>
      <c r="O861" t="s">
        <v>74</v>
      </c>
      <c r="P861" t="s">
        <v>74</v>
      </c>
      <c r="Q861" t="s">
        <v>74</v>
      </c>
      <c r="R861" t="s">
        <v>74</v>
      </c>
      <c r="S861" t="s">
        <v>74</v>
      </c>
      <c r="T861" t="s">
        <v>16318</v>
      </c>
      <c r="U861" t="s">
        <v>74</v>
      </c>
      <c r="V861" t="s">
        <v>16319</v>
      </c>
      <c r="W861" t="s">
        <v>16320</v>
      </c>
      <c r="X861" t="s">
        <v>16321</v>
      </c>
      <c r="Y861" t="s">
        <v>16322</v>
      </c>
      <c r="Z861" t="s">
        <v>16323</v>
      </c>
      <c r="AA861" t="s">
        <v>16324</v>
      </c>
      <c r="AB861" t="s">
        <v>16325</v>
      </c>
      <c r="AC861" t="s">
        <v>16326</v>
      </c>
      <c r="AD861" t="s">
        <v>16327</v>
      </c>
      <c r="AE861" t="s">
        <v>16328</v>
      </c>
      <c r="AF861" t="s">
        <v>74</v>
      </c>
      <c r="AG861">
        <v>18</v>
      </c>
      <c r="AH861">
        <v>0</v>
      </c>
      <c r="AI861">
        <v>2</v>
      </c>
      <c r="AJ861">
        <v>2</v>
      </c>
      <c r="AK861">
        <v>4</v>
      </c>
      <c r="AL861" t="s">
        <v>92</v>
      </c>
      <c r="AM861" t="s">
        <v>93</v>
      </c>
      <c r="AN861" t="s">
        <v>94</v>
      </c>
      <c r="AO861" t="s">
        <v>16282</v>
      </c>
      <c r="AP861" t="s">
        <v>16283</v>
      </c>
      <c r="AQ861" t="s">
        <v>74</v>
      </c>
      <c r="AR861" t="s">
        <v>16284</v>
      </c>
      <c r="AS861" t="s">
        <v>16285</v>
      </c>
      <c r="AT861" t="s">
        <v>12678</v>
      </c>
      <c r="AU861">
        <v>2020</v>
      </c>
      <c r="AV861">
        <v>26</v>
      </c>
      <c r="AW861" t="s">
        <v>74</v>
      </c>
      <c r="AX861" t="s">
        <v>74</v>
      </c>
      <c r="AY861" t="s">
        <v>74</v>
      </c>
      <c r="AZ861" t="s">
        <v>74</v>
      </c>
      <c r="BA861" t="s">
        <v>74</v>
      </c>
      <c r="BB861" t="s">
        <v>74</v>
      </c>
      <c r="BC861" t="s">
        <v>74</v>
      </c>
      <c r="BD861">
        <v>100598</v>
      </c>
      <c r="BE861" t="s">
        <v>16329</v>
      </c>
      <c r="BF861" t="str">
        <f>HYPERLINK("http://dx.doi.org/10.1016/j.polar.2020.100598","http://dx.doi.org/10.1016/j.polar.2020.100598")</f>
        <v>http://dx.doi.org/10.1016/j.polar.2020.100598</v>
      </c>
      <c r="BG861" t="s">
        <v>74</v>
      </c>
      <c r="BH861" t="s">
        <v>74</v>
      </c>
      <c r="BI861">
        <v>5</v>
      </c>
      <c r="BJ861" t="s">
        <v>3680</v>
      </c>
      <c r="BK861" t="s">
        <v>103</v>
      </c>
      <c r="BL861" t="s">
        <v>3681</v>
      </c>
      <c r="BM861" t="s">
        <v>16313</v>
      </c>
      <c r="BN861" t="s">
        <v>74</v>
      </c>
      <c r="BO861" t="s">
        <v>74</v>
      </c>
      <c r="BP861" t="s">
        <v>74</v>
      </c>
      <c r="BQ861" t="s">
        <v>74</v>
      </c>
      <c r="BR861" t="s">
        <v>106</v>
      </c>
      <c r="BS861" t="s">
        <v>16330</v>
      </c>
      <c r="BT861" t="str">
        <f>HYPERLINK("https%3A%2F%2Fwww.webofscience.com%2Fwos%2Fwoscc%2Ffull-record%2FWOS:000593925200005","View Full Record in Web of Science")</f>
        <v>View Full Record in Web of Science</v>
      </c>
    </row>
    <row r="862" spans="1:72" x14ac:dyDescent="0.15">
      <c r="A862" t="s">
        <v>72</v>
      </c>
      <c r="B862" t="s">
        <v>16331</v>
      </c>
      <c r="C862" t="s">
        <v>74</v>
      </c>
      <c r="D862" t="s">
        <v>74</v>
      </c>
      <c r="E862" t="s">
        <v>74</v>
      </c>
      <c r="F862" t="s">
        <v>16332</v>
      </c>
      <c r="G862" t="s">
        <v>74</v>
      </c>
      <c r="H862" t="s">
        <v>74</v>
      </c>
      <c r="I862" t="s">
        <v>16333</v>
      </c>
      <c r="J862" t="s">
        <v>16271</v>
      </c>
      <c r="K862" t="s">
        <v>74</v>
      </c>
      <c r="L862" t="s">
        <v>74</v>
      </c>
      <c r="M862" t="s">
        <v>78</v>
      </c>
      <c r="N862" t="s">
        <v>79</v>
      </c>
      <c r="O862" t="s">
        <v>74</v>
      </c>
      <c r="P862" t="s">
        <v>74</v>
      </c>
      <c r="Q862" t="s">
        <v>74</v>
      </c>
      <c r="R862" t="s">
        <v>74</v>
      </c>
      <c r="S862" t="s">
        <v>74</v>
      </c>
      <c r="T862" t="s">
        <v>16334</v>
      </c>
      <c r="U862" t="s">
        <v>16335</v>
      </c>
      <c r="V862" t="s">
        <v>16336</v>
      </c>
      <c r="W862" t="s">
        <v>16337</v>
      </c>
      <c r="X862" t="s">
        <v>16338</v>
      </c>
      <c r="Y862" t="s">
        <v>16339</v>
      </c>
      <c r="Z862" t="s">
        <v>16340</v>
      </c>
      <c r="AA862" t="s">
        <v>16341</v>
      </c>
      <c r="AB862" t="s">
        <v>16342</v>
      </c>
      <c r="AC862" t="s">
        <v>16343</v>
      </c>
      <c r="AD862" t="s">
        <v>16344</v>
      </c>
      <c r="AE862" t="s">
        <v>16345</v>
      </c>
      <c r="AF862" t="s">
        <v>74</v>
      </c>
      <c r="AG862">
        <v>81</v>
      </c>
      <c r="AH862">
        <v>4</v>
      </c>
      <c r="AI862">
        <v>4</v>
      </c>
      <c r="AJ862">
        <v>2</v>
      </c>
      <c r="AK862">
        <v>14</v>
      </c>
      <c r="AL862" t="s">
        <v>92</v>
      </c>
      <c r="AM862" t="s">
        <v>93</v>
      </c>
      <c r="AN862" t="s">
        <v>94</v>
      </c>
      <c r="AO862" t="s">
        <v>16282</v>
      </c>
      <c r="AP862" t="s">
        <v>16283</v>
      </c>
      <c r="AQ862" t="s">
        <v>74</v>
      </c>
      <c r="AR862" t="s">
        <v>16284</v>
      </c>
      <c r="AS862" t="s">
        <v>16285</v>
      </c>
      <c r="AT862" t="s">
        <v>12678</v>
      </c>
      <c r="AU862">
        <v>2020</v>
      </c>
      <c r="AV862">
        <v>26</v>
      </c>
      <c r="AW862" t="s">
        <v>74</v>
      </c>
      <c r="AX862" t="s">
        <v>74</v>
      </c>
      <c r="AY862" t="s">
        <v>74</v>
      </c>
      <c r="AZ862" t="s">
        <v>74</v>
      </c>
      <c r="BA862" t="s">
        <v>74</v>
      </c>
      <c r="BB862" t="s">
        <v>74</v>
      </c>
      <c r="BC862" t="s">
        <v>74</v>
      </c>
      <c r="BD862">
        <v>100603</v>
      </c>
      <c r="BE862" t="s">
        <v>16346</v>
      </c>
      <c r="BF862" t="str">
        <f>HYPERLINK("http://dx.doi.org/10.1016/j.polar.2020.100603","http://dx.doi.org/10.1016/j.polar.2020.100603")</f>
        <v>http://dx.doi.org/10.1016/j.polar.2020.100603</v>
      </c>
      <c r="BG862" t="s">
        <v>74</v>
      </c>
      <c r="BH862" t="s">
        <v>74</v>
      </c>
      <c r="BI862">
        <v>14</v>
      </c>
      <c r="BJ862" t="s">
        <v>3680</v>
      </c>
      <c r="BK862" t="s">
        <v>103</v>
      </c>
      <c r="BL862" t="s">
        <v>3681</v>
      </c>
      <c r="BM862" t="s">
        <v>16287</v>
      </c>
      <c r="BN862" t="s">
        <v>74</v>
      </c>
      <c r="BO862" t="s">
        <v>218</v>
      </c>
      <c r="BP862" t="s">
        <v>74</v>
      </c>
      <c r="BQ862" t="s">
        <v>74</v>
      </c>
      <c r="BR862" t="s">
        <v>106</v>
      </c>
      <c r="BS862" t="s">
        <v>16347</v>
      </c>
      <c r="BT862" t="str">
        <f>HYPERLINK("https%3A%2F%2Fwww.webofscience.com%2Fwos%2Fwoscc%2Ffull-record%2FWOS:000593925700008","View Full Record in Web of Science")</f>
        <v>View Full Record in Web of Science</v>
      </c>
    </row>
    <row r="863" spans="1:72" x14ac:dyDescent="0.15">
      <c r="A863" t="s">
        <v>72</v>
      </c>
      <c r="B863" t="s">
        <v>16348</v>
      </c>
      <c r="C863" t="s">
        <v>74</v>
      </c>
      <c r="D863" t="s">
        <v>74</v>
      </c>
      <c r="E863" t="s">
        <v>74</v>
      </c>
      <c r="F863" t="s">
        <v>16349</v>
      </c>
      <c r="G863" t="s">
        <v>74</v>
      </c>
      <c r="H863" t="s">
        <v>74</v>
      </c>
      <c r="I863" t="s">
        <v>16350</v>
      </c>
      <c r="J863" t="s">
        <v>16351</v>
      </c>
      <c r="K863" t="s">
        <v>74</v>
      </c>
      <c r="L863" t="s">
        <v>74</v>
      </c>
      <c r="M863" t="s">
        <v>78</v>
      </c>
      <c r="N863" t="s">
        <v>79</v>
      </c>
      <c r="O863" t="s">
        <v>74</v>
      </c>
      <c r="P863" t="s">
        <v>74</v>
      </c>
      <c r="Q863" t="s">
        <v>74</v>
      </c>
      <c r="R863" t="s">
        <v>74</v>
      </c>
      <c r="S863" t="s">
        <v>74</v>
      </c>
      <c r="T863" t="s">
        <v>16352</v>
      </c>
      <c r="U863" t="s">
        <v>16353</v>
      </c>
      <c r="V863" t="s">
        <v>16354</v>
      </c>
      <c r="W863" t="s">
        <v>16355</v>
      </c>
      <c r="X863" t="s">
        <v>16356</v>
      </c>
      <c r="Y863" t="s">
        <v>16357</v>
      </c>
      <c r="Z863" t="s">
        <v>16358</v>
      </c>
      <c r="AA863" t="s">
        <v>16359</v>
      </c>
      <c r="AB863" t="s">
        <v>16360</v>
      </c>
      <c r="AC863" t="s">
        <v>16361</v>
      </c>
      <c r="AD863" t="s">
        <v>16362</v>
      </c>
      <c r="AE863" t="s">
        <v>16363</v>
      </c>
      <c r="AF863" t="s">
        <v>74</v>
      </c>
      <c r="AG863">
        <v>97</v>
      </c>
      <c r="AH863">
        <v>3</v>
      </c>
      <c r="AI863">
        <v>4</v>
      </c>
      <c r="AJ863">
        <v>2</v>
      </c>
      <c r="AK863">
        <v>27</v>
      </c>
      <c r="AL863" t="s">
        <v>177</v>
      </c>
      <c r="AM863" t="s">
        <v>178</v>
      </c>
      <c r="AN863" t="s">
        <v>179</v>
      </c>
      <c r="AO863" t="s">
        <v>16364</v>
      </c>
      <c r="AP863" t="s">
        <v>16365</v>
      </c>
      <c r="AQ863" t="s">
        <v>74</v>
      </c>
      <c r="AR863" t="s">
        <v>16366</v>
      </c>
      <c r="AS863" t="s">
        <v>16367</v>
      </c>
      <c r="AT863" t="s">
        <v>12678</v>
      </c>
      <c r="AU863">
        <v>2020</v>
      </c>
      <c r="AV863">
        <v>156</v>
      </c>
      <c r="AW863" t="s">
        <v>74</v>
      </c>
      <c r="AX863" t="s">
        <v>74</v>
      </c>
      <c r="AY863" t="s">
        <v>74</v>
      </c>
      <c r="AZ863" t="s">
        <v>74</v>
      </c>
      <c r="BA863" t="s">
        <v>74</v>
      </c>
      <c r="BB863" t="s">
        <v>74</v>
      </c>
      <c r="BC863" t="s">
        <v>74</v>
      </c>
      <c r="BD863">
        <v>101712</v>
      </c>
      <c r="BE863" t="s">
        <v>16368</v>
      </c>
      <c r="BF863" t="str">
        <f>HYPERLINK("http://dx.doi.org/10.1016/j.ocemod.2020.101712","http://dx.doi.org/10.1016/j.ocemod.2020.101712")</f>
        <v>http://dx.doi.org/10.1016/j.ocemod.2020.101712</v>
      </c>
      <c r="BG863" t="s">
        <v>74</v>
      </c>
      <c r="BH863" t="s">
        <v>74</v>
      </c>
      <c r="BI863">
        <v>17</v>
      </c>
      <c r="BJ863" t="s">
        <v>938</v>
      </c>
      <c r="BK863" t="s">
        <v>103</v>
      </c>
      <c r="BL863" t="s">
        <v>938</v>
      </c>
      <c r="BM863" t="s">
        <v>16369</v>
      </c>
      <c r="BN863" t="s">
        <v>74</v>
      </c>
      <c r="BO863" t="s">
        <v>189</v>
      </c>
      <c r="BP863" t="s">
        <v>74</v>
      </c>
      <c r="BQ863" t="s">
        <v>74</v>
      </c>
      <c r="BR863" t="s">
        <v>106</v>
      </c>
      <c r="BS863" t="s">
        <v>16370</v>
      </c>
      <c r="BT863" t="str">
        <f>HYPERLINK("https%3A%2F%2Fwww.webofscience.com%2Fwos%2Fwoscc%2Ffull-record%2FWOS:000593758200006","View Full Record in Web of Science")</f>
        <v>View Full Record in Web of Science</v>
      </c>
    </row>
    <row r="864" spans="1:72" x14ac:dyDescent="0.15">
      <c r="A864" t="s">
        <v>72</v>
      </c>
      <c r="B864" t="s">
        <v>16371</v>
      </c>
      <c r="C864" t="s">
        <v>74</v>
      </c>
      <c r="D864" t="s">
        <v>74</v>
      </c>
      <c r="E864" t="s">
        <v>74</v>
      </c>
      <c r="F864" t="s">
        <v>16372</v>
      </c>
      <c r="G864" t="s">
        <v>74</v>
      </c>
      <c r="H864" t="s">
        <v>74</v>
      </c>
      <c r="I864" t="s">
        <v>16373</v>
      </c>
      <c r="J864" t="s">
        <v>2233</v>
      </c>
      <c r="K864" t="s">
        <v>74</v>
      </c>
      <c r="L864" t="s">
        <v>74</v>
      </c>
      <c r="M864" t="s">
        <v>78</v>
      </c>
      <c r="N864" t="s">
        <v>79</v>
      </c>
      <c r="O864" t="s">
        <v>74</v>
      </c>
      <c r="P864" t="s">
        <v>74</v>
      </c>
      <c r="Q864" t="s">
        <v>74</v>
      </c>
      <c r="R864" t="s">
        <v>74</v>
      </c>
      <c r="S864" t="s">
        <v>74</v>
      </c>
      <c r="T864" t="s">
        <v>16374</v>
      </c>
      <c r="U864" t="s">
        <v>16375</v>
      </c>
      <c r="V864" t="s">
        <v>16376</v>
      </c>
      <c r="W864" t="s">
        <v>16377</v>
      </c>
      <c r="X864" t="s">
        <v>16378</v>
      </c>
      <c r="Y864" t="s">
        <v>16379</v>
      </c>
      <c r="Z864" t="s">
        <v>16380</v>
      </c>
      <c r="AA864" t="s">
        <v>74</v>
      </c>
      <c r="AB864" t="s">
        <v>16381</v>
      </c>
      <c r="AC864" t="s">
        <v>16382</v>
      </c>
      <c r="AD864" t="s">
        <v>16383</v>
      </c>
      <c r="AE864" t="s">
        <v>16384</v>
      </c>
      <c r="AF864" t="s">
        <v>74</v>
      </c>
      <c r="AG864">
        <v>84</v>
      </c>
      <c r="AH864">
        <v>7</v>
      </c>
      <c r="AI864">
        <v>7</v>
      </c>
      <c r="AJ864">
        <v>1</v>
      </c>
      <c r="AK864">
        <v>21</v>
      </c>
      <c r="AL864" t="s">
        <v>418</v>
      </c>
      <c r="AM864" t="s">
        <v>178</v>
      </c>
      <c r="AN864" t="s">
        <v>419</v>
      </c>
      <c r="AO864" t="s">
        <v>2245</v>
      </c>
      <c r="AP864" t="s">
        <v>2246</v>
      </c>
      <c r="AQ864" t="s">
        <v>74</v>
      </c>
      <c r="AR864" t="s">
        <v>2247</v>
      </c>
      <c r="AS864" t="s">
        <v>2248</v>
      </c>
      <c r="AT864" t="s">
        <v>12678</v>
      </c>
      <c r="AU864">
        <v>2020</v>
      </c>
      <c r="AV864">
        <v>166</v>
      </c>
      <c r="AW864" t="s">
        <v>74</v>
      </c>
      <c r="AX864" t="s">
        <v>74</v>
      </c>
      <c r="AY864" t="s">
        <v>74</v>
      </c>
      <c r="AZ864" t="s">
        <v>74</v>
      </c>
      <c r="BA864" t="s">
        <v>74</v>
      </c>
      <c r="BB864" t="s">
        <v>74</v>
      </c>
      <c r="BC864" t="s">
        <v>74</v>
      </c>
      <c r="BD864">
        <v>103363</v>
      </c>
      <c r="BE864" t="s">
        <v>16385</v>
      </c>
      <c r="BF864" t="str">
        <f>HYPERLINK("http://dx.doi.org/10.1016/j.dsr.2020.103363","http://dx.doi.org/10.1016/j.dsr.2020.103363")</f>
        <v>http://dx.doi.org/10.1016/j.dsr.2020.103363</v>
      </c>
      <c r="BG864" t="s">
        <v>74</v>
      </c>
      <c r="BH864" t="s">
        <v>74</v>
      </c>
      <c r="BI864">
        <v>13</v>
      </c>
      <c r="BJ864" t="s">
        <v>2250</v>
      </c>
      <c r="BK864" t="s">
        <v>103</v>
      </c>
      <c r="BL864" t="s">
        <v>2250</v>
      </c>
      <c r="BM864" t="s">
        <v>16386</v>
      </c>
      <c r="BN864" t="s">
        <v>74</v>
      </c>
      <c r="BO864" t="s">
        <v>428</v>
      </c>
      <c r="BP864" t="s">
        <v>74</v>
      </c>
      <c r="BQ864" t="s">
        <v>74</v>
      </c>
      <c r="BR864" t="s">
        <v>106</v>
      </c>
      <c r="BS864" t="s">
        <v>16387</v>
      </c>
      <c r="BT864" t="str">
        <f>HYPERLINK("https%3A%2F%2Fwww.webofscience.com%2Fwos%2Fwoscc%2Ffull-record%2FWOS:000591699100003","View Full Record in Web of Science")</f>
        <v>View Full Record in Web of Science</v>
      </c>
    </row>
    <row r="865" spans="1:72" x14ac:dyDescent="0.15">
      <c r="A865" t="s">
        <v>72</v>
      </c>
      <c r="B865" t="s">
        <v>16388</v>
      </c>
      <c r="C865" t="s">
        <v>74</v>
      </c>
      <c r="D865" t="s">
        <v>74</v>
      </c>
      <c r="E865" t="s">
        <v>74</v>
      </c>
      <c r="F865" t="s">
        <v>16389</v>
      </c>
      <c r="G865" t="s">
        <v>74</v>
      </c>
      <c r="H865" t="s">
        <v>74</v>
      </c>
      <c r="I865" t="s">
        <v>16390</v>
      </c>
      <c r="J865" t="s">
        <v>2233</v>
      </c>
      <c r="K865" t="s">
        <v>74</v>
      </c>
      <c r="L865" t="s">
        <v>74</v>
      </c>
      <c r="M865" t="s">
        <v>78</v>
      </c>
      <c r="N865" t="s">
        <v>79</v>
      </c>
      <c r="O865" t="s">
        <v>74</v>
      </c>
      <c r="P865" t="s">
        <v>74</v>
      </c>
      <c r="Q865" t="s">
        <v>74</v>
      </c>
      <c r="R865" t="s">
        <v>74</v>
      </c>
      <c r="S865" t="s">
        <v>74</v>
      </c>
      <c r="T865" t="s">
        <v>16391</v>
      </c>
      <c r="U865" t="s">
        <v>16392</v>
      </c>
      <c r="V865" t="s">
        <v>16393</v>
      </c>
      <c r="W865" t="s">
        <v>16394</v>
      </c>
      <c r="X865" t="s">
        <v>16395</v>
      </c>
      <c r="Y865" t="s">
        <v>16396</v>
      </c>
      <c r="Z865" t="s">
        <v>16397</v>
      </c>
      <c r="AA865" t="s">
        <v>16398</v>
      </c>
      <c r="AB865" t="s">
        <v>16399</v>
      </c>
      <c r="AC865" t="s">
        <v>16400</v>
      </c>
      <c r="AD865" t="s">
        <v>16401</v>
      </c>
      <c r="AE865" t="s">
        <v>16402</v>
      </c>
      <c r="AF865" t="s">
        <v>74</v>
      </c>
      <c r="AG865">
        <v>127</v>
      </c>
      <c r="AH865">
        <v>10</v>
      </c>
      <c r="AI865">
        <v>11</v>
      </c>
      <c r="AJ865">
        <v>0</v>
      </c>
      <c r="AK865">
        <v>25</v>
      </c>
      <c r="AL865" t="s">
        <v>418</v>
      </c>
      <c r="AM865" t="s">
        <v>178</v>
      </c>
      <c r="AN865" t="s">
        <v>419</v>
      </c>
      <c r="AO865" t="s">
        <v>2245</v>
      </c>
      <c r="AP865" t="s">
        <v>2246</v>
      </c>
      <c r="AQ865" t="s">
        <v>74</v>
      </c>
      <c r="AR865" t="s">
        <v>2247</v>
      </c>
      <c r="AS865" t="s">
        <v>2248</v>
      </c>
      <c r="AT865" t="s">
        <v>12678</v>
      </c>
      <c r="AU865">
        <v>2020</v>
      </c>
      <c r="AV865">
        <v>166</v>
      </c>
      <c r="AW865" t="s">
        <v>74</v>
      </c>
      <c r="AX865" t="s">
        <v>74</v>
      </c>
      <c r="AY865" t="s">
        <v>74</v>
      </c>
      <c r="AZ865" t="s">
        <v>74</v>
      </c>
      <c r="BA865" t="s">
        <v>74</v>
      </c>
      <c r="BB865" t="s">
        <v>74</v>
      </c>
      <c r="BC865" t="s">
        <v>74</v>
      </c>
      <c r="BD865">
        <v>103421</v>
      </c>
      <c r="BE865" t="s">
        <v>16403</v>
      </c>
      <c r="BF865" t="str">
        <f>HYPERLINK("http://dx.doi.org/10.1016/j.dsr.2020.103421","http://dx.doi.org/10.1016/j.dsr.2020.103421")</f>
        <v>http://dx.doi.org/10.1016/j.dsr.2020.103421</v>
      </c>
      <c r="BG865" t="s">
        <v>74</v>
      </c>
      <c r="BH865" t="s">
        <v>74</v>
      </c>
      <c r="BI865">
        <v>20</v>
      </c>
      <c r="BJ865" t="s">
        <v>2250</v>
      </c>
      <c r="BK865" t="s">
        <v>103</v>
      </c>
      <c r="BL865" t="s">
        <v>2250</v>
      </c>
      <c r="BM865" t="s">
        <v>16404</v>
      </c>
      <c r="BN865" t="s">
        <v>74</v>
      </c>
      <c r="BO865" t="s">
        <v>74</v>
      </c>
      <c r="BP865" t="s">
        <v>74</v>
      </c>
      <c r="BQ865" t="s">
        <v>74</v>
      </c>
      <c r="BR865" t="s">
        <v>106</v>
      </c>
      <c r="BS865" t="s">
        <v>16405</v>
      </c>
      <c r="BT865" t="str">
        <f>HYPERLINK("https%3A%2F%2Fwww.webofscience.com%2Fwos%2Fwoscc%2Ffull-record%2FWOS:000591698900001","View Full Record in Web of Science")</f>
        <v>View Full Record in Web of Science</v>
      </c>
    </row>
    <row r="866" spans="1:72" x14ac:dyDescent="0.15">
      <c r="A866" t="s">
        <v>72</v>
      </c>
      <c r="B866" t="s">
        <v>16406</v>
      </c>
      <c r="C866" t="s">
        <v>74</v>
      </c>
      <c r="D866" t="s">
        <v>74</v>
      </c>
      <c r="E866" t="s">
        <v>74</v>
      </c>
      <c r="F866" t="s">
        <v>16407</v>
      </c>
      <c r="G866" t="s">
        <v>74</v>
      </c>
      <c r="H866" t="s">
        <v>74</v>
      </c>
      <c r="I866" t="s">
        <v>16408</v>
      </c>
      <c r="J866" t="s">
        <v>9227</v>
      </c>
      <c r="K866" t="s">
        <v>74</v>
      </c>
      <c r="L866" t="s">
        <v>74</v>
      </c>
      <c r="M866" t="s">
        <v>78</v>
      </c>
      <c r="N866" t="s">
        <v>79</v>
      </c>
      <c r="O866" t="s">
        <v>74</v>
      </c>
      <c r="P866" t="s">
        <v>74</v>
      </c>
      <c r="Q866" t="s">
        <v>74</v>
      </c>
      <c r="R866" t="s">
        <v>74</v>
      </c>
      <c r="S866" t="s">
        <v>74</v>
      </c>
      <c r="T866" t="s">
        <v>16409</v>
      </c>
      <c r="U866" t="s">
        <v>16410</v>
      </c>
      <c r="V866" t="s">
        <v>16411</v>
      </c>
      <c r="W866" t="s">
        <v>16412</v>
      </c>
      <c r="X866" t="s">
        <v>10131</v>
      </c>
      <c r="Y866" t="s">
        <v>16413</v>
      </c>
      <c r="Z866" t="s">
        <v>16414</v>
      </c>
      <c r="AA866" t="s">
        <v>16415</v>
      </c>
      <c r="AB866" t="s">
        <v>16416</v>
      </c>
      <c r="AC866" t="s">
        <v>16417</v>
      </c>
      <c r="AD866" t="s">
        <v>16418</v>
      </c>
      <c r="AE866" t="s">
        <v>16419</v>
      </c>
      <c r="AF866" t="s">
        <v>74</v>
      </c>
      <c r="AG866">
        <v>114</v>
      </c>
      <c r="AH866">
        <v>6</v>
      </c>
      <c r="AI866">
        <v>7</v>
      </c>
      <c r="AJ866">
        <v>3</v>
      </c>
      <c r="AK866">
        <v>13</v>
      </c>
      <c r="AL866" t="s">
        <v>92</v>
      </c>
      <c r="AM866" t="s">
        <v>93</v>
      </c>
      <c r="AN866" t="s">
        <v>94</v>
      </c>
      <c r="AO866" t="s">
        <v>9240</v>
      </c>
      <c r="AP866" t="s">
        <v>9241</v>
      </c>
      <c r="AQ866" t="s">
        <v>74</v>
      </c>
      <c r="AR866" t="s">
        <v>9242</v>
      </c>
      <c r="AS866" t="s">
        <v>9243</v>
      </c>
      <c r="AT866" t="s">
        <v>12678</v>
      </c>
      <c r="AU866">
        <v>2020</v>
      </c>
      <c r="AV866">
        <v>195</v>
      </c>
      <c r="AW866" t="s">
        <v>74</v>
      </c>
      <c r="AX866" t="s">
        <v>74</v>
      </c>
      <c r="AY866" t="s">
        <v>74</v>
      </c>
      <c r="AZ866" t="s">
        <v>74</v>
      </c>
      <c r="BA866" t="s">
        <v>74</v>
      </c>
      <c r="BB866" t="s">
        <v>74</v>
      </c>
      <c r="BC866" t="s">
        <v>74</v>
      </c>
      <c r="BD866">
        <v>103302</v>
      </c>
      <c r="BE866" t="s">
        <v>16420</v>
      </c>
      <c r="BF866" t="str">
        <f>HYPERLINK("http://dx.doi.org/10.1016/j.gloplacha.2020.103302","http://dx.doi.org/10.1016/j.gloplacha.2020.103302")</f>
        <v>http://dx.doi.org/10.1016/j.gloplacha.2020.103302</v>
      </c>
      <c r="BG866" t="s">
        <v>74</v>
      </c>
      <c r="BH866" t="s">
        <v>74</v>
      </c>
      <c r="BI866">
        <v>13</v>
      </c>
      <c r="BJ866" t="s">
        <v>156</v>
      </c>
      <c r="BK866" t="s">
        <v>103</v>
      </c>
      <c r="BL866" t="s">
        <v>157</v>
      </c>
      <c r="BM866" t="s">
        <v>16421</v>
      </c>
      <c r="BN866" t="s">
        <v>74</v>
      </c>
      <c r="BO866" t="s">
        <v>74</v>
      </c>
      <c r="BP866" t="s">
        <v>74</v>
      </c>
      <c r="BQ866" t="s">
        <v>74</v>
      </c>
      <c r="BR866" t="s">
        <v>106</v>
      </c>
      <c r="BS866" t="s">
        <v>16422</v>
      </c>
      <c r="BT866" t="str">
        <f>HYPERLINK("https%3A%2F%2Fwww.webofscience.com%2Fwos%2Fwoscc%2Ffull-record%2FWOS:000592359700003","View Full Record in Web of Science")</f>
        <v>View Full Record in Web of Science</v>
      </c>
    </row>
    <row r="867" spans="1:72" x14ac:dyDescent="0.15">
      <c r="A867" t="s">
        <v>72</v>
      </c>
      <c r="B867" t="s">
        <v>16423</v>
      </c>
      <c r="C867" t="s">
        <v>74</v>
      </c>
      <c r="D867" t="s">
        <v>74</v>
      </c>
      <c r="E867" t="s">
        <v>74</v>
      </c>
      <c r="F867" t="s">
        <v>16424</v>
      </c>
      <c r="G867" t="s">
        <v>74</v>
      </c>
      <c r="H867" t="s">
        <v>74</v>
      </c>
      <c r="I867" t="s">
        <v>16425</v>
      </c>
      <c r="J867" t="s">
        <v>14058</v>
      </c>
      <c r="K867" t="s">
        <v>74</v>
      </c>
      <c r="L867" t="s">
        <v>74</v>
      </c>
      <c r="M867" t="s">
        <v>78</v>
      </c>
      <c r="N867" t="s">
        <v>79</v>
      </c>
      <c r="O867" t="s">
        <v>74</v>
      </c>
      <c r="P867" t="s">
        <v>74</v>
      </c>
      <c r="Q867" t="s">
        <v>74</v>
      </c>
      <c r="R867" t="s">
        <v>74</v>
      </c>
      <c r="S867" t="s">
        <v>74</v>
      </c>
      <c r="T867" t="s">
        <v>16426</v>
      </c>
      <c r="U867" t="s">
        <v>16427</v>
      </c>
      <c r="V867" t="s">
        <v>16428</v>
      </c>
      <c r="W867" t="s">
        <v>16429</v>
      </c>
      <c r="X867" t="s">
        <v>16430</v>
      </c>
      <c r="Y867" t="s">
        <v>16431</v>
      </c>
      <c r="Z867" t="s">
        <v>16432</v>
      </c>
      <c r="AA867" t="s">
        <v>74</v>
      </c>
      <c r="AB867" t="s">
        <v>16433</v>
      </c>
      <c r="AC867" t="s">
        <v>16434</v>
      </c>
      <c r="AD867" t="s">
        <v>16434</v>
      </c>
      <c r="AE867" t="s">
        <v>16435</v>
      </c>
      <c r="AF867" t="s">
        <v>74</v>
      </c>
      <c r="AG867">
        <v>112</v>
      </c>
      <c r="AH867">
        <v>4</v>
      </c>
      <c r="AI867">
        <v>5</v>
      </c>
      <c r="AJ867">
        <v>2</v>
      </c>
      <c r="AK867">
        <v>14</v>
      </c>
      <c r="AL867" t="s">
        <v>1210</v>
      </c>
      <c r="AM867" t="s">
        <v>264</v>
      </c>
      <c r="AN867" t="s">
        <v>8391</v>
      </c>
      <c r="AO867" t="s">
        <v>14071</v>
      </c>
      <c r="AP867" t="s">
        <v>14072</v>
      </c>
      <c r="AQ867" t="s">
        <v>74</v>
      </c>
      <c r="AR867" t="s">
        <v>14073</v>
      </c>
      <c r="AS867" t="s">
        <v>14074</v>
      </c>
      <c r="AT867" t="s">
        <v>12678</v>
      </c>
      <c r="AU867">
        <v>2020</v>
      </c>
      <c r="AV867">
        <v>66</v>
      </c>
      <c r="AW867">
        <v>260</v>
      </c>
      <c r="AX867" t="s">
        <v>74</v>
      </c>
      <c r="AY867" t="s">
        <v>74</v>
      </c>
      <c r="AZ867" t="s">
        <v>74</v>
      </c>
      <c r="BA867" t="s">
        <v>74</v>
      </c>
      <c r="BB867">
        <v>978</v>
      </c>
      <c r="BC867">
        <v>995</v>
      </c>
      <c r="BD867" t="s">
        <v>16436</v>
      </c>
      <c r="BE867" t="s">
        <v>16437</v>
      </c>
      <c r="BF867" t="str">
        <f>HYPERLINK("http://dx.doi.org/10.1017/jog.2020.57","http://dx.doi.org/10.1017/jog.2020.57")</f>
        <v>http://dx.doi.org/10.1017/jog.2020.57</v>
      </c>
      <c r="BG867" t="s">
        <v>74</v>
      </c>
      <c r="BH867" t="s">
        <v>74</v>
      </c>
      <c r="BI867">
        <v>18</v>
      </c>
      <c r="BJ867" t="s">
        <v>156</v>
      </c>
      <c r="BK867" t="s">
        <v>103</v>
      </c>
      <c r="BL867" t="s">
        <v>157</v>
      </c>
      <c r="BM867" t="s">
        <v>14077</v>
      </c>
      <c r="BN867" t="s">
        <v>74</v>
      </c>
      <c r="BO867" t="s">
        <v>326</v>
      </c>
      <c r="BP867" t="s">
        <v>74</v>
      </c>
      <c r="BQ867" t="s">
        <v>74</v>
      </c>
      <c r="BR867" t="s">
        <v>106</v>
      </c>
      <c r="BS867" t="s">
        <v>16438</v>
      </c>
      <c r="BT867" t="str">
        <f>HYPERLINK("https%3A%2F%2Fwww.webofscience.com%2Fwos%2Fwoscc%2Ffull-record%2FWOS:000592212900008","View Full Record in Web of Science")</f>
        <v>View Full Record in Web of Science</v>
      </c>
    </row>
    <row r="868" spans="1:72" x14ac:dyDescent="0.15">
      <c r="A868" t="s">
        <v>72</v>
      </c>
      <c r="B868" t="s">
        <v>16439</v>
      </c>
      <c r="C868" t="s">
        <v>74</v>
      </c>
      <c r="D868" t="s">
        <v>74</v>
      </c>
      <c r="E868" t="s">
        <v>74</v>
      </c>
      <c r="F868" t="s">
        <v>16440</v>
      </c>
      <c r="G868" t="s">
        <v>74</v>
      </c>
      <c r="H868" t="s">
        <v>74</v>
      </c>
      <c r="I868" t="s">
        <v>16441</v>
      </c>
      <c r="J868" t="s">
        <v>14058</v>
      </c>
      <c r="K868" t="s">
        <v>74</v>
      </c>
      <c r="L868" t="s">
        <v>74</v>
      </c>
      <c r="M868" t="s">
        <v>78</v>
      </c>
      <c r="N868" t="s">
        <v>79</v>
      </c>
      <c r="O868" t="s">
        <v>74</v>
      </c>
      <c r="P868" t="s">
        <v>74</v>
      </c>
      <c r="Q868" t="s">
        <v>74</v>
      </c>
      <c r="R868" t="s">
        <v>74</v>
      </c>
      <c r="S868" t="s">
        <v>74</v>
      </c>
      <c r="T868" t="s">
        <v>16442</v>
      </c>
      <c r="U868" t="s">
        <v>16443</v>
      </c>
      <c r="V868" t="s">
        <v>16444</v>
      </c>
      <c r="W868" t="s">
        <v>16445</v>
      </c>
      <c r="X868" t="s">
        <v>16446</v>
      </c>
      <c r="Y868" t="s">
        <v>16447</v>
      </c>
      <c r="Z868" t="s">
        <v>16448</v>
      </c>
      <c r="AA868" t="s">
        <v>16449</v>
      </c>
      <c r="AB868" t="s">
        <v>16450</v>
      </c>
      <c r="AC868" t="s">
        <v>16451</v>
      </c>
      <c r="AD868" t="s">
        <v>16452</v>
      </c>
      <c r="AE868" t="s">
        <v>16453</v>
      </c>
      <c r="AF868" t="s">
        <v>74</v>
      </c>
      <c r="AG868">
        <v>93</v>
      </c>
      <c r="AH868">
        <v>18</v>
      </c>
      <c r="AI868">
        <v>18</v>
      </c>
      <c r="AJ868">
        <v>0</v>
      </c>
      <c r="AK868">
        <v>6</v>
      </c>
      <c r="AL868" t="s">
        <v>1210</v>
      </c>
      <c r="AM868" t="s">
        <v>264</v>
      </c>
      <c r="AN868" t="s">
        <v>8391</v>
      </c>
      <c r="AO868" t="s">
        <v>14071</v>
      </c>
      <c r="AP868" t="s">
        <v>14072</v>
      </c>
      <c r="AQ868" t="s">
        <v>74</v>
      </c>
      <c r="AR868" t="s">
        <v>14073</v>
      </c>
      <c r="AS868" t="s">
        <v>14074</v>
      </c>
      <c r="AT868" t="s">
        <v>12678</v>
      </c>
      <c r="AU868">
        <v>2020</v>
      </c>
      <c r="AV868">
        <v>66</v>
      </c>
      <c r="AW868">
        <v>260</v>
      </c>
      <c r="AX868" t="s">
        <v>74</v>
      </c>
      <c r="AY868" t="s">
        <v>74</v>
      </c>
      <c r="AZ868" t="s">
        <v>74</v>
      </c>
      <c r="BA868" t="s">
        <v>74</v>
      </c>
      <c r="BB868">
        <v>1064</v>
      </c>
      <c r="BC868">
        <v>1078</v>
      </c>
      <c r="BD868" t="s">
        <v>16454</v>
      </c>
      <c r="BE868" t="s">
        <v>16455</v>
      </c>
      <c r="BF868" t="str">
        <f>HYPERLINK("http://dx.doi.org/10.1017/jog.2020.77","http://dx.doi.org/10.1017/jog.2020.77")</f>
        <v>http://dx.doi.org/10.1017/jog.2020.77</v>
      </c>
      <c r="BG868" t="s">
        <v>74</v>
      </c>
      <c r="BH868" t="s">
        <v>74</v>
      </c>
      <c r="BI868">
        <v>15</v>
      </c>
      <c r="BJ868" t="s">
        <v>156</v>
      </c>
      <c r="BK868" t="s">
        <v>103</v>
      </c>
      <c r="BL868" t="s">
        <v>157</v>
      </c>
      <c r="BM868" t="s">
        <v>14077</v>
      </c>
      <c r="BN868" t="s">
        <v>74</v>
      </c>
      <c r="BO868" t="s">
        <v>1105</v>
      </c>
      <c r="BP868" t="s">
        <v>74</v>
      </c>
      <c r="BQ868" t="s">
        <v>74</v>
      </c>
      <c r="BR868" t="s">
        <v>106</v>
      </c>
      <c r="BS868" t="s">
        <v>16456</v>
      </c>
      <c r="BT868" t="str">
        <f>HYPERLINK("https%3A%2F%2Fwww.webofscience.com%2Fwos%2Fwoscc%2Ffull-record%2FWOS:000592212900014","View Full Record in Web of Science")</f>
        <v>View Full Record in Web of Science</v>
      </c>
    </row>
    <row r="869" spans="1:72" x14ac:dyDescent="0.15">
      <c r="A869" t="s">
        <v>72</v>
      </c>
      <c r="B869" t="s">
        <v>16457</v>
      </c>
      <c r="C869" t="s">
        <v>74</v>
      </c>
      <c r="D869" t="s">
        <v>74</v>
      </c>
      <c r="E869" t="s">
        <v>74</v>
      </c>
      <c r="F869" t="s">
        <v>16458</v>
      </c>
      <c r="G869" t="s">
        <v>74</v>
      </c>
      <c r="H869" t="s">
        <v>74</v>
      </c>
      <c r="I869" t="s">
        <v>16459</v>
      </c>
      <c r="J869" t="s">
        <v>1713</v>
      </c>
      <c r="K869" t="s">
        <v>74</v>
      </c>
      <c r="L869" t="s">
        <v>74</v>
      </c>
      <c r="M869" t="s">
        <v>78</v>
      </c>
      <c r="N869" t="s">
        <v>79</v>
      </c>
      <c r="O869" t="s">
        <v>74</v>
      </c>
      <c r="P869" t="s">
        <v>74</v>
      </c>
      <c r="Q869" t="s">
        <v>74</v>
      </c>
      <c r="R869" t="s">
        <v>74</v>
      </c>
      <c r="S869" t="s">
        <v>74</v>
      </c>
      <c r="T869" t="s">
        <v>16460</v>
      </c>
      <c r="U869" t="s">
        <v>16461</v>
      </c>
      <c r="V869" t="s">
        <v>16462</v>
      </c>
      <c r="W869" t="s">
        <v>16463</v>
      </c>
      <c r="X869" t="s">
        <v>16464</v>
      </c>
      <c r="Y869" t="s">
        <v>16465</v>
      </c>
      <c r="Z869" t="s">
        <v>16466</v>
      </c>
      <c r="AA869" t="s">
        <v>74</v>
      </c>
      <c r="AB869" t="s">
        <v>74</v>
      </c>
      <c r="AC869" t="s">
        <v>16467</v>
      </c>
      <c r="AD869" t="s">
        <v>5636</v>
      </c>
      <c r="AE869" t="s">
        <v>16468</v>
      </c>
      <c r="AF869" t="s">
        <v>74</v>
      </c>
      <c r="AG869">
        <v>95</v>
      </c>
      <c r="AH869">
        <v>7</v>
      </c>
      <c r="AI869">
        <v>7</v>
      </c>
      <c r="AJ869">
        <v>4</v>
      </c>
      <c r="AK869">
        <v>16</v>
      </c>
      <c r="AL869" t="s">
        <v>418</v>
      </c>
      <c r="AM869" t="s">
        <v>178</v>
      </c>
      <c r="AN869" t="s">
        <v>419</v>
      </c>
      <c r="AO869" t="s">
        <v>1726</v>
      </c>
      <c r="AP869" t="s">
        <v>74</v>
      </c>
      <c r="AQ869" t="s">
        <v>74</v>
      </c>
      <c r="AR869" t="s">
        <v>1728</v>
      </c>
      <c r="AS869" t="s">
        <v>1729</v>
      </c>
      <c r="AT869" t="s">
        <v>14993</v>
      </c>
      <c r="AU869">
        <v>2020</v>
      </c>
      <c r="AV869">
        <v>249</v>
      </c>
      <c r="AW869" t="s">
        <v>74</v>
      </c>
      <c r="AX869" t="s">
        <v>74</v>
      </c>
      <c r="AY869" t="s">
        <v>74</v>
      </c>
      <c r="AZ869" t="s">
        <v>74</v>
      </c>
      <c r="BA869" t="s">
        <v>74</v>
      </c>
      <c r="BB869" t="s">
        <v>74</v>
      </c>
      <c r="BC869" t="s">
        <v>74</v>
      </c>
      <c r="BD869">
        <v>106620</v>
      </c>
      <c r="BE869" t="s">
        <v>16469</v>
      </c>
      <c r="BF869" t="str">
        <f>HYPERLINK("http://dx.doi.org/10.1016/j.quascirev.2020.106620","http://dx.doi.org/10.1016/j.quascirev.2020.106620")</f>
        <v>http://dx.doi.org/10.1016/j.quascirev.2020.106620</v>
      </c>
      <c r="BG869" t="s">
        <v>74</v>
      </c>
      <c r="BH869" t="s">
        <v>74</v>
      </c>
      <c r="BI869">
        <v>12</v>
      </c>
      <c r="BJ869" t="s">
        <v>156</v>
      </c>
      <c r="BK869" t="s">
        <v>103</v>
      </c>
      <c r="BL869" t="s">
        <v>157</v>
      </c>
      <c r="BM869" t="s">
        <v>16470</v>
      </c>
      <c r="BN869" t="s">
        <v>74</v>
      </c>
      <c r="BO869" t="s">
        <v>189</v>
      </c>
      <c r="BP869" t="s">
        <v>74</v>
      </c>
      <c r="BQ869" t="s">
        <v>74</v>
      </c>
      <c r="BR869" t="s">
        <v>106</v>
      </c>
      <c r="BS869" t="s">
        <v>16471</v>
      </c>
      <c r="BT869" t="str">
        <f>HYPERLINK("https%3A%2F%2Fwww.webofscience.com%2Fwos%2Fwoscc%2Ffull-record%2FWOS:000589909100008","View Full Record in Web of Science")</f>
        <v>View Full Record in Web of Science</v>
      </c>
    </row>
    <row r="870" spans="1:72" x14ac:dyDescent="0.15">
      <c r="A870" t="s">
        <v>72</v>
      </c>
      <c r="B870" t="s">
        <v>16472</v>
      </c>
      <c r="C870" t="s">
        <v>74</v>
      </c>
      <c r="D870" t="s">
        <v>74</v>
      </c>
      <c r="E870" t="s">
        <v>74</v>
      </c>
      <c r="F870" t="s">
        <v>16473</v>
      </c>
      <c r="G870" t="s">
        <v>74</v>
      </c>
      <c r="H870" t="s">
        <v>74</v>
      </c>
      <c r="I870" t="s">
        <v>16474</v>
      </c>
      <c r="J870" t="s">
        <v>15940</v>
      </c>
      <c r="K870" t="s">
        <v>74</v>
      </c>
      <c r="L870" t="s">
        <v>74</v>
      </c>
      <c r="M870" t="s">
        <v>78</v>
      </c>
      <c r="N870" t="s">
        <v>79</v>
      </c>
      <c r="O870" t="s">
        <v>74</v>
      </c>
      <c r="P870" t="s">
        <v>74</v>
      </c>
      <c r="Q870" t="s">
        <v>74</v>
      </c>
      <c r="R870" t="s">
        <v>74</v>
      </c>
      <c r="S870" t="s">
        <v>74</v>
      </c>
      <c r="T870" t="s">
        <v>16475</v>
      </c>
      <c r="U870" t="s">
        <v>16476</v>
      </c>
      <c r="V870" t="s">
        <v>16477</v>
      </c>
      <c r="W870" t="s">
        <v>16478</v>
      </c>
      <c r="X870" t="s">
        <v>5705</v>
      </c>
      <c r="Y870" t="s">
        <v>16479</v>
      </c>
      <c r="Z870" t="s">
        <v>16480</v>
      </c>
      <c r="AA870" t="s">
        <v>16481</v>
      </c>
      <c r="AB870" t="s">
        <v>16482</v>
      </c>
      <c r="AC870" t="s">
        <v>16483</v>
      </c>
      <c r="AD870" t="s">
        <v>150</v>
      </c>
      <c r="AE870" t="s">
        <v>16484</v>
      </c>
      <c r="AF870" t="s">
        <v>74</v>
      </c>
      <c r="AG870">
        <v>91</v>
      </c>
      <c r="AH870">
        <v>38</v>
      </c>
      <c r="AI870">
        <v>39</v>
      </c>
      <c r="AJ870">
        <v>0</v>
      </c>
      <c r="AK870">
        <v>21</v>
      </c>
      <c r="AL870" t="s">
        <v>1210</v>
      </c>
      <c r="AM870" t="s">
        <v>473</v>
      </c>
      <c r="AN870" t="s">
        <v>1211</v>
      </c>
      <c r="AO870" t="s">
        <v>15944</v>
      </c>
      <c r="AP870" t="s">
        <v>15945</v>
      </c>
      <c r="AQ870" t="s">
        <v>74</v>
      </c>
      <c r="AR870" t="s">
        <v>15946</v>
      </c>
      <c r="AS870" t="s">
        <v>15947</v>
      </c>
      <c r="AT870" t="s">
        <v>12678</v>
      </c>
      <c r="AU870">
        <v>2020</v>
      </c>
      <c r="AV870">
        <v>32</v>
      </c>
      <c r="AW870">
        <v>6</v>
      </c>
      <c r="AX870" t="s">
        <v>74</v>
      </c>
      <c r="AY870" t="s">
        <v>74</v>
      </c>
      <c r="AZ870" t="s">
        <v>74</v>
      </c>
      <c r="BA870" t="s">
        <v>74</v>
      </c>
      <c r="BB870">
        <v>426</v>
      </c>
      <c r="BC870">
        <v>439</v>
      </c>
      <c r="BD870" t="s">
        <v>16485</v>
      </c>
      <c r="BE870" t="s">
        <v>16486</v>
      </c>
      <c r="BF870" t="str">
        <f>HYPERLINK("http://dx.doi.org/10.1017/S095410202000053X","http://dx.doi.org/10.1017/S095410202000053X")</f>
        <v>http://dx.doi.org/10.1017/S095410202000053X</v>
      </c>
      <c r="BG870" t="s">
        <v>74</v>
      </c>
      <c r="BH870" t="s">
        <v>74</v>
      </c>
      <c r="BI870">
        <v>14</v>
      </c>
      <c r="BJ870" t="s">
        <v>14642</v>
      </c>
      <c r="BK870" t="s">
        <v>103</v>
      </c>
      <c r="BL870" t="s">
        <v>14643</v>
      </c>
      <c r="BM870" t="s">
        <v>15949</v>
      </c>
      <c r="BN870" t="s">
        <v>74</v>
      </c>
      <c r="BO870" t="s">
        <v>3760</v>
      </c>
      <c r="BP870" t="s">
        <v>74</v>
      </c>
      <c r="BQ870" t="s">
        <v>74</v>
      </c>
      <c r="BR870" t="s">
        <v>106</v>
      </c>
      <c r="BS870" t="s">
        <v>16487</v>
      </c>
      <c r="BT870" t="str">
        <f>HYPERLINK("https%3A%2F%2Fwww.webofscience.com%2Fwos%2Fwoscc%2Ffull-record%2FWOS:000590479300002","View Full Record in Web of Science")</f>
        <v>View Full Record in Web of Science</v>
      </c>
    </row>
    <row r="871" spans="1:72" x14ac:dyDescent="0.15">
      <c r="A871" t="s">
        <v>72</v>
      </c>
      <c r="B871" t="s">
        <v>16488</v>
      </c>
      <c r="C871" t="s">
        <v>74</v>
      </c>
      <c r="D871" t="s">
        <v>74</v>
      </c>
      <c r="E871" t="s">
        <v>74</v>
      </c>
      <c r="F871" t="s">
        <v>16489</v>
      </c>
      <c r="G871" t="s">
        <v>74</v>
      </c>
      <c r="H871" t="s">
        <v>74</v>
      </c>
      <c r="I871" t="s">
        <v>16490</v>
      </c>
      <c r="J871" t="s">
        <v>15940</v>
      </c>
      <c r="K871" t="s">
        <v>74</v>
      </c>
      <c r="L871" t="s">
        <v>74</v>
      </c>
      <c r="M871" t="s">
        <v>78</v>
      </c>
      <c r="N871" t="s">
        <v>79</v>
      </c>
      <c r="O871" t="s">
        <v>74</v>
      </c>
      <c r="P871" t="s">
        <v>74</v>
      </c>
      <c r="Q871" t="s">
        <v>74</v>
      </c>
      <c r="R871" t="s">
        <v>74</v>
      </c>
      <c r="S871" t="s">
        <v>74</v>
      </c>
      <c r="T871" t="s">
        <v>16491</v>
      </c>
      <c r="U871" t="s">
        <v>16492</v>
      </c>
      <c r="V871" t="s">
        <v>16493</v>
      </c>
      <c r="W871" t="s">
        <v>16494</v>
      </c>
      <c r="X871" t="s">
        <v>11124</v>
      </c>
      <c r="Y871" t="s">
        <v>16495</v>
      </c>
      <c r="Z871" t="s">
        <v>16496</v>
      </c>
      <c r="AA871" t="s">
        <v>74</v>
      </c>
      <c r="AB871" t="s">
        <v>16497</v>
      </c>
      <c r="AC871" t="s">
        <v>5186</v>
      </c>
      <c r="AD871" t="s">
        <v>5186</v>
      </c>
      <c r="AE871" t="s">
        <v>16498</v>
      </c>
      <c r="AF871" t="s">
        <v>74</v>
      </c>
      <c r="AG871">
        <v>43</v>
      </c>
      <c r="AH871">
        <v>2</v>
      </c>
      <c r="AI871">
        <v>2</v>
      </c>
      <c r="AJ871">
        <v>2</v>
      </c>
      <c r="AK871">
        <v>8</v>
      </c>
      <c r="AL871" t="s">
        <v>1210</v>
      </c>
      <c r="AM871" t="s">
        <v>473</v>
      </c>
      <c r="AN871" t="s">
        <v>1211</v>
      </c>
      <c r="AO871" t="s">
        <v>15944</v>
      </c>
      <c r="AP871" t="s">
        <v>15945</v>
      </c>
      <c r="AQ871" t="s">
        <v>74</v>
      </c>
      <c r="AR871" t="s">
        <v>15946</v>
      </c>
      <c r="AS871" t="s">
        <v>15947</v>
      </c>
      <c r="AT871" t="s">
        <v>12678</v>
      </c>
      <c r="AU871">
        <v>2020</v>
      </c>
      <c r="AV871">
        <v>32</v>
      </c>
      <c r="AW871">
        <v>6</v>
      </c>
      <c r="AX871" t="s">
        <v>74</v>
      </c>
      <c r="AY871" t="s">
        <v>74</v>
      </c>
      <c r="AZ871" t="s">
        <v>74</v>
      </c>
      <c r="BA871" t="s">
        <v>74</v>
      </c>
      <c r="BB871">
        <v>440</v>
      </c>
      <c r="BC871">
        <v>453</v>
      </c>
      <c r="BD871" t="s">
        <v>16499</v>
      </c>
      <c r="BE871" t="s">
        <v>16500</v>
      </c>
      <c r="BF871" t="str">
        <f>HYPERLINK("http://dx.doi.org/10.1017/S0954102020000309","http://dx.doi.org/10.1017/S0954102020000309")</f>
        <v>http://dx.doi.org/10.1017/S0954102020000309</v>
      </c>
      <c r="BG871" t="s">
        <v>74</v>
      </c>
      <c r="BH871" t="s">
        <v>74</v>
      </c>
      <c r="BI871">
        <v>14</v>
      </c>
      <c r="BJ871" t="s">
        <v>14642</v>
      </c>
      <c r="BK871" t="s">
        <v>103</v>
      </c>
      <c r="BL871" t="s">
        <v>14643</v>
      </c>
      <c r="BM871" t="s">
        <v>15949</v>
      </c>
      <c r="BN871" t="s">
        <v>74</v>
      </c>
      <c r="BO871" t="s">
        <v>3283</v>
      </c>
      <c r="BP871" t="s">
        <v>74</v>
      </c>
      <c r="BQ871" t="s">
        <v>74</v>
      </c>
      <c r="BR871" t="s">
        <v>106</v>
      </c>
      <c r="BS871" t="s">
        <v>16501</v>
      </c>
      <c r="BT871" t="str">
        <f>HYPERLINK("https%3A%2F%2Fwww.webofscience.com%2Fwos%2Fwoscc%2Ffull-record%2FWOS:000590479300003","View Full Record in Web of Science")</f>
        <v>View Full Record in Web of Science</v>
      </c>
    </row>
    <row r="872" spans="1:72" x14ac:dyDescent="0.15">
      <c r="A872" t="s">
        <v>72</v>
      </c>
      <c r="B872" t="s">
        <v>16502</v>
      </c>
      <c r="C872" t="s">
        <v>74</v>
      </c>
      <c r="D872" t="s">
        <v>74</v>
      </c>
      <c r="E872" t="s">
        <v>74</v>
      </c>
      <c r="F872" t="s">
        <v>16503</v>
      </c>
      <c r="G872" t="s">
        <v>74</v>
      </c>
      <c r="H872" t="s">
        <v>74</v>
      </c>
      <c r="I872" t="s">
        <v>16504</v>
      </c>
      <c r="J872" t="s">
        <v>15940</v>
      </c>
      <c r="K872" t="s">
        <v>74</v>
      </c>
      <c r="L872" t="s">
        <v>74</v>
      </c>
      <c r="M872" t="s">
        <v>78</v>
      </c>
      <c r="N872" t="s">
        <v>79</v>
      </c>
      <c r="O872" t="s">
        <v>74</v>
      </c>
      <c r="P872" t="s">
        <v>74</v>
      </c>
      <c r="Q872" t="s">
        <v>74</v>
      </c>
      <c r="R872" t="s">
        <v>74</v>
      </c>
      <c r="S872" t="s">
        <v>74</v>
      </c>
      <c r="T872" t="s">
        <v>16505</v>
      </c>
      <c r="U872" t="s">
        <v>16506</v>
      </c>
      <c r="V872" t="s">
        <v>16507</v>
      </c>
      <c r="W872" t="s">
        <v>16508</v>
      </c>
      <c r="X872" t="s">
        <v>16509</v>
      </c>
      <c r="Y872" t="s">
        <v>16510</v>
      </c>
      <c r="Z872" t="s">
        <v>16511</v>
      </c>
      <c r="AA872" t="s">
        <v>74</v>
      </c>
      <c r="AB872" t="s">
        <v>16512</v>
      </c>
      <c r="AC872" t="s">
        <v>16513</v>
      </c>
      <c r="AD872" t="s">
        <v>16514</v>
      </c>
      <c r="AE872" t="s">
        <v>16515</v>
      </c>
      <c r="AF872" t="s">
        <v>74</v>
      </c>
      <c r="AG872">
        <v>43</v>
      </c>
      <c r="AH872">
        <v>4</v>
      </c>
      <c r="AI872">
        <v>4</v>
      </c>
      <c r="AJ872">
        <v>1</v>
      </c>
      <c r="AK872">
        <v>21</v>
      </c>
      <c r="AL872" t="s">
        <v>1210</v>
      </c>
      <c r="AM872" t="s">
        <v>473</v>
      </c>
      <c r="AN872" t="s">
        <v>1211</v>
      </c>
      <c r="AO872" t="s">
        <v>15944</v>
      </c>
      <c r="AP872" t="s">
        <v>15945</v>
      </c>
      <c r="AQ872" t="s">
        <v>74</v>
      </c>
      <c r="AR872" t="s">
        <v>15946</v>
      </c>
      <c r="AS872" t="s">
        <v>15947</v>
      </c>
      <c r="AT872" t="s">
        <v>12678</v>
      </c>
      <c r="AU872">
        <v>2020</v>
      </c>
      <c r="AV872">
        <v>32</v>
      </c>
      <c r="AW872">
        <v>6</v>
      </c>
      <c r="AX872" t="s">
        <v>74</v>
      </c>
      <c r="AY872" t="s">
        <v>74</v>
      </c>
      <c r="AZ872" t="s">
        <v>74</v>
      </c>
      <c r="BA872" t="s">
        <v>74</v>
      </c>
      <c r="BB872">
        <v>454</v>
      </c>
      <c r="BC872">
        <v>465</v>
      </c>
      <c r="BD872" t="s">
        <v>16516</v>
      </c>
      <c r="BE872" t="s">
        <v>16517</v>
      </c>
      <c r="BF872" t="str">
        <f>HYPERLINK("http://dx.doi.org/10.1017/S0954102020000310","http://dx.doi.org/10.1017/S0954102020000310")</f>
        <v>http://dx.doi.org/10.1017/S0954102020000310</v>
      </c>
      <c r="BG872" t="s">
        <v>74</v>
      </c>
      <c r="BH872" t="s">
        <v>74</v>
      </c>
      <c r="BI872">
        <v>12</v>
      </c>
      <c r="BJ872" t="s">
        <v>14642</v>
      </c>
      <c r="BK872" t="s">
        <v>103</v>
      </c>
      <c r="BL872" t="s">
        <v>14643</v>
      </c>
      <c r="BM872" t="s">
        <v>15949</v>
      </c>
      <c r="BN872" t="s">
        <v>74</v>
      </c>
      <c r="BO872" t="s">
        <v>74</v>
      </c>
      <c r="BP872" t="s">
        <v>74</v>
      </c>
      <c r="BQ872" t="s">
        <v>74</v>
      </c>
      <c r="BR872" t="s">
        <v>106</v>
      </c>
      <c r="BS872" t="s">
        <v>16518</v>
      </c>
      <c r="BT872" t="str">
        <f>HYPERLINK("https%3A%2F%2Fwww.webofscience.com%2Fwos%2Fwoscc%2Ffull-record%2FWOS:000590479300004","View Full Record in Web of Science")</f>
        <v>View Full Record in Web of Science</v>
      </c>
    </row>
    <row r="873" spans="1:72" x14ac:dyDescent="0.15">
      <c r="A873" t="s">
        <v>72</v>
      </c>
      <c r="B873" t="s">
        <v>16519</v>
      </c>
      <c r="C873" t="s">
        <v>74</v>
      </c>
      <c r="D873" t="s">
        <v>74</v>
      </c>
      <c r="E873" t="s">
        <v>74</v>
      </c>
      <c r="F873" t="s">
        <v>16520</v>
      </c>
      <c r="G873" t="s">
        <v>74</v>
      </c>
      <c r="H873" t="s">
        <v>74</v>
      </c>
      <c r="I873" t="s">
        <v>16521</v>
      </c>
      <c r="J873" t="s">
        <v>15940</v>
      </c>
      <c r="K873" t="s">
        <v>74</v>
      </c>
      <c r="L873" t="s">
        <v>74</v>
      </c>
      <c r="M873" t="s">
        <v>78</v>
      </c>
      <c r="N873" t="s">
        <v>79</v>
      </c>
      <c r="O873" t="s">
        <v>74</v>
      </c>
      <c r="P873" t="s">
        <v>74</v>
      </c>
      <c r="Q873" t="s">
        <v>74</v>
      </c>
      <c r="R873" t="s">
        <v>74</v>
      </c>
      <c r="S873" t="s">
        <v>74</v>
      </c>
      <c r="T873" t="s">
        <v>16522</v>
      </c>
      <c r="U873" t="s">
        <v>16523</v>
      </c>
      <c r="V873" t="s">
        <v>16524</v>
      </c>
      <c r="W873" t="s">
        <v>16525</v>
      </c>
      <c r="X873" t="s">
        <v>16526</v>
      </c>
      <c r="Y873" t="s">
        <v>16527</v>
      </c>
      <c r="Z873" t="s">
        <v>16528</v>
      </c>
      <c r="AA873" t="s">
        <v>74</v>
      </c>
      <c r="AB873" t="s">
        <v>16529</v>
      </c>
      <c r="AC873" t="s">
        <v>16530</v>
      </c>
      <c r="AD873" t="s">
        <v>16531</v>
      </c>
      <c r="AE873" t="s">
        <v>16532</v>
      </c>
      <c r="AF873" t="s">
        <v>74</v>
      </c>
      <c r="AG873">
        <v>43</v>
      </c>
      <c r="AH873">
        <v>6</v>
      </c>
      <c r="AI873">
        <v>6</v>
      </c>
      <c r="AJ873">
        <v>1</v>
      </c>
      <c r="AK873">
        <v>7</v>
      </c>
      <c r="AL873" t="s">
        <v>1210</v>
      </c>
      <c r="AM873" t="s">
        <v>473</v>
      </c>
      <c r="AN873" t="s">
        <v>1211</v>
      </c>
      <c r="AO873" t="s">
        <v>15944</v>
      </c>
      <c r="AP873" t="s">
        <v>15945</v>
      </c>
      <c r="AQ873" t="s">
        <v>74</v>
      </c>
      <c r="AR873" t="s">
        <v>15946</v>
      </c>
      <c r="AS873" t="s">
        <v>15947</v>
      </c>
      <c r="AT873" t="s">
        <v>12678</v>
      </c>
      <c r="AU873">
        <v>2020</v>
      </c>
      <c r="AV873">
        <v>32</v>
      </c>
      <c r="AW873">
        <v>6</v>
      </c>
      <c r="AX873" t="s">
        <v>74</v>
      </c>
      <c r="AY873" t="s">
        <v>74</v>
      </c>
      <c r="AZ873" t="s">
        <v>74</v>
      </c>
      <c r="BA873" t="s">
        <v>74</v>
      </c>
      <c r="BB873">
        <v>466</v>
      </c>
      <c r="BC873">
        <v>475</v>
      </c>
      <c r="BD873" t="s">
        <v>16533</v>
      </c>
      <c r="BE873" t="s">
        <v>16534</v>
      </c>
      <c r="BF873" t="str">
        <f>HYPERLINK("http://dx.doi.org/10.1017/S0954102020000322","http://dx.doi.org/10.1017/S0954102020000322")</f>
        <v>http://dx.doi.org/10.1017/S0954102020000322</v>
      </c>
      <c r="BG873" t="s">
        <v>74</v>
      </c>
      <c r="BH873" t="s">
        <v>74</v>
      </c>
      <c r="BI873">
        <v>10</v>
      </c>
      <c r="BJ873" t="s">
        <v>14642</v>
      </c>
      <c r="BK873" t="s">
        <v>103</v>
      </c>
      <c r="BL873" t="s">
        <v>14643</v>
      </c>
      <c r="BM873" t="s">
        <v>15949</v>
      </c>
      <c r="BN873" t="s">
        <v>74</v>
      </c>
      <c r="BO873" t="s">
        <v>74</v>
      </c>
      <c r="BP873" t="s">
        <v>74</v>
      </c>
      <c r="BQ873" t="s">
        <v>74</v>
      </c>
      <c r="BR873" t="s">
        <v>106</v>
      </c>
      <c r="BS873" t="s">
        <v>16535</v>
      </c>
      <c r="BT873" t="str">
        <f>HYPERLINK("https%3A%2F%2Fwww.webofscience.com%2Fwos%2Fwoscc%2Ffull-record%2FWOS:000590479300005","View Full Record in Web of Science")</f>
        <v>View Full Record in Web of Science</v>
      </c>
    </row>
    <row r="874" spans="1:72" x14ac:dyDescent="0.15">
      <c r="A874" t="s">
        <v>72</v>
      </c>
      <c r="B874" t="s">
        <v>16536</v>
      </c>
      <c r="C874" t="s">
        <v>74</v>
      </c>
      <c r="D874" t="s">
        <v>74</v>
      </c>
      <c r="E874" t="s">
        <v>74</v>
      </c>
      <c r="F874" t="s">
        <v>16537</v>
      </c>
      <c r="G874" t="s">
        <v>74</v>
      </c>
      <c r="H874" t="s">
        <v>74</v>
      </c>
      <c r="I874" t="s">
        <v>16538</v>
      </c>
      <c r="J874" t="s">
        <v>15940</v>
      </c>
      <c r="K874" t="s">
        <v>74</v>
      </c>
      <c r="L874" t="s">
        <v>74</v>
      </c>
      <c r="M874" t="s">
        <v>78</v>
      </c>
      <c r="N874" t="s">
        <v>79</v>
      </c>
      <c r="O874" t="s">
        <v>74</v>
      </c>
      <c r="P874" t="s">
        <v>74</v>
      </c>
      <c r="Q874" t="s">
        <v>74</v>
      </c>
      <c r="R874" t="s">
        <v>74</v>
      </c>
      <c r="S874" t="s">
        <v>74</v>
      </c>
      <c r="T874" t="s">
        <v>16539</v>
      </c>
      <c r="U874" t="s">
        <v>16540</v>
      </c>
      <c r="V874" t="s">
        <v>16541</v>
      </c>
      <c r="W874" t="s">
        <v>16542</v>
      </c>
      <c r="X874" t="s">
        <v>16543</v>
      </c>
      <c r="Y874" t="s">
        <v>16544</v>
      </c>
      <c r="Z874" t="s">
        <v>16545</v>
      </c>
      <c r="AA874" t="s">
        <v>16546</v>
      </c>
      <c r="AB874" t="s">
        <v>16547</v>
      </c>
      <c r="AC874" t="s">
        <v>16548</v>
      </c>
      <c r="AD874" t="s">
        <v>16549</v>
      </c>
      <c r="AE874" t="s">
        <v>16550</v>
      </c>
      <c r="AF874" t="s">
        <v>74</v>
      </c>
      <c r="AG874">
        <v>36</v>
      </c>
      <c r="AH874">
        <v>7</v>
      </c>
      <c r="AI874">
        <v>7</v>
      </c>
      <c r="AJ874">
        <v>0</v>
      </c>
      <c r="AK874">
        <v>10</v>
      </c>
      <c r="AL874" t="s">
        <v>1210</v>
      </c>
      <c r="AM874" t="s">
        <v>473</v>
      </c>
      <c r="AN874" t="s">
        <v>1211</v>
      </c>
      <c r="AO874" t="s">
        <v>15944</v>
      </c>
      <c r="AP874" t="s">
        <v>15945</v>
      </c>
      <c r="AQ874" t="s">
        <v>74</v>
      </c>
      <c r="AR874" t="s">
        <v>15946</v>
      </c>
      <c r="AS874" t="s">
        <v>15947</v>
      </c>
      <c r="AT874" t="s">
        <v>12678</v>
      </c>
      <c r="AU874">
        <v>2020</v>
      </c>
      <c r="AV874">
        <v>32</v>
      </c>
      <c r="AW874">
        <v>6</v>
      </c>
      <c r="AX874" t="s">
        <v>74</v>
      </c>
      <c r="AY874" t="s">
        <v>74</v>
      </c>
      <c r="AZ874" t="s">
        <v>74</v>
      </c>
      <c r="BA874" t="s">
        <v>74</v>
      </c>
      <c r="BB874">
        <v>476</v>
      </c>
      <c r="BC874">
        <v>485</v>
      </c>
      <c r="BD874" t="s">
        <v>74</v>
      </c>
      <c r="BE874" t="s">
        <v>16551</v>
      </c>
      <c r="BF874" t="str">
        <f>HYPERLINK("http://dx.doi.org/10.1017/S0954102020000334","http://dx.doi.org/10.1017/S0954102020000334")</f>
        <v>http://dx.doi.org/10.1017/S0954102020000334</v>
      </c>
      <c r="BG874" t="s">
        <v>74</v>
      </c>
      <c r="BH874" t="s">
        <v>74</v>
      </c>
      <c r="BI874">
        <v>10</v>
      </c>
      <c r="BJ874" t="s">
        <v>14642</v>
      </c>
      <c r="BK874" t="s">
        <v>103</v>
      </c>
      <c r="BL874" t="s">
        <v>14643</v>
      </c>
      <c r="BM874" t="s">
        <v>15949</v>
      </c>
      <c r="BN874" t="s">
        <v>74</v>
      </c>
      <c r="BO874" t="s">
        <v>74</v>
      </c>
      <c r="BP874" t="s">
        <v>74</v>
      </c>
      <c r="BQ874" t="s">
        <v>74</v>
      </c>
      <c r="BR874" t="s">
        <v>106</v>
      </c>
      <c r="BS874" t="s">
        <v>16552</v>
      </c>
      <c r="BT874" t="str">
        <f>HYPERLINK("https%3A%2F%2Fwww.webofscience.com%2Fwos%2Fwoscc%2Ffull-record%2FWOS:000590479300006","View Full Record in Web of Science")</f>
        <v>View Full Record in Web of Science</v>
      </c>
    </row>
    <row r="875" spans="1:72" x14ac:dyDescent="0.15">
      <c r="A875" t="s">
        <v>72</v>
      </c>
      <c r="B875" t="s">
        <v>16553</v>
      </c>
      <c r="C875" t="s">
        <v>74</v>
      </c>
      <c r="D875" t="s">
        <v>74</v>
      </c>
      <c r="E875" t="s">
        <v>74</v>
      </c>
      <c r="F875" t="s">
        <v>16554</v>
      </c>
      <c r="G875" t="s">
        <v>74</v>
      </c>
      <c r="H875" t="s">
        <v>74</v>
      </c>
      <c r="I875" t="s">
        <v>16555</v>
      </c>
      <c r="J875" t="s">
        <v>15940</v>
      </c>
      <c r="K875" t="s">
        <v>74</v>
      </c>
      <c r="L875" t="s">
        <v>74</v>
      </c>
      <c r="M875" t="s">
        <v>78</v>
      </c>
      <c r="N875" t="s">
        <v>79</v>
      </c>
      <c r="O875" t="s">
        <v>74</v>
      </c>
      <c r="P875" t="s">
        <v>74</v>
      </c>
      <c r="Q875" t="s">
        <v>74</v>
      </c>
      <c r="R875" t="s">
        <v>74</v>
      </c>
      <c r="S875" t="s">
        <v>74</v>
      </c>
      <c r="T875" t="s">
        <v>16556</v>
      </c>
      <c r="U875" t="s">
        <v>16557</v>
      </c>
      <c r="V875" t="s">
        <v>16558</v>
      </c>
      <c r="W875" t="s">
        <v>16559</v>
      </c>
      <c r="X875" t="s">
        <v>16560</v>
      </c>
      <c r="Y875" t="s">
        <v>16561</v>
      </c>
      <c r="Z875" t="s">
        <v>16562</v>
      </c>
      <c r="AA875" t="s">
        <v>16563</v>
      </c>
      <c r="AB875" t="s">
        <v>16564</v>
      </c>
      <c r="AC875" t="s">
        <v>16565</v>
      </c>
      <c r="AD875" t="s">
        <v>16566</v>
      </c>
      <c r="AE875" t="s">
        <v>16567</v>
      </c>
      <c r="AF875" t="s">
        <v>74</v>
      </c>
      <c r="AG875">
        <v>40</v>
      </c>
      <c r="AH875">
        <v>17</v>
      </c>
      <c r="AI875">
        <v>18</v>
      </c>
      <c r="AJ875">
        <v>1</v>
      </c>
      <c r="AK875">
        <v>12</v>
      </c>
      <c r="AL875" t="s">
        <v>1210</v>
      </c>
      <c r="AM875" t="s">
        <v>473</v>
      </c>
      <c r="AN875" t="s">
        <v>1211</v>
      </c>
      <c r="AO875" t="s">
        <v>15944</v>
      </c>
      <c r="AP875" t="s">
        <v>15945</v>
      </c>
      <c r="AQ875" t="s">
        <v>74</v>
      </c>
      <c r="AR875" t="s">
        <v>15946</v>
      </c>
      <c r="AS875" t="s">
        <v>15947</v>
      </c>
      <c r="AT875" t="s">
        <v>12678</v>
      </c>
      <c r="AU875">
        <v>2020</v>
      </c>
      <c r="AV875">
        <v>32</v>
      </c>
      <c r="AW875">
        <v>6</v>
      </c>
      <c r="AX875" t="s">
        <v>74</v>
      </c>
      <c r="AY875" t="s">
        <v>74</v>
      </c>
      <c r="AZ875" t="s">
        <v>74</v>
      </c>
      <c r="BA875" t="s">
        <v>74</v>
      </c>
      <c r="BB875">
        <v>486</v>
      </c>
      <c r="BC875">
        <v>495</v>
      </c>
      <c r="BD875" t="s">
        <v>16568</v>
      </c>
      <c r="BE875" t="s">
        <v>16569</v>
      </c>
      <c r="BF875" t="str">
        <f>HYPERLINK("http://dx.doi.org/10.1017/S0954102020000358","http://dx.doi.org/10.1017/S0954102020000358")</f>
        <v>http://dx.doi.org/10.1017/S0954102020000358</v>
      </c>
      <c r="BG875" t="s">
        <v>74</v>
      </c>
      <c r="BH875" t="s">
        <v>74</v>
      </c>
      <c r="BI875">
        <v>10</v>
      </c>
      <c r="BJ875" t="s">
        <v>14642</v>
      </c>
      <c r="BK875" t="s">
        <v>103</v>
      </c>
      <c r="BL875" t="s">
        <v>14643</v>
      </c>
      <c r="BM875" t="s">
        <v>15949</v>
      </c>
      <c r="BN875" t="s">
        <v>74</v>
      </c>
      <c r="BO875" t="s">
        <v>189</v>
      </c>
      <c r="BP875" t="s">
        <v>74</v>
      </c>
      <c r="BQ875" t="s">
        <v>74</v>
      </c>
      <c r="BR875" t="s">
        <v>106</v>
      </c>
      <c r="BS875" t="s">
        <v>16570</v>
      </c>
      <c r="BT875" t="str">
        <f>HYPERLINK("https%3A%2F%2Fwww.webofscience.com%2Fwos%2Fwoscc%2Ffull-record%2FWOS:000590479300007","View Full Record in Web of Science")</f>
        <v>View Full Record in Web of Science</v>
      </c>
    </row>
    <row r="876" spans="1:72" x14ac:dyDescent="0.15">
      <c r="A876" t="s">
        <v>72</v>
      </c>
      <c r="B876" t="s">
        <v>16571</v>
      </c>
      <c r="C876" t="s">
        <v>74</v>
      </c>
      <c r="D876" t="s">
        <v>74</v>
      </c>
      <c r="E876" t="s">
        <v>74</v>
      </c>
      <c r="F876" t="s">
        <v>16572</v>
      </c>
      <c r="G876" t="s">
        <v>74</v>
      </c>
      <c r="H876" t="s">
        <v>74</v>
      </c>
      <c r="I876" t="s">
        <v>16573</v>
      </c>
      <c r="J876" t="s">
        <v>15940</v>
      </c>
      <c r="K876" t="s">
        <v>74</v>
      </c>
      <c r="L876" t="s">
        <v>74</v>
      </c>
      <c r="M876" t="s">
        <v>78</v>
      </c>
      <c r="N876" t="s">
        <v>79</v>
      </c>
      <c r="O876" t="s">
        <v>74</v>
      </c>
      <c r="P876" t="s">
        <v>74</v>
      </c>
      <c r="Q876" t="s">
        <v>74</v>
      </c>
      <c r="R876" t="s">
        <v>74</v>
      </c>
      <c r="S876" t="s">
        <v>74</v>
      </c>
      <c r="T876" t="s">
        <v>16574</v>
      </c>
      <c r="U876" t="s">
        <v>16575</v>
      </c>
      <c r="V876" t="s">
        <v>16576</v>
      </c>
      <c r="W876" t="s">
        <v>16577</v>
      </c>
      <c r="X876" t="s">
        <v>16578</v>
      </c>
      <c r="Y876" t="s">
        <v>16579</v>
      </c>
      <c r="Z876" t="s">
        <v>16580</v>
      </c>
      <c r="AA876" t="s">
        <v>74</v>
      </c>
      <c r="AB876" t="s">
        <v>16581</v>
      </c>
      <c r="AC876" t="s">
        <v>16582</v>
      </c>
      <c r="AD876" t="s">
        <v>16583</v>
      </c>
      <c r="AE876" t="s">
        <v>16584</v>
      </c>
      <c r="AF876" t="s">
        <v>74</v>
      </c>
      <c r="AG876">
        <v>39</v>
      </c>
      <c r="AH876">
        <v>3</v>
      </c>
      <c r="AI876">
        <v>3</v>
      </c>
      <c r="AJ876">
        <v>2</v>
      </c>
      <c r="AK876">
        <v>20</v>
      </c>
      <c r="AL876" t="s">
        <v>1210</v>
      </c>
      <c r="AM876" t="s">
        <v>473</v>
      </c>
      <c r="AN876" t="s">
        <v>1211</v>
      </c>
      <c r="AO876" t="s">
        <v>15944</v>
      </c>
      <c r="AP876" t="s">
        <v>15945</v>
      </c>
      <c r="AQ876" t="s">
        <v>74</v>
      </c>
      <c r="AR876" t="s">
        <v>15946</v>
      </c>
      <c r="AS876" t="s">
        <v>15947</v>
      </c>
      <c r="AT876" t="s">
        <v>12678</v>
      </c>
      <c r="AU876">
        <v>2020</v>
      </c>
      <c r="AV876">
        <v>32</v>
      </c>
      <c r="AW876">
        <v>6</v>
      </c>
      <c r="AX876" t="s">
        <v>74</v>
      </c>
      <c r="AY876" t="s">
        <v>74</v>
      </c>
      <c r="AZ876" t="s">
        <v>74</v>
      </c>
      <c r="BA876" t="s">
        <v>74</v>
      </c>
      <c r="BB876">
        <v>496</v>
      </c>
      <c r="BC876">
        <v>507</v>
      </c>
      <c r="BD876" t="s">
        <v>16585</v>
      </c>
      <c r="BE876" t="s">
        <v>16586</v>
      </c>
      <c r="BF876" t="str">
        <f>HYPERLINK("http://dx.doi.org/10.1017/S0954102020000395","http://dx.doi.org/10.1017/S0954102020000395")</f>
        <v>http://dx.doi.org/10.1017/S0954102020000395</v>
      </c>
      <c r="BG876" t="s">
        <v>74</v>
      </c>
      <c r="BH876" t="s">
        <v>74</v>
      </c>
      <c r="BI876">
        <v>12</v>
      </c>
      <c r="BJ876" t="s">
        <v>14642</v>
      </c>
      <c r="BK876" t="s">
        <v>103</v>
      </c>
      <c r="BL876" t="s">
        <v>14643</v>
      </c>
      <c r="BM876" t="s">
        <v>15949</v>
      </c>
      <c r="BN876" t="s">
        <v>74</v>
      </c>
      <c r="BO876" t="s">
        <v>1220</v>
      </c>
      <c r="BP876" t="s">
        <v>74</v>
      </c>
      <c r="BQ876" t="s">
        <v>74</v>
      </c>
      <c r="BR876" t="s">
        <v>106</v>
      </c>
      <c r="BS876" t="s">
        <v>16587</v>
      </c>
      <c r="BT876" t="str">
        <f>HYPERLINK("https%3A%2F%2Fwww.webofscience.com%2Fwos%2Fwoscc%2Ffull-record%2FWOS:000590479300008","View Full Record in Web of Science")</f>
        <v>View Full Record in Web of Science</v>
      </c>
    </row>
    <row r="877" spans="1:72" x14ac:dyDescent="0.15">
      <c r="A877" t="s">
        <v>72</v>
      </c>
      <c r="B877" t="s">
        <v>16588</v>
      </c>
      <c r="C877" t="s">
        <v>74</v>
      </c>
      <c r="D877" t="s">
        <v>74</v>
      </c>
      <c r="E877" t="s">
        <v>74</v>
      </c>
      <c r="F877" t="s">
        <v>16589</v>
      </c>
      <c r="G877" t="s">
        <v>74</v>
      </c>
      <c r="H877" t="s">
        <v>74</v>
      </c>
      <c r="I877" t="s">
        <v>16590</v>
      </c>
      <c r="J877" t="s">
        <v>16591</v>
      </c>
      <c r="K877" t="s">
        <v>74</v>
      </c>
      <c r="L877" t="s">
        <v>74</v>
      </c>
      <c r="M877" t="s">
        <v>78</v>
      </c>
      <c r="N877" t="s">
        <v>79</v>
      </c>
      <c r="O877" t="s">
        <v>74</v>
      </c>
      <c r="P877" t="s">
        <v>74</v>
      </c>
      <c r="Q877" t="s">
        <v>74</v>
      </c>
      <c r="R877" t="s">
        <v>74</v>
      </c>
      <c r="S877" t="s">
        <v>74</v>
      </c>
      <c r="T877" t="s">
        <v>16592</v>
      </c>
      <c r="U877" t="s">
        <v>16593</v>
      </c>
      <c r="V877" t="s">
        <v>16594</v>
      </c>
      <c r="W877" t="s">
        <v>16595</v>
      </c>
      <c r="X877" t="s">
        <v>16596</v>
      </c>
      <c r="Y877" t="s">
        <v>16597</v>
      </c>
      <c r="Z877" t="s">
        <v>16598</v>
      </c>
      <c r="AA877" t="s">
        <v>16599</v>
      </c>
      <c r="AB877" t="s">
        <v>16600</v>
      </c>
      <c r="AC877" t="s">
        <v>16601</v>
      </c>
      <c r="AD877" t="s">
        <v>16602</v>
      </c>
      <c r="AE877" t="s">
        <v>16603</v>
      </c>
      <c r="AF877" t="s">
        <v>74</v>
      </c>
      <c r="AG877">
        <v>51</v>
      </c>
      <c r="AH877">
        <v>14</v>
      </c>
      <c r="AI877">
        <v>16</v>
      </c>
      <c r="AJ877">
        <v>2</v>
      </c>
      <c r="AK877">
        <v>23</v>
      </c>
      <c r="AL877" t="s">
        <v>2046</v>
      </c>
      <c r="AM877" t="s">
        <v>473</v>
      </c>
      <c r="AN877" t="s">
        <v>2047</v>
      </c>
      <c r="AO877" t="s">
        <v>16604</v>
      </c>
      <c r="AP877" t="s">
        <v>16605</v>
      </c>
      <c r="AQ877" t="s">
        <v>74</v>
      </c>
      <c r="AR877" t="s">
        <v>16606</v>
      </c>
      <c r="AS877" t="s">
        <v>16607</v>
      </c>
      <c r="AT877" t="s">
        <v>14993</v>
      </c>
      <c r="AU877">
        <v>2020</v>
      </c>
      <c r="AV877">
        <v>250</v>
      </c>
      <c r="AW877" t="s">
        <v>74</v>
      </c>
      <c r="AX877" t="s">
        <v>74</v>
      </c>
      <c r="AY877" t="s">
        <v>74</v>
      </c>
      <c r="AZ877" t="s">
        <v>74</v>
      </c>
      <c r="BA877" t="s">
        <v>74</v>
      </c>
      <c r="BB877" t="s">
        <v>74</v>
      </c>
      <c r="BC877" t="s">
        <v>74</v>
      </c>
      <c r="BD877">
        <v>112044</v>
      </c>
      <c r="BE877" t="s">
        <v>16608</v>
      </c>
      <c r="BF877" t="str">
        <f>HYPERLINK("http://dx.doi.org/10.1016/j.rse.2020.112044","http://dx.doi.org/10.1016/j.rse.2020.112044")</f>
        <v>http://dx.doi.org/10.1016/j.rse.2020.112044</v>
      </c>
      <c r="BG877" t="s">
        <v>74</v>
      </c>
      <c r="BH877" t="s">
        <v>74</v>
      </c>
      <c r="BI877">
        <v>10</v>
      </c>
      <c r="BJ877" t="s">
        <v>16609</v>
      </c>
      <c r="BK877" t="s">
        <v>103</v>
      </c>
      <c r="BL877" t="s">
        <v>16610</v>
      </c>
      <c r="BM877" t="s">
        <v>16611</v>
      </c>
      <c r="BN877" t="s">
        <v>74</v>
      </c>
      <c r="BO877" t="s">
        <v>218</v>
      </c>
      <c r="BP877" t="s">
        <v>74</v>
      </c>
      <c r="BQ877" t="s">
        <v>74</v>
      </c>
      <c r="BR877" t="s">
        <v>106</v>
      </c>
      <c r="BS877" t="s">
        <v>16612</v>
      </c>
      <c r="BT877" t="str">
        <f>HYPERLINK("https%3A%2F%2Fwww.webofscience.com%2Fwos%2Fwoscc%2Ffull-record%2FWOS:000585306100002","View Full Record in Web of Science")</f>
        <v>View Full Record in Web of Science</v>
      </c>
    </row>
    <row r="878" spans="1:72" x14ac:dyDescent="0.15">
      <c r="A878" t="s">
        <v>72</v>
      </c>
      <c r="B878" t="s">
        <v>16613</v>
      </c>
      <c r="C878" t="s">
        <v>74</v>
      </c>
      <c r="D878" t="s">
        <v>74</v>
      </c>
      <c r="E878" t="s">
        <v>74</v>
      </c>
      <c r="F878" t="s">
        <v>16614</v>
      </c>
      <c r="G878" t="s">
        <v>74</v>
      </c>
      <c r="H878" t="s">
        <v>74</v>
      </c>
      <c r="I878" t="s">
        <v>16615</v>
      </c>
      <c r="J878" t="s">
        <v>13798</v>
      </c>
      <c r="K878" t="s">
        <v>74</v>
      </c>
      <c r="L878" t="s">
        <v>74</v>
      </c>
      <c r="M878" t="s">
        <v>78</v>
      </c>
      <c r="N878" t="s">
        <v>79</v>
      </c>
      <c r="O878" t="s">
        <v>74</v>
      </c>
      <c r="P878" t="s">
        <v>74</v>
      </c>
      <c r="Q878" t="s">
        <v>74</v>
      </c>
      <c r="R878" t="s">
        <v>74</v>
      </c>
      <c r="S878" t="s">
        <v>74</v>
      </c>
      <c r="T878" t="s">
        <v>16616</v>
      </c>
      <c r="U878" t="s">
        <v>16617</v>
      </c>
      <c r="V878" t="s">
        <v>16618</v>
      </c>
      <c r="W878" t="s">
        <v>16619</v>
      </c>
      <c r="X878" t="s">
        <v>16620</v>
      </c>
      <c r="Y878" t="s">
        <v>16621</v>
      </c>
      <c r="Z878" t="s">
        <v>16622</v>
      </c>
      <c r="AA878" t="s">
        <v>16623</v>
      </c>
      <c r="AB878" t="s">
        <v>16624</v>
      </c>
      <c r="AC878" t="s">
        <v>16625</v>
      </c>
      <c r="AD878" t="s">
        <v>16626</v>
      </c>
      <c r="AE878" t="s">
        <v>16627</v>
      </c>
      <c r="AF878" t="s">
        <v>74</v>
      </c>
      <c r="AG878">
        <v>37</v>
      </c>
      <c r="AH878">
        <v>10</v>
      </c>
      <c r="AI878">
        <v>11</v>
      </c>
      <c r="AJ878">
        <v>0</v>
      </c>
      <c r="AK878">
        <v>10</v>
      </c>
      <c r="AL878" t="s">
        <v>1210</v>
      </c>
      <c r="AM878" t="s">
        <v>264</v>
      </c>
      <c r="AN878" t="s">
        <v>8391</v>
      </c>
      <c r="AO878" t="s">
        <v>13811</v>
      </c>
      <c r="AP878" t="s">
        <v>13812</v>
      </c>
      <c r="AQ878" t="s">
        <v>74</v>
      </c>
      <c r="AR878" t="s">
        <v>13813</v>
      </c>
      <c r="AS878" t="s">
        <v>13814</v>
      </c>
      <c r="AT878" t="s">
        <v>12678</v>
      </c>
      <c r="AU878">
        <v>2020</v>
      </c>
      <c r="AV878">
        <v>61</v>
      </c>
      <c r="AW878">
        <v>83</v>
      </c>
      <c r="AX878" t="s">
        <v>74</v>
      </c>
      <c r="AY878" t="s">
        <v>74</v>
      </c>
      <c r="AZ878" t="s">
        <v>74</v>
      </c>
      <c r="BA878" t="s">
        <v>74</v>
      </c>
      <c r="BB878">
        <v>271</v>
      </c>
      <c r="BC878">
        <v>283</v>
      </c>
      <c r="BD878" t="s">
        <v>16628</v>
      </c>
      <c r="BE878" t="s">
        <v>16629</v>
      </c>
      <c r="BF878" t="str">
        <f>HYPERLINK("http://dx.doi.org/10.1017/aog.2020.46","http://dx.doi.org/10.1017/aog.2020.46")</f>
        <v>http://dx.doi.org/10.1017/aog.2020.46</v>
      </c>
      <c r="BG878" t="s">
        <v>74</v>
      </c>
      <c r="BH878" t="s">
        <v>74</v>
      </c>
      <c r="BI878">
        <v>13</v>
      </c>
      <c r="BJ878" t="s">
        <v>156</v>
      </c>
      <c r="BK878" t="s">
        <v>103</v>
      </c>
      <c r="BL878" t="s">
        <v>157</v>
      </c>
      <c r="BM878" t="s">
        <v>13817</v>
      </c>
      <c r="BN878" t="s">
        <v>74</v>
      </c>
      <c r="BO878" t="s">
        <v>326</v>
      </c>
      <c r="BP878" t="s">
        <v>74</v>
      </c>
      <c r="BQ878" t="s">
        <v>74</v>
      </c>
      <c r="BR878" t="s">
        <v>106</v>
      </c>
      <c r="BS878" t="s">
        <v>16630</v>
      </c>
      <c r="BT878" t="str">
        <f>HYPERLINK("https%3A%2F%2Fwww.webofscience.com%2Fwos%2Fwoscc%2Ffull-record%2FWOS:000652595200003","View Full Record in Web of Science")</f>
        <v>View Full Record in Web of Science</v>
      </c>
    </row>
    <row r="879" spans="1:72" x14ac:dyDescent="0.15">
      <c r="A879" t="s">
        <v>72</v>
      </c>
      <c r="B879" t="s">
        <v>16631</v>
      </c>
      <c r="C879" t="s">
        <v>74</v>
      </c>
      <c r="D879" t="s">
        <v>74</v>
      </c>
      <c r="E879" t="s">
        <v>74</v>
      </c>
      <c r="F879" t="s">
        <v>16632</v>
      </c>
      <c r="G879" t="s">
        <v>74</v>
      </c>
      <c r="H879" t="s">
        <v>74</v>
      </c>
      <c r="I879" t="s">
        <v>16633</v>
      </c>
      <c r="J879" t="s">
        <v>15940</v>
      </c>
      <c r="K879" t="s">
        <v>74</v>
      </c>
      <c r="L879" t="s">
        <v>74</v>
      </c>
      <c r="M879" t="s">
        <v>78</v>
      </c>
      <c r="N879" t="s">
        <v>79</v>
      </c>
      <c r="O879" t="s">
        <v>74</v>
      </c>
      <c r="P879" t="s">
        <v>74</v>
      </c>
      <c r="Q879" t="s">
        <v>74</v>
      </c>
      <c r="R879" t="s">
        <v>74</v>
      </c>
      <c r="S879" t="s">
        <v>74</v>
      </c>
      <c r="T879" t="s">
        <v>74</v>
      </c>
      <c r="U879" t="s">
        <v>74</v>
      </c>
      <c r="V879" t="s">
        <v>74</v>
      </c>
      <c r="W879" t="s">
        <v>16634</v>
      </c>
      <c r="X879" t="s">
        <v>16635</v>
      </c>
      <c r="Y879" t="s">
        <v>16636</v>
      </c>
      <c r="Z879" t="s">
        <v>16637</v>
      </c>
      <c r="AA879" t="s">
        <v>16638</v>
      </c>
      <c r="AB879" t="s">
        <v>16639</v>
      </c>
      <c r="AC879" t="s">
        <v>16640</v>
      </c>
      <c r="AD879" t="s">
        <v>16640</v>
      </c>
      <c r="AE879" t="s">
        <v>16641</v>
      </c>
      <c r="AF879" t="s">
        <v>74</v>
      </c>
      <c r="AG879">
        <v>8</v>
      </c>
      <c r="AH879">
        <v>19</v>
      </c>
      <c r="AI879">
        <v>21</v>
      </c>
      <c r="AJ879">
        <v>4</v>
      </c>
      <c r="AK879">
        <v>26</v>
      </c>
      <c r="AL879" t="s">
        <v>1210</v>
      </c>
      <c r="AM879" t="s">
        <v>473</v>
      </c>
      <c r="AN879" t="s">
        <v>1211</v>
      </c>
      <c r="AO879" t="s">
        <v>15944</v>
      </c>
      <c r="AP879" t="s">
        <v>15945</v>
      </c>
      <c r="AQ879" t="s">
        <v>74</v>
      </c>
      <c r="AR879" t="s">
        <v>15946</v>
      </c>
      <c r="AS879" t="s">
        <v>15947</v>
      </c>
      <c r="AT879" t="s">
        <v>12678</v>
      </c>
      <c r="AU879">
        <v>2020</v>
      </c>
      <c r="AV879">
        <v>32</v>
      </c>
      <c r="AW879">
        <v>6</v>
      </c>
      <c r="AX879" t="s">
        <v>74</v>
      </c>
      <c r="AY879" t="s">
        <v>74</v>
      </c>
      <c r="AZ879" t="s">
        <v>74</v>
      </c>
      <c r="BA879" t="s">
        <v>74</v>
      </c>
      <c r="BB879">
        <v>508</v>
      </c>
      <c r="BC879">
        <v>509</v>
      </c>
      <c r="BD879" t="s">
        <v>74</v>
      </c>
      <c r="BE879" t="s">
        <v>16642</v>
      </c>
      <c r="BF879" t="str">
        <f>HYPERLINK("http://dx.doi.org/10.1017/S0954102020000401","http://dx.doi.org/10.1017/S0954102020000401")</f>
        <v>http://dx.doi.org/10.1017/S0954102020000401</v>
      </c>
      <c r="BG879" t="s">
        <v>74</v>
      </c>
      <c r="BH879" t="s">
        <v>74</v>
      </c>
      <c r="BI879">
        <v>2</v>
      </c>
      <c r="BJ879" t="s">
        <v>14642</v>
      </c>
      <c r="BK879" t="s">
        <v>103</v>
      </c>
      <c r="BL879" t="s">
        <v>14643</v>
      </c>
      <c r="BM879" t="s">
        <v>15949</v>
      </c>
      <c r="BN879" t="s">
        <v>74</v>
      </c>
      <c r="BO879" t="s">
        <v>74</v>
      </c>
      <c r="BP879" t="s">
        <v>74</v>
      </c>
      <c r="BQ879" t="s">
        <v>74</v>
      </c>
      <c r="BR879" t="s">
        <v>106</v>
      </c>
      <c r="BS879" t="s">
        <v>16643</v>
      </c>
      <c r="BT879" t="str">
        <f>HYPERLINK("https%3A%2F%2Fwww.webofscience.com%2Fwos%2Fwoscc%2Ffull-record%2FWOS:000590479300009","View Full Record in Web of Science")</f>
        <v>View Full Record in Web of Science</v>
      </c>
    </row>
    <row r="880" spans="1:72" x14ac:dyDescent="0.15">
      <c r="A880" t="s">
        <v>72</v>
      </c>
      <c r="B880" t="s">
        <v>16644</v>
      </c>
      <c r="C880" t="s">
        <v>74</v>
      </c>
      <c r="D880" t="s">
        <v>74</v>
      </c>
      <c r="E880" t="s">
        <v>74</v>
      </c>
      <c r="F880" t="s">
        <v>16645</v>
      </c>
      <c r="G880" t="s">
        <v>74</v>
      </c>
      <c r="H880" t="s">
        <v>74</v>
      </c>
      <c r="I880" t="s">
        <v>16646</v>
      </c>
      <c r="J880" t="s">
        <v>16647</v>
      </c>
      <c r="K880" t="s">
        <v>74</v>
      </c>
      <c r="L880" t="s">
        <v>74</v>
      </c>
      <c r="M880" t="s">
        <v>78</v>
      </c>
      <c r="N880" t="s">
        <v>79</v>
      </c>
      <c r="O880" t="s">
        <v>74</v>
      </c>
      <c r="P880" t="s">
        <v>74</v>
      </c>
      <c r="Q880" t="s">
        <v>74</v>
      </c>
      <c r="R880" t="s">
        <v>74</v>
      </c>
      <c r="S880" t="s">
        <v>74</v>
      </c>
      <c r="T880" t="s">
        <v>16648</v>
      </c>
      <c r="U880" t="s">
        <v>16649</v>
      </c>
      <c r="V880" t="s">
        <v>16650</v>
      </c>
      <c r="W880" t="s">
        <v>16651</v>
      </c>
      <c r="X880" t="s">
        <v>16652</v>
      </c>
      <c r="Y880" t="s">
        <v>16653</v>
      </c>
      <c r="Z880" t="s">
        <v>16654</v>
      </c>
      <c r="AA880" t="s">
        <v>16655</v>
      </c>
      <c r="AB880" t="s">
        <v>16656</v>
      </c>
      <c r="AC880" t="s">
        <v>16657</v>
      </c>
      <c r="AD880" t="s">
        <v>16658</v>
      </c>
      <c r="AE880" t="s">
        <v>16659</v>
      </c>
      <c r="AF880" t="s">
        <v>74</v>
      </c>
      <c r="AG880">
        <v>66</v>
      </c>
      <c r="AH880">
        <v>3</v>
      </c>
      <c r="AI880">
        <v>3</v>
      </c>
      <c r="AJ880">
        <v>0</v>
      </c>
      <c r="AK880">
        <v>3</v>
      </c>
      <c r="AL880" t="s">
        <v>92</v>
      </c>
      <c r="AM880" t="s">
        <v>93</v>
      </c>
      <c r="AN880" t="s">
        <v>94</v>
      </c>
      <c r="AO880" t="s">
        <v>16660</v>
      </c>
      <c r="AP880" t="s">
        <v>74</v>
      </c>
      <c r="AQ880" t="s">
        <v>74</v>
      </c>
      <c r="AR880" t="s">
        <v>16661</v>
      </c>
      <c r="AS880" t="s">
        <v>16662</v>
      </c>
      <c r="AT880" t="s">
        <v>12678</v>
      </c>
      <c r="AU880">
        <v>2020</v>
      </c>
      <c r="AV880">
        <v>24</v>
      </c>
      <c r="AW880" t="s">
        <v>74</v>
      </c>
      <c r="AX880" t="s">
        <v>74</v>
      </c>
      <c r="AY880" t="s">
        <v>74</v>
      </c>
      <c r="AZ880" t="s">
        <v>74</v>
      </c>
      <c r="BA880" t="s">
        <v>74</v>
      </c>
      <c r="BB880" t="s">
        <v>74</v>
      </c>
      <c r="BC880" t="s">
        <v>74</v>
      </c>
      <c r="BD880">
        <v>100830</v>
      </c>
      <c r="BE880" t="s">
        <v>16663</v>
      </c>
      <c r="BF880" t="str">
        <f>HYPERLINK("http://dx.doi.org/10.1016/j.bbrep.2020.100830","http://dx.doi.org/10.1016/j.bbrep.2020.100830")</f>
        <v>http://dx.doi.org/10.1016/j.bbrep.2020.100830</v>
      </c>
      <c r="BG880" t="s">
        <v>74</v>
      </c>
      <c r="BH880" t="s">
        <v>74</v>
      </c>
      <c r="BI880">
        <v>11</v>
      </c>
      <c r="BJ880" t="s">
        <v>6407</v>
      </c>
      <c r="BK880" t="s">
        <v>3050</v>
      </c>
      <c r="BL880" t="s">
        <v>6407</v>
      </c>
      <c r="BM880" t="s">
        <v>16664</v>
      </c>
      <c r="BN880">
        <v>33102813</v>
      </c>
      <c r="BO880" t="s">
        <v>1105</v>
      </c>
      <c r="BP880" t="s">
        <v>74</v>
      </c>
      <c r="BQ880" t="s">
        <v>74</v>
      </c>
      <c r="BR880" t="s">
        <v>106</v>
      </c>
      <c r="BS880" t="s">
        <v>16665</v>
      </c>
      <c r="BT880" t="str">
        <f>HYPERLINK("https%3A%2F%2Fwww.webofscience.com%2Fwos%2Fwoscc%2Ffull-record%2FWOS:000646691800035","View Full Record in Web of Science")</f>
        <v>View Full Record in Web of Science</v>
      </c>
    </row>
    <row r="881" spans="1:72" x14ac:dyDescent="0.15">
      <c r="A881" t="s">
        <v>72</v>
      </c>
      <c r="B881" t="s">
        <v>10581</v>
      </c>
      <c r="C881" t="s">
        <v>74</v>
      </c>
      <c r="D881" t="s">
        <v>74</v>
      </c>
      <c r="E881" t="s">
        <v>74</v>
      </c>
      <c r="F881" t="s">
        <v>10582</v>
      </c>
      <c r="G881" t="s">
        <v>74</v>
      </c>
      <c r="H881" t="s">
        <v>74</v>
      </c>
      <c r="I881" t="s">
        <v>16666</v>
      </c>
      <c r="J881" t="s">
        <v>16667</v>
      </c>
      <c r="K881" t="s">
        <v>74</v>
      </c>
      <c r="L881" t="s">
        <v>74</v>
      </c>
      <c r="M881" t="s">
        <v>78</v>
      </c>
      <c r="N881" t="s">
        <v>79</v>
      </c>
      <c r="O881" t="s">
        <v>74</v>
      </c>
      <c r="P881" t="s">
        <v>74</v>
      </c>
      <c r="Q881" t="s">
        <v>74</v>
      </c>
      <c r="R881" t="s">
        <v>74</v>
      </c>
      <c r="S881" t="s">
        <v>74</v>
      </c>
      <c r="T881" t="s">
        <v>16668</v>
      </c>
      <c r="U881" t="s">
        <v>16669</v>
      </c>
      <c r="V881" t="s">
        <v>16670</v>
      </c>
      <c r="W881" t="s">
        <v>16671</v>
      </c>
      <c r="X881" t="s">
        <v>16672</v>
      </c>
      <c r="Y881" t="s">
        <v>16673</v>
      </c>
      <c r="Z881" t="s">
        <v>10589</v>
      </c>
      <c r="AA881" t="s">
        <v>74</v>
      </c>
      <c r="AB881" t="s">
        <v>74</v>
      </c>
      <c r="AC881" t="s">
        <v>74</v>
      </c>
      <c r="AD881" t="s">
        <v>74</v>
      </c>
      <c r="AE881" t="s">
        <v>74</v>
      </c>
      <c r="AF881" t="s">
        <v>74</v>
      </c>
      <c r="AG881">
        <v>27</v>
      </c>
      <c r="AH881">
        <v>8</v>
      </c>
      <c r="AI881">
        <v>8</v>
      </c>
      <c r="AJ881">
        <v>0</v>
      </c>
      <c r="AK881">
        <v>0</v>
      </c>
      <c r="AL881" t="s">
        <v>8526</v>
      </c>
      <c r="AM881" t="s">
        <v>2921</v>
      </c>
      <c r="AN881" t="s">
        <v>8527</v>
      </c>
      <c r="AO881" t="s">
        <v>74</v>
      </c>
      <c r="AP881" t="s">
        <v>16674</v>
      </c>
      <c r="AQ881" t="s">
        <v>74</v>
      </c>
      <c r="AR881" t="s">
        <v>16675</v>
      </c>
      <c r="AS881" t="s">
        <v>16676</v>
      </c>
      <c r="AT881" t="s">
        <v>12678</v>
      </c>
      <c r="AU881">
        <v>2020</v>
      </c>
      <c r="AV881">
        <v>1</v>
      </c>
      <c r="AW881">
        <v>1</v>
      </c>
      <c r="AX881" t="s">
        <v>74</v>
      </c>
      <c r="AY881" t="s">
        <v>74</v>
      </c>
      <c r="AZ881" t="s">
        <v>74</v>
      </c>
      <c r="BA881" t="s">
        <v>74</v>
      </c>
      <c r="BB881">
        <v>13</v>
      </c>
      <c r="BC881">
        <v>18</v>
      </c>
      <c r="BD881" t="s">
        <v>74</v>
      </c>
      <c r="BE881" t="s">
        <v>16677</v>
      </c>
      <c r="BF881" t="str">
        <f>HYPERLINK("http://dx.doi.org/10.3390/birds1010003","http://dx.doi.org/10.3390/birds1010003")</f>
        <v>http://dx.doi.org/10.3390/birds1010003</v>
      </c>
      <c r="BG881" t="s">
        <v>74</v>
      </c>
      <c r="BH881" t="s">
        <v>74</v>
      </c>
      <c r="BI881">
        <v>6</v>
      </c>
      <c r="BJ881" t="s">
        <v>1027</v>
      </c>
      <c r="BK881" t="s">
        <v>3050</v>
      </c>
      <c r="BL881" t="s">
        <v>1028</v>
      </c>
      <c r="BM881" t="s">
        <v>16678</v>
      </c>
      <c r="BN881" t="s">
        <v>74</v>
      </c>
      <c r="BO881" t="s">
        <v>326</v>
      </c>
      <c r="BP881" t="s">
        <v>74</v>
      </c>
      <c r="BQ881" t="s">
        <v>74</v>
      </c>
      <c r="BR881" t="s">
        <v>106</v>
      </c>
      <c r="BS881" t="s">
        <v>16679</v>
      </c>
      <c r="BT881" t="str">
        <f>HYPERLINK("https%3A%2F%2Fwww.webofscience.com%2Fwos%2Fwoscc%2Ffull-record%2FWOS:001184137700001","View Full Record in Web of Science")</f>
        <v>View Full Record in Web of Science</v>
      </c>
    </row>
    <row r="882" spans="1:72" x14ac:dyDescent="0.15">
      <c r="A882" t="s">
        <v>72</v>
      </c>
      <c r="B882" t="s">
        <v>16680</v>
      </c>
      <c r="C882" t="s">
        <v>74</v>
      </c>
      <c r="D882" t="s">
        <v>74</v>
      </c>
      <c r="E882" t="s">
        <v>74</v>
      </c>
      <c r="F882" t="s">
        <v>16681</v>
      </c>
      <c r="G882" t="s">
        <v>74</v>
      </c>
      <c r="H882" t="s">
        <v>74</v>
      </c>
      <c r="I882" t="s">
        <v>16682</v>
      </c>
      <c r="J882" t="s">
        <v>16683</v>
      </c>
      <c r="K882" t="s">
        <v>74</v>
      </c>
      <c r="L882" t="s">
        <v>74</v>
      </c>
      <c r="M882" t="s">
        <v>78</v>
      </c>
      <c r="N882" t="s">
        <v>79</v>
      </c>
      <c r="O882" t="s">
        <v>74</v>
      </c>
      <c r="P882" t="s">
        <v>74</v>
      </c>
      <c r="Q882" t="s">
        <v>74</v>
      </c>
      <c r="R882" t="s">
        <v>74</v>
      </c>
      <c r="S882" t="s">
        <v>74</v>
      </c>
      <c r="T882" t="s">
        <v>16684</v>
      </c>
      <c r="U882" t="s">
        <v>16685</v>
      </c>
      <c r="V882" t="s">
        <v>16686</v>
      </c>
      <c r="W882" t="s">
        <v>16687</v>
      </c>
      <c r="X882" t="s">
        <v>16688</v>
      </c>
      <c r="Y882" t="s">
        <v>16689</v>
      </c>
      <c r="Z882" t="s">
        <v>74</v>
      </c>
      <c r="AA882" t="s">
        <v>16690</v>
      </c>
      <c r="AB882" t="s">
        <v>74</v>
      </c>
      <c r="AC882" t="s">
        <v>16691</v>
      </c>
      <c r="AD882" t="s">
        <v>16692</v>
      </c>
      <c r="AE882" t="s">
        <v>16693</v>
      </c>
      <c r="AF882" t="s">
        <v>74</v>
      </c>
      <c r="AG882">
        <v>38</v>
      </c>
      <c r="AH882">
        <v>3</v>
      </c>
      <c r="AI882">
        <v>3</v>
      </c>
      <c r="AJ882">
        <v>0</v>
      </c>
      <c r="AK882">
        <v>1</v>
      </c>
      <c r="AL882" t="s">
        <v>92</v>
      </c>
      <c r="AM882" t="s">
        <v>93</v>
      </c>
      <c r="AN882" t="s">
        <v>94</v>
      </c>
      <c r="AO882" t="s">
        <v>16694</v>
      </c>
      <c r="AP882" t="s">
        <v>74</v>
      </c>
      <c r="AQ882" t="s">
        <v>74</v>
      </c>
      <c r="AR882" t="s">
        <v>16695</v>
      </c>
      <c r="AS882" t="s">
        <v>16696</v>
      </c>
      <c r="AT882" t="s">
        <v>12678</v>
      </c>
      <c r="AU882">
        <v>2020</v>
      </c>
      <c r="AV882">
        <v>9</v>
      </c>
      <c r="AW882" t="s">
        <v>74</v>
      </c>
      <c r="AX882" t="s">
        <v>74</v>
      </c>
      <c r="AY882" t="s">
        <v>74</v>
      </c>
      <c r="AZ882" t="s">
        <v>74</v>
      </c>
      <c r="BA882" t="s">
        <v>74</v>
      </c>
      <c r="BB882" t="s">
        <v>74</v>
      </c>
      <c r="BC882" t="s">
        <v>74</v>
      </c>
      <c r="BD882">
        <v>100145</v>
      </c>
      <c r="BE882" t="s">
        <v>16697</v>
      </c>
      <c r="BF882" t="str">
        <f>HYPERLINK("http://dx.doi.org/10.1016/j.bbih.2020.100145","http://dx.doi.org/10.1016/j.bbih.2020.100145")</f>
        <v>http://dx.doi.org/10.1016/j.bbih.2020.100145</v>
      </c>
      <c r="BG882" t="s">
        <v>74</v>
      </c>
      <c r="BH882" t="s">
        <v>74</v>
      </c>
      <c r="BI882">
        <v>7</v>
      </c>
      <c r="BJ882" t="s">
        <v>16698</v>
      </c>
      <c r="BK882" t="s">
        <v>3050</v>
      </c>
      <c r="BL882" t="s">
        <v>16699</v>
      </c>
      <c r="BM882" t="s">
        <v>16700</v>
      </c>
      <c r="BN882">
        <v>34589891</v>
      </c>
      <c r="BO882" t="s">
        <v>246</v>
      </c>
      <c r="BP882" t="s">
        <v>74</v>
      </c>
      <c r="BQ882" t="s">
        <v>74</v>
      </c>
      <c r="BR882" t="s">
        <v>106</v>
      </c>
      <c r="BS882" t="s">
        <v>16701</v>
      </c>
      <c r="BT882" t="str">
        <f>HYPERLINK("https%3A%2F%2Fwww.webofscience.com%2Fwos%2Fwoscc%2Ffull-record%2FWOS:001059491000007","View Full Record in Web of Science")</f>
        <v>View Full Record in Web of Science</v>
      </c>
    </row>
    <row r="883" spans="1:72" x14ac:dyDescent="0.15">
      <c r="A883" t="s">
        <v>72</v>
      </c>
      <c r="B883" t="s">
        <v>16702</v>
      </c>
      <c r="C883" t="s">
        <v>74</v>
      </c>
      <c r="D883" t="s">
        <v>74</v>
      </c>
      <c r="E883" t="s">
        <v>74</v>
      </c>
      <c r="F883" t="s">
        <v>16703</v>
      </c>
      <c r="G883" t="s">
        <v>74</v>
      </c>
      <c r="H883" t="s">
        <v>74</v>
      </c>
      <c r="I883" t="s">
        <v>16704</v>
      </c>
      <c r="J883" t="s">
        <v>16705</v>
      </c>
      <c r="K883" t="s">
        <v>74</v>
      </c>
      <c r="L883" t="s">
        <v>74</v>
      </c>
      <c r="M883" t="s">
        <v>78</v>
      </c>
      <c r="N883" t="s">
        <v>79</v>
      </c>
      <c r="O883" t="s">
        <v>74</v>
      </c>
      <c r="P883" t="s">
        <v>74</v>
      </c>
      <c r="Q883" t="s">
        <v>74</v>
      </c>
      <c r="R883" t="s">
        <v>74</v>
      </c>
      <c r="S883" t="s">
        <v>74</v>
      </c>
      <c r="T883" t="s">
        <v>16706</v>
      </c>
      <c r="U883" t="s">
        <v>16707</v>
      </c>
      <c r="V883" t="s">
        <v>16708</v>
      </c>
      <c r="W883" t="s">
        <v>16709</v>
      </c>
      <c r="X883" t="s">
        <v>74</v>
      </c>
      <c r="Y883" t="s">
        <v>16710</v>
      </c>
      <c r="Z883" t="s">
        <v>16711</v>
      </c>
      <c r="AA883" t="s">
        <v>16712</v>
      </c>
      <c r="AB883" t="s">
        <v>16713</v>
      </c>
      <c r="AC883" t="s">
        <v>16714</v>
      </c>
      <c r="AD883" t="s">
        <v>16715</v>
      </c>
      <c r="AE883" t="s">
        <v>16716</v>
      </c>
      <c r="AF883" t="s">
        <v>74</v>
      </c>
      <c r="AG883">
        <v>90</v>
      </c>
      <c r="AH883">
        <v>4</v>
      </c>
      <c r="AI883">
        <v>4</v>
      </c>
      <c r="AJ883">
        <v>0</v>
      </c>
      <c r="AK883">
        <v>1</v>
      </c>
      <c r="AL883" t="s">
        <v>92</v>
      </c>
      <c r="AM883" t="s">
        <v>93</v>
      </c>
      <c r="AN883" t="s">
        <v>94</v>
      </c>
      <c r="AO883" t="s">
        <v>74</v>
      </c>
      <c r="AP883" t="s">
        <v>16717</v>
      </c>
      <c r="AQ883" t="s">
        <v>74</v>
      </c>
      <c r="AR883" t="s">
        <v>16718</v>
      </c>
      <c r="AS883" t="s">
        <v>16719</v>
      </c>
      <c r="AT883" t="s">
        <v>12678</v>
      </c>
      <c r="AU883">
        <v>2020</v>
      </c>
      <c r="AV883">
        <v>24</v>
      </c>
      <c r="AW883" t="s">
        <v>74</v>
      </c>
      <c r="AX883" t="s">
        <v>74</v>
      </c>
      <c r="AY883" t="s">
        <v>74</v>
      </c>
      <c r="AZ883" t="s">
        <v>582</v>
      </c>
      <c r="BA883" t="s">
        <v>74</v>
      </c>
      <c r="BB883" t="s">
        <v>74</v>
      </c>
      <c r="BC883" t="s">
        <v>74</v>
      </c>
      <c r="BD883">
        <v>100178</v>
      </c>
      <c r="BE883" t="s">
        <v>16720</v>
      </c>
      <c r="BF883" t="str">
        <f>HYPERLINK("http://dx.doi.org/10.1016/j.cpb.2020.100178","http://dx.doi.org/10.1016/j.cpb.2020.100178")</f>
        <v>http://dx.doi.org/10.1016/j.cpb.2020.100178</v>
      </c>
      <c r="BG883" t="s">
        <v>74</v>
      </c>
      <c r="BH883" t="s">
        <v>74</v>
      </c>
      <c r="BI883">
        <v>11</v>
      </c>
      <c r="BJ883" t="s">
        <v>7174</v>
      </c>
      <c r="BK883" t="s">
        <v>3050</v>
      </c>
      <c r="BL883" t="s">
        <v>7174</v>
      </c>
      <c r="BM883" t="s">
        <v>16721</v>
      </c>
      <c r="BN883" t="s">
        <v>74</v>
      </c>
      <c r="BO883" t="s">
        <v>326</v>
      </c>
      <c r="BP883" t="s">
        <v>74</v>
      </c>
      <c r="BQ883" t="s">
        <v>74</v>
      </c>
      <c r="BR883" t="s">
        <v>106</v>
      </c>
      <c r="BS883" t="s">
        <v>16722</v>
      </c>
      <c r="BT883" t="str">
        <f>HYPERLINK("https%3A%2F%2Fwww.webofscience.com%2Fwos%2Fwoscc%2Ffull-record%2FWOS:000604902000002","View Full Record in Web of Science")</f>
        <v>View Full Record in Web of Science</v>
      </c>
    </row>
    <row r="884" spans="1:72" x14ac:dyDescent="0.15">
      <c r="A884" t="s">
        <v>72</v>
      </c>
      <c r="B884" t="s">
        <v>16723</v>
      </c>
      <c r="C884" t="s">
        <v>74</v>
      </c>
      <c r="D884" t="s">
        <v>74</v>
      </c>
      <c r="E884" t="s">
        <v>74</v>
      </c>
      <c r="F884" t="s">
        <v>16724</v>
      </c>
      <c r="G884" t="s">
        <v>74</v>
      </c>
      <c r="H884" t="s">
        <v>74</v>
      </c>
      <c r="I884" t="s">
        <v>16725</v>
      </c>
      <c r="J884" t="s">
        <v>1927</v>
      </c>
      <c r="K884" t="s">
        <v>74</v>
      </c>
      <c r="L884" t="s">
        <v>74</v>
      </c>
      <c r="M884" t="s">
        <v>78</v>
      </c>
      <c r="N884" t="s">
        <v>79</v>
      </c>
      <c r="O884" t="s">
        <v>74</v>
      </c>
      <c r="P884" t="s">
        <v>74</v>
      </c>
      <c r="Q884" t="s">
        <v>74</v>
      </c>
      <c r="R884" t="s">
        <v>74</v>
      </c>
      <c r="S884" t="s">
        <v>74</v>
      </c>
      <c r="T884" t="s">
        <v>16726</v>
      </c>
      <c r="U884" t="s">
        <v>16727</v>
      </c>
      <c r="V884" t="s">
        <v>16728</v>
      </c>
      <c r="W884" t="s">
        <v>16729</v>
      </c>
      <c r="X884" t="s">
        <v>16730</v>
      </c>
      <c r="Y884" t="s">
        <v>16731</v>
      </c>
      <c r="Z884" t="s">
        <v>16732</v>
      </c>
      <c r="AA884" t="s">
        <v>16733</v>
      </c>
      <c r="AB884" t="s">
        <v>16734</v>
      </c>
      <c r="AC884" t="s">
        <v>16735</v>
      </c>
      <c r="AD884" t="s">
        <v>16736</v>
      </c>
      <c r="AE884" t="s">
        <v>16737</v>
      </c>
      <c r="AF884" t="s">
        <v>74</v>
      </c>
      <c r="AG884">
        <v>217</v>
      </c>
      <c r="AH884">
        <v>10</v>
      </c>
      <c r="AI884">
        <v>11</v>
      </c>
      <c r="AJ884">
        <v>2</v>
      </c>
      <c r="AK884">
        <v>12</v>
      </c>
      <c r="AL884" t="s">
        <v>92</v>
      </c>
      <c r="AM884" t="s">
        <v>93</v>
      </c>
      <c r="AN884" t="s">
        <v>16068</v>
      </c>
      <c r="AO884" t="s">
        <v>1940</v>
      </c>
      <c r="AP884" t="s">
        <v>1941</v>
      </c>
      <c r="AQ884" t="s">
        <v>74</v>
      </c>
      <c r="AR884" t="s">
        <v>1927</v>
      </c>
      <c r="AS884" t="s">
        <v>1942</v>
      </c>
      <c r="AT884" t="s">
        <v>14993</v>
      </c>
      <c r="AU884">
        <v>2020</v>
      </c>
      <c r="AV884">
        <v>370</v>
      </c>
      <c r="AW884" t="s">
        <v>74</v>
      </c>
      <c r="AX884" t="s">
        <v>74</v>
      </c>
      <c r="AY884" t="s">
        <v>74</v>
      </c>
      <c r="AZ884" t="s">
        <v>74</v>
      </c>
      <c r="BA884" t="s">
        <v>74</v>
      </c>
      <c r="BB884" t="s">
        <v>74</v>
      </c>
      <c r="BC884" t="s">
        <v>74</v>
      </c>
      <c r="BD884">
        <v>107369</v>
      </c>
      <c r="BE884" t="s">
        <v>16738</v>
      </c>
      <c r="BF884" t="str">
        <f>HYPERLINK("http://dx.doi.org/10.1016/j.geomorph.2020.107369","http://dx.doi.org/10.1016/j.geomorph.2020.107369")</f>
        <v>http://dx.doi.org/10.1016/j.geomorph.2020.107369</v>
      </c>
      <c r="BG884" t="s">
        <v>74</v>
      </c>
      <c r="BH884" t="s">
        <v>74</v>
      </c>
      <c r="BI884">
        <v>22</v>
      </c>
      <c r="BJ884" t="s">
        <v>156</v>
      </c>
      <c r="BK884" t="s">
        <v>103</v>
      </c>
      <c r="BL884" t="s">
        <v>157</v>
      </c>
      <c r="BM884" t="s">
        <v>16739</v>
      </c>
      <c r="BN884" t="s">
        <v>74</v>
      </c>
      <c r="BO884" t="s">
        <v>11922</v>
      </c>
      <c r="BP884" t="s">
        <v>74</v>
      </c>
      <c r="BQ884" t="s">
        <v>74</v>
      </c>
      <c r="BR884" t="s">
        <v>106</v>
      </c>
      <c r="BS884" t="s">
        <v>16740</v>
      </c>
      <c r="BT884" t="str">
        <f>HYPERLINK("https%3A%2F%2Fwww.webofscience.com%2Fwos%2Fwoscc%2Ffull-record%2FWOS:000589916500005","View Full Record in Web of Science")</f>
        <v>View Full Record in Web of Science</v>
      </c>
    </row>
    <row r="885" spans="1:72" x14ac:dyDescent="0.15">
      <c r="A885" t="s">
        <v>72</v>
      </c>
      <c r="B885" t="s">
        <v>16741</v>
      </c>
      <c r="C885" t="s">
        <v>74</v>
      </c>
      <c r="D885" t="s">
        <v>74</v>
      </c>
      <c r="E885" t="s">
        <v>74</v>
      </c>
      <c r="F885" t="s">
        <v>16742</v>
      </c>
      <c r="G885" t="s">
        <v>74</v>
      </c>
      <c r="H885" t="s">
        <v>74</v>
      </c>
      <c r="I885" t="s">
        <v>16743</v>
      </c>
      <c r="J885" t="s">
        <v>8574</v>
      </c>
      <c r="K885" t="s">
        <v>74</v>
      </c>
      <c r="L885" t="s">
        <v>74</v>
      </c>
      <c r="M885" t="s">
        <v>78</v>
      </c>
      <c r="N885" t="s">
        <v>79</v>
      </c>
      <c r="O885" t="s">
        <v>74</v>
      </c>
      <c r="P885" t="s">
        <v>74</v>
      </c>
      <c r="Q885" t="s">
        <v>74</v>
      </c>
      <c r="R885" t="s">
        <v>74</v>
      </c>
      <c r="S885" t="s">
        <v>74</v>
      </c>
      <c r="T885" t="s">
        <v>74</v>
      </c>
      <c r="U885" t="s">
        <v>16744</v>
      </c>
      <c r="V885" t="s">
        <v>16745</v>
      </c>
      <c r="W885" t="s">
        <v>16746</v>
      </c>
      <c r="X885" t="s">
        <v>16747</v>
      </c>
      <c r="Y885" t="s">
        <v>16748</v>
      </c>
      <c r="Z885" t="s">
        <v>16749</v>
      </c>
      <c r="AA885" t="s">
        <v>16750</v>
      </c>
      <c r="AB885" t="s">
        <v>16751</v>
      </c>
      <c r="AC885" t="s">
        <v>16752</v>
      </c>
      <c r="AD885" t="s">
        <v>16753</v>
      </c>
      <c r="AE885" t="s">
        <v>16754</v>
      </c>
      <c r="AF885" t="s">
        <v>74</v>
      </c>
      <c r="AG885">
        <v>93</v>
      </c>
      <c r="AH885">
        <v>31</v>
      </c>
      <c r="AI885">
        <v>34</v>
      </c>
      <c r="AJ885">
        <v>6</v>
      </c>
      <c r="AK885">
        <v>31</v>
      </c>
      <c r="AL885" t="s">
        <v>7290</v>
      </c>
      <c r="AM885" t="s">
        <v>7291</v>
      </c>
      <c r="AN885" t="s">
        <v>7436</v>
      </c>
      <c r="AO885" t="s">
        <v>8587</v>
      </c>
      <c r="AP885" t="s">
        <v>8588</v>
      </c>
      <c r="AQ885" t="s">
        <v>74</v>
      </c>
      <c r="AR885" t="s">
        <v>8589</v>
      </c>
      <c r="AS885" t="s">
        <v>8590</v>
      </c>
      <c r="AT885" t="s">
        <v>14993</v>
      </c>
      <c r="AU885">
        <v>2020</v>
      </c>
      <c r="AV885">
        <v>33</v>
      </c>
      <c r="AW885">
        <v>23</v>
      </c>
      <c r="AX885" t="s">
        <v>74</v>
      </c>
      <c r="AY885" t="s">
        <v>74</v>
      </c>
      <c r="AZ885" t="s">
        <v>74</v>
      </c>
      <c r="BA885" t="s">
        <v>74</v>
      </c>
      <c r="BB885">
        <v>10003</v>
      </c>
      <c r="BC885">
        <v>10020</v>
      </c>
      <c r="BD885" t="s">
        <v>74</v>
      </c>
      <c r="BE885" t="s">
        <v>16755</v>
      </c>
      <c r="BF885" t="str">
        <f>HYPERLINK("http://dx.doi.org/10.1175/JCLI-D-19-0877.1","http://dx.doi.org/10.1175/JCLI-D-19-0877.1")</f>
        <v>http://dx.doi.org/10.1175/JCLI-D-19-0877.1</v>
      </c>
      <c r="BG885" t="s">
        <v>74</v>
      </c>
      <c r="BH885" t="s">
        <v>74</v>
      </c>
      <c r="BI885">
        <v>18</v>
      </c>
      <c r="BJ885" t="s">
        <v>687</v>
      </c>
      <c r="BK885" t="s">
        <v>103</v>
      </c>
      <c r="BL885" t="s">
        <v>687</v>
      </c>
      <c r="BM885" t="s">
        <v>16756</v>
      </c>
      <c r="BN885" t="s">
        <v>74</v>
      </c>
      <c r="BO885" t="s">
        <v>3283</v>
      </c>
      <c r="BP885" t="s">
        <v>74</v>
      </c>
      <c r="BQ885" t="s">
        <v>74</v>
      </c>
      <c r="BR885" t="s">
        <v>106</v>
      </c>
      <c r="BS885" t="s">
        <v>16757</v>
      </c>
      <c r="BT885" t="str">
        <f>HYPERLINK("https%3A%2F%2Fwww.webofscience.com%2Fwos%2Fwoscc%2Ffull-record%2FWOS:000615171300001","View Full Record in Web of Science")</f>
        <v>View Full Record in Web of Science</v>
      </c>
    </row>
    <row r="886" spans="1:72" x14ac:dyDescent="0.15">
      <c r="A886" t="s">
        <v>72</v>
      </c>
      <c r="B886" t="s">
        <v>16758</v>
      </c>
      <c r="C886" t="s">
        <v>74</v>
      </c>
      <c r="D886" t="s">
        <v>74</v>
      </c>
      <c r="E886" t="s">
        <v>74</v>
      </c>
      <c r="F886" t="s">
        <v>16759</v>
      </c>
      <c r="G886" t="s">
        <v>74</v>
      </c>
      <c r="H886" t="s">
        <v>74</v>
      </c>
      <c r="I886" t="s">
        <v>16760</v>
      </c>
      <c r="J886" t="s">
        <v>16761</v>
      </c>
      <c r="K886" t="s">
        <v>74</v>
      </c>
      <c r="L886" t="s">
        <v>74</v>
      </c>
      <c r="M886" t="s">
        <v>78</v>
      </c>
      <c r="N886" t="s">
        <v>79</v>
      </c>
      <c r="O886" t="s">
        <v>74</v>
      </c>
      <c r="P886" t="s">
        <v>74</v>
      </c>
      <c r="Q886" t="s">
        <v>74</v>
      </c>
      <c r="R886" t="s">
        <v>74</v>
      </c>
      <c r="S886" t="s">
        <v>74</v>
      </c>
      <c r="T886" t="s">
        <v>16762</v>
      </c>
      <c r="U886" t="s">
        <v>16763</v>
      </c>
      <c r="V886" t="s">
        <v>16764</v>
      </c>
      <c r="W886" t="s">
        <v>16765</v>
      </c>
      <c r="X886" t="s">
        <v>16766</v>
      </c>
      <c r="Y886" t="s">
        <v>16767</v>
      </c>
      <c r="Z886" t="s">
        <v>16768</v>
      </c>
      <c r="AA886" t="s">
        <v>16769</v>
      </c>
      <c r="AB886" t="s">
        <v>16770</v>
      </c>
      <c r="AC886" t="s">
        <v>16771</v>
      </c>
      <c r="AD886" t="s">
        <v>16772</v>
      </c>
      <c r="AE886" t="s">
        <v>16773</v>
      </c>
      <c r="AF886" t="s">
        <v>74</v>
      </c>
      <c r="AG886">
        <v>39</v>
      </c>
      <c r="AH886">
        <v>12</v>
      </c>
      <c r="AI886">
        <v>12</v>
      </c>
      <c r="AJ886">
        <v>1</v>
      </c>
      <c r="AK886">
        <v>2</v>
      </c>
      <c r="AL886" t="s">
        <v>14181</v>
      </c>
      <c r="AM886" t="s">
        <v>10770</v>
      </c>
      <c r="AN886" t="s">
        <v>10771</v>
      </c>
      <c r="AO886" t="s">
        <v>16774</v>
      </c>
      <c r="AP886" t="s">
        <v>74</v>
      </c>
      <c r="AQ886" t="s">
        <v>74</v>
      </c>
      <c r="AR886" t="s">
        <v>16775</v>
      </c>
      <c r="AS886" t="s">
        <v>16776</v>
      </c>
      <c r="AT886" t="s">
        <v>12678</v>
      </c>
      <c r="AU886">
        <v>2020</v>
      </c>
      <c r="AV886" t="s">
        <v>74</v>
      </c>
      <c r="AW886">
        <v>12</v>
      </c>
      <c r="AX886" t="s">
        <v>74</v>
      </c>
      <c r="AY886" t="s">
        <v>74</v>
      </c>
      <c r="AZ886" t="s">
        <v>74</v>
      </c>
      <c r="BA886" t="s">
        <v>74</v>
      </c>
      <c r="BB886" t="s">
        <v>74</v>
      </c>
      <c r="BC886" t="s">
        <v>74</v>
      </c>
      <c r="BD886">
        <v>9</v>
      </c>
      <c r="BE886" t="s">
        <v>16777</v>
      </c>
      <c r="BF886" t="str">
        <f>HYPERLINK("http://dx.doi.org/10.1088/1475-7516/2020/12/009","http://dx.doi.org/10.1088/1475-7516/2020/12/009")</f>
        <v>http://dx.doi.org/10.1088/1475-7516/2020/12/009</v>
      </c>
      <c r="BG886" t="s">
        <v>74</v>
      </c>
      <c r="BH886" t="s">
        <v>74</v>
      </c>
      <c r="BI886">
        <v>31</v>
      </c>
      <c r="BJ886" t="s">
        <v>9902</v>
      </c>
      <c r="BK886" t="s">
        <v>103</v>
      </c>
      <c r="BL886" t="s">
        <v>9903</v>
      </c>
      <c r="BM886" t="s">
        <v>16778</v>
      </c>
      <c r="BN886" t="s">
        <v>74</v>
      </c>
      <c r="BO886" t="s">
        <v>1220</v>
      </c>
      <c r="BP886" t="s">
        <v>74</v>
      </c>
      <c r="BQ886" t="s">
        <v>74</v>
      </c>
      <c r="BR886" t="s">
        <v>106</v>
      </c>
      <c r="BS886" t="s">
        <v>16779</v>
      </c>
      <c r="BT886" t="str">
        <f>HYPERLINK("https%3A%2F%2Fwww.webofscience.com%2Fwos%2Fwoscc%2Ffull-record%2FWOS:000595628900002","View Full Record in Web of Science")</f>
        <v>View Full Record in Web of Science</v>
      </c>
    </row>
    <row r="887" spans="1:72" x14ac:dyDescent="0.15">
      <c r="A887" t="s">
        <v>72</v>
      </c>
      <c r="B887" t="s">
        <v>16780</v>
      </c>
      <c r="C887" t="s">
        <v>74</v>
      </c>
      <c r="D887" t="s">
        <v>74</v>
      </c>
      <c r="E887" t="s">
        <v>74</v>
      </c>
      <c r="F887" t="s">
        <v>16781</v>
      </c>
      <c r="G887" t="s">
        <v>74</v>
      </c>
      <c r="H887" t="s">
        <v>74</v>
      </c>
      <c r="I887" t="s">
        <v>16782</v>
      </c>
      <c r="J887" t="s">
        <v>8145</v>
      </c>
      <c r="K887" t="s">
        <v>74</v>
      </c>
      <c r="L887" t="s">
        <v>74</v>
      </c>
      <c r="M887" t="s">
        <v>78</v>
      </c>
      <c r="N887" t="s">
        <v>79</v>
      </c>
      <c r="O887" t="s">
        <v>74</v>
      </c>
      <c r="P887" t="s">
        <v>74</v>
      </c>
      <c r="Q887" t="s">
        <v>74</v>
      </c>
      <c r="R887" t="s">
        <v>74</v>
      </c>
      <c r="S887" t="s">
        <v>74</v>
      </c>
      <c r="T887" t="s">
        <v>74</v>
      </c>
      <c r="U887" t="s">
        <v>16783</v>
      </c>
      <c r="V887" t="s">
        <v>16784</v>
      </c>
      <c r="W887" t="s">
        <v>16785</v>
      </c>
      <c r="X887" t="s">
        <v>5705</v>
      </c>
      <c r="Y887" t="s">
        <v>16786</v>
      </c>
      <c r="Z887" t="s">
        <v>16787</v>
      </c>
      <c r="AA887" t="s">
        <v>16788</v>
      </c>
      <c r="AB887" t="s">
        <v>16789</v>
      </c>
      <c r="AC887" t="s">
        <v>16790</v>
      </c>
      <c r="AD887" t="s">
        <v>16791</v>
      </c>
      <c r="AE887" t="s">
        <v>16792</v>
      </c>
      <c r="AF887" t="s">
        <v>74</v>
      </c>
      <c r="AG887">
        <v>56</v>
      </c>
      <c r="AH887">
        <v>18</v>
      </c>
      <c r="AI887">
        <v>19</v>
      </c>
      <c r="AJ887">
        <v>2</v>
      </c>
      <c r="AK887">
        <v>10</v>
      </c>
      <c r="AL887" t="s">
        <v>1291</v>
      </c>
      <c r="AM887" t="s">
        <v>629</v>
      </c>
      <c r="AN887" t="s">
        <v>1292</v>
      </c>
      <c r="AO887" t="s">
        <v>8157</v>
      </c>
      <c r="AP887" t="s">
        <v>8158</v>
      </c>
      <c r="AQ887" t="s">
        <v>74</v>
      </c>
      <c r="AR887" t="s">
        <v>8159</v>
      </c>
      <c r="AS887" t="s">
        <v>8160</v>
      </c>
      <c r="AT887" t="s">
        <v>12678</v>
      </c>
      <c r="AU887">
        <v>2020</v>
      </c>
      <c r="AV887">
        <v>125</v>
      </c>
      <c r="AW887">
        <v>12</v>
      </c>
      <c r="AX887" t="s">
        <v>74</v>
      </c>
      <c r="AY887" t="s">
        <v>74</v>
      </c>
      <c r="AZ887" t="s">
        <v>74</v>
      </c>
      <c r="BA887" t="s">
        <v>74</v>
      </c>
      <c r="BB887" t="s">
        <v>74</v>
      </c>
      <c r="BC887" t="s">
        <v>74</v>
      </c>
      <c r="BD887" t="s">
        <v>16793</v>
      </c>
      <c r="BE887" t="s">
        <v>16794</v>
      </c>
      <c r="BF887" t="str">
        <f>HYPERLINK("http://dx.doi.org/10.1029/2020JA028623","http://dx.doi.org/10.1029/2020JA028623")</f>
        <v>http://dx.doi.org/10.1029/2020JA028623</v>
      </c>
      <c r="BG887" t="s">
        <v>74</v>
      </c>
      <c r="BH887" t="s">
        <v>74</v>
      </c>
      <c r="BI887">
        <v>14</v>
      </c>
      <c r="BJ887" t="s">
        <v>3258</v>
      </c>
      <c r="BK887" t="s">
        <v>103</v>
      </c>
      <c r="BL887" t="s">
        <v>3258</v>
      </c>
      <c r="BM887" t="s">
        <v>16795</v>
      </c>
      <c r="BN887" t="s">
        <v>74</v>
      </c>
      <c r="BO887" t="s">
        <v>8164</v>
      </c>
      <c r="BP887" t="s">
        <v>74</v>
      </c>
      <c r="BQ887" t="s">
        <v>74</v>
      </c>
      <c r="BR887" t="s">
        <v>106</v>
      </c>
      <c r="BS887" t="s">
        <v>16796</v>
      </c>
      <c r="BT887" t="str">
        <f>HYPERLINK("https%3A%2F%2Fwww.webofscience.com%2Fwos%2Fwoscc%2Ffull-record%2FWOS:000603639900022","View Full Record in Web of Science")</f>
        <v>View Full Record in Web of Science</v>
      </c>
    </row>
    <row r="888" spans="1:72" x14ac:dyDescent="0.15">
      <c r="A888" t="s">
        <v>72</v>
      </c>
      <c r="B888" t="s">
        <v>16797</v>
      </c>
      <c r="C888" t="s">
        <v>74</v>
      </c>
      <c r="D888" t="s">
        <v>74</v>
      </c>
      <c r="E888" t="s">
        <v>74</v>
      </c>
      <c r="F888" t="s">
        <v>16798</v>
      </c>
      <c r="G888" t="s">
        <v>74</v>
      </c>
      <c r="H888" t="s">
        <v>74</v>
      </c>
      <c r="I888" t="s">
        <v>16799</v>
      </c>
      <c r="J888" t="s">
        <v>14058</v>
      </c>
      <c r="K888" t="s">
        <v>74</v>
      </c>
      <c r="L888" t="s">
        <v>74</v>
      </c>
      <c r="M888" t="s">
        <v>78</v>
      </c>
      <c r="N888" t="s">
        <v>79</v>
      </c>
      <c r="O888" t="s">
        <v>74</v>
      </c>
      <c r="P888" t="s">
        <v>74</v>
      </c>
      <c r="Q888" t="s">
        <v>74</v>
      </c>
      <c r="R888" t="s">
        <v>74</v>
      </c>
      <c r="S888" t="s">
        <v>74</v>
      </c>
      <c r="T888" t="s">
        <v>16800</v>
      </c>
      <c r="U888" t="s">
        <v>16801</v>
      </c>
      <c r="V888" t="s">
        <v>16802</v>
      </c>
      <c r="W888" t="s">
        <v>16803</v>
      </c>
      <c r="X888" t="s">
        <v>16804</v>
      </c>
      <c r="Y888" t="s">
        <v>16805</v>
      </c>
      <c r="Z888" t="s">
        <v>16806</v>
      </c>
      <c r="AA888" t="s">
        <v>16807</v>
      </c>
      <c r="AB888" t="s">
        <v>16808</v>
      </c>
      <c r="AC888" t="s">
        <v>16809</v>
      </c>
      <c r="AD888" t="s">
        <v>16810</v>
      </c>
      <c r="AE888" t="s">
        <v>16811</v>
      </c>
      <c r="AF888" t="s">
        <v>74</v>
      </c>
      <c r="AG888">
        <v>105</v>
      </c>
      <c r="AH888">
        <v>61</v>
      </c>
      <c r="AI888">
        <v>65</v>
      </c>
      <c r="AJ888">
        <v>1</v>
      </c>
      <c r="AK888">
        <v>13</v>
      </c>
      <c r="AL888" t="s">
        <v>1210</v>
      </c>
      <c r="AM888" t="s">
        <v>264</v>
      </c>
      <c r="AN888" t="s">
        <v>8391</v>
      </c>
      <c r="AO888" t="s">
        <v>14071</v>
      </c>
      <c r="AP888" t="s">
        <v>14072</v>
      </c>
      <c r="AQ888" t="s">
        <v>74</v>
      </c>
      <c r="AR888" t="s">
        <v>14073</v>
      </c>
      <c r="AS888" t="s">
        <v>14074</v>
      </c>
      <c r="AT888" t="s">
        <v>12678</v>
      </c>
      <c r="AU888">
        <v>2020</v>
      </c>
      <c r="AV888">
        <v>66</v>
      </c>
      <c r="AW888">
        <v>260</v>
      </c>
      <c r="AX888" t="s">
        <v>74</v>
      </c>
      <c r="AY888" t="s">
        <v>74</v>
      </c>
      <c r="AZ888" t="s">
        <v>74</v>
      </c>
      <c r="BA888" t="s">
        <v>74</v>
      </c>
      <c r="BB888">
        <v>891</v>
      </c>
      <c r="BC888">
        <v>904</v>
      </c>
      <c r="BD888" t="s">
        <v>16812</v>
      </c>
      <c r="BE888" t="s">
        <v>16813</v>
      </c>
      <c r="BF888" t="str">
        <f>HYPERLINK("http://dx.doi.org/10.1017/jog.2020.67","http://dx.doi.org/10.1017/jog.2020.67")</f>
        <v>http://dx.doi.org/10.1017/jog.2020.67</v>
      </c>
      <c r="BG888" t="s">
        <v>74</v>
      </c>
      <c r="BH888" t="s">
        <v>74</v>
      </c>
      <c r="BI888">
        <v>14</v>
      </c>
      <c r="BJ888" t="s">
        <v>156</v>
      </c>
      <c r="BK888" t="s">
        <v>103</v>
      </c>
      <c r="BL888" t="s">
        <v>157</v>
      </c>
      <c r="BM888" t="s">
        <v>14077</v>
      </c>
      <c r="BN888" t="s">
        <v>74</v>
      </c>
      <c r="BO888" t="s">
        <v>510</v>
      </c>
      <c r="BP888" t="s">
        <v>74</v>
      </c>
      <c r="BQ888" t="s">
        <v>74</v>
      </c>
      <c r="BR888" t="s">
        <v>106</v>
      </c>
      <c r="BS888" t="s">
        <v>16814</v>
      </c>
      <c r="BT888" t="str">
        <f>HYPERLINK("https%3A%2F%2Fwww.webofscience.com%2Fwos%2Fwoscc%2Ffull-record%2FWOS:000592212900001","View Full Record in Web of Science")</f>
        <v>View Full Record in Web of Science</v>
      </c>
    </row>
    <row r="889" spans="1:72" x14ac:dyDescent="0.15">
      <c r="A889" t="s">
        <v>72</v>
      </c>
      <c r="B889" t="s">
        <v>16815</v>
      </c>
      <c r="C889" t="s">
        <v>74</v>
      </c>
      <c r="D889" t="s">
        <v>74</v>
      </c>
      <c r="E889" t="s">
        <v>74</v>
      </c>
      <c r="F889" t="s">
        <v>16816</v>
      </c>
      <c r="G889" t="s">
        <v>74</v>
      </c>
      <c r="H889" t="s">
        <v>74</v>
      </c>
      <c r="I889" t="s">
        <v>16817</v>
      </c>
      <c r="J889" t="s">
        <v>16818</v>
      </c>
      <c r="K889" t="s">
        <v>74</v>
      </c>
      <c r="L889" t="s">
        <v>74</v>
      </c>
      <c r="M889" t="s">
        <v>78</v>
      </c>
      <c r="N889" t="s">
        <v>79</v>
      </c>
      <c r="O889" t="s">
        <v>74</v>
      </c>
      <c r="P889" t="s">
        <v>74</v>
      </c>
      <c r="Q889" t="s">
        <v>74</v>
      </c>
      <c r="R889" t="s">
        <v>74</v>
      </c>
      <c r="S889" t="s">
        <v>74</v>
      </c>
      <c r="T889" t="s">
        <v>16819</v>
      </c>
      <c r="U889" t="s">
        <v>74</v>
      </c>
      <c r="V889" t="s">
        <v>16820</v>
      </c>
      <c r="W889" t="s">
        <v>16821</v>
      </c>
      <c r="X889" t="s">
        <v>16822</v>
      </c>
      <c r="Y889" t="s">
        <v>16823</v>
      </c>
      <c r="Z889" t="s">
        <v>16824</v>
      </c>
      <c r="AA889" t="s">
        <v>74</v>
      </c>
      <c r="AB889" t="s">
        <v>74</v>
      </c>
      <c r="AC889" t="s">
        <v>16825</v>
      </c>
      <c r="AD889" t="s">
        <v>16826</v>
      </c>
      <c r="AE889" t="s">
        <v>16827</v>
      </c>
      <c r="AF889" t="s">
        <v>74</v>
      </c>
      <c r="AG889">
        <v>35</v>
      </c>
      <c r="AH889">
        <v>1</v>
      </c>
      <c r="AI889">
        <v>1</v>
      </c>
      <c r="AJ889">
        <v>1</v>
      </c>
      <c r="AK889">
        <v>2</v>
      </c>
      <c r="AL889" t="s">
        <v>16828</v>
      </c>
      <c r="AM889" t="s">
        <v>16829</v>
      </c>
      <c r="AN889" t="s">
        <v>16830</v>
      </c>
      <c r="AO889" t="s">
        <v>16831</v>
      </c>
      <c r="AP889" t="s">
        <v>16832</v>
      </c>
      <c r="AQ889" t="s">
        <v>74</v>
      </c>
      <c r="AR889" t="s">
        <v>16833</v>
      </c>
      <c r="AS889" t="s">
        <v>16834</v>
      </c>
      <c r="AT889" t="s">
        <v>12678</v>
      </c>
      <c r="AU889">
        <v>2020</v>
      </c>
      <c r="AV889">
        <v>21</v>
      </c>
      <c r="AW889">
        <v>2</v>
      </c>
      <c r="AX889" t="s">
        <v>74</v>
      </c>
      <c r="AY889" t="s">
        <v>74</v>
      </c>
      <c r="AZ889" t="s">
        <v>74</v>
      </c>
      <c r="BA889" t="s">
        <v>74</v>
      </c>
      <c r="BB889">
        <v>67</v>
      </c>
      <c r="BC889">
        <v>89</v>
      </c>
      <c r="BD889" t="s">
        <v>74</v>
      </c>
      <c r="BE889" t="s">
        <v>16835</v>
      </c>
      <c r="BF889" t="str">
        <f>HYPERLINK("http://dx.doi.org/10.3167/jys.2020.210204","http://dx.doi.org/10.3167/jys.2020.210204")</f>
        <v>http://dx.doi.org/10.3167/jys.2020.210204</v>
      </c>
      <c r="BG889" t="s">
        <v>74</v>
      </c>
      <c r="BH889" t="s">
        <v>74</v>
      </c>
      <c r="BI889">
        <v>23</v>
      </c>
      <c r="BJ889" t="s">
        <v>16836</v>
      </c>
      <c r="BK889" t="s">
        <v>3050</v>
      </c>
      <c r="BL889" t="s">
        <v>16836</v>
      </c>
      <c r="BM889" t="s">
        <v>16837</v>
      </c>
      <c r="BN889" t="s">
        <v>74</v>
      </c>
      <c r="BO889" t="s">
        <v>74</v>
      </c>
      <c r="BP889" t="s">
        <v>74</v>
      </c>
      <c r="BQ889" t="s">
        <v>74</v>
      </c>
      <c r="BR889" t="s">
        <v>106</v>
      </c>
      <c r="BS889" t="s">
        <v>16838</v>
      </c>
      <c r="BT889" t="str">
        <f>HYPERLINK("https%3A%2F%2Fwww.webofscience.com%2Fwos%2Fwoscc%2Ffull-record%2FWOS:000589780900004","View Full Record in Web of Science")</f>
        <v>View Full Record in Web of Science</v>
      </c>
    </row>
    <row r="890" spans="1:72" x14ac:dyDescent="0.15">
      <c r="A890" t="s">
        <v>72</v>
      </c>
      <c r="B890" t="s">
        <v>16839</v>
      </c>
      <c r="C890" t="s">
        <v>74</v>
      </c>
      <c r="D890" t="s">
        <v>74</v>
      </c>
      <c r="E890" t="s">
        <v>74</v>
      </c>
      <c r="F890" t="s">
        <v>16840</v>
      </c>
      <c r="G890" t="s">
        <v>74</v>
      </c>
      <c r="H890" t="s">
        <v>74</v>
      </c>
      <c r="I890" t="s">
        <v>16841</v>
      </c>
      <c r="J890" t="s">
        <v>15223</v>
      </c>
      <c r="K890" t="s">
        <v>74</v>
      </c>
      <c r="L890" t="s">
        <v>74</v>
      </c>
      <c r="M890" t="s">
        <v>78</v>
      </c>
      <c r="N890" t="s">
        <v>141</v>
      </c>
      <c r="O890" t="s">
        <v>74</v>
      </c>
      <c r="P890" t="s">
        <v>74</v>
      </c>
      <c r="Q890" t="s">
        <v>74</v>
      </c>
      <c r="R890" t="s">
        <v>74</v>
      </c>
      <c r="S890" t="s">
        <v>74</v>
      </c>
      <c r="T890" t="s">
        <v>16842</v>
      </c>
      <c r="U890" t="s">
        <v>16843</v>
      </c>
      <c r="V890" t="s">
        <v>16844</v>
      </c>
      <c r="W890" t="s">
        <v>16845</v>
      </c>
      <c r="X890" t="s">
        <v>16846</v>
      </c>
      <c r="Y890" t="s">
        <v>16847</v>
      </c>
      <c r="Z890" t="s">
        <v>16848</v>
      </c>
      <c r="AA890" t="s">
        <v>16849</v>
      </c>
      <c r="AB890" t="s">
        <v>16850</v>
      </c>
      <c r="AC890" t="s">
        <v>16851</v>
      </c>
      <c r="AD890" t="s">
        <v>16852</v>
      </c>
      <c r="AE890" t="s">
        <v>16853</v>
      </c>
      <c r="AF890" t="s">
        <v>74</v>
      </c>
      <c r="AG890">
        <v>112</v>
      </c>
      <c r="AH890">
        <v>23</v>
      </c>
      <c r="AI890">
        <v>27</v>
      </c>
      <c r="AJ890">
        <v>1</v>
      </c>
      <c r="AK890">
        <v>16</v>
      </c>
      <c r="AL890" t="s">
        <v>8526</v>
      </c>
      <c r="AM890" t="s">
        <v>2921</v>
      </c>
      <c r="AN890" t="s">
        <v>8527</v>
      </c>
      <c r="AO890" t="s">
        <v>74</v>
      </c>
      <c r="AP890" t="s">
        <v>15232</v>
      </c>
      <c r="AQ890" t="s">
        <v>74</v>
      </c>
      <c r="AR890" t="s">
        <v>15233</v>
      </c>
      <c r="AS890" t="s">
        <v>15234</v>
      </c>
      <c r="AT890" t="s">
        <v>12678</v>
      </c>
      <c r="AU890">
        <v>2020</v>
      </c>
      <c r="AV890">
        <v>18</v>
      </c>
      <c r="AW890">
        <v>12</v>
      </c>
      <c r="AX890" t="s">
        <v>74</v>
      </c>
      <c r="AY890" t="s">
        <v>74</v>
      </c>
      <c r="AZ890" t="s">
        <v>74</v>
      </c>
      <c r="BA890" t="s">
        <v>74</v>
      </c>
      <c r="BB890" t="s">
        <v>74</v>
      </c>
      <c r="BC890" t="s">
        <v>74</v>
      </c>
      <c r="BD890">
        <v>584</v>
      </c>
      <c r="BE890" t="s">
        <v>16854</v>
      </c>
      <c r="BF890" t="str">
        <f>HYPERLINK("http://dx.doi.org/10.3390/md18120584","http://dx.doi.org/10.3390/md18120584")</f>
        <v>http://dx.doi.org/10.3390/md18120584</v>
      </c>
      <c r="BG890" t="s">
        <v>74</v>
      </c>
      <c r="BH890" t="s">
        <v>74</v>
      </c>
      <c r="BI890">
        <v>30</v>
      </c>
      <c r="BJ890" t="s">
        <v>15236</v>
      </c>
      <c r="BK890" t="s">
        <v>103</v>
      </c>
      <c r="BL890" t="s">
        <v>15237</v>
      </c>
      <c r="BM890" t="s">
        <v>16855</v>
      </c>
      <c r="BN890">
        <v>33255254</v>
      </c>
      <c r="BO890" t="s">
        <v>246</v>
      </c>
      <c r="BP890" t="s">
        <v>74</v>
      </c>
      <c r="BQ890" t="s">
        <v>74</v>
      </c>
      <c r="BR890" t="s">
        <v>106</v>
      </c>
      <c r="BS890" t="s">
        <v>16856</v>
      </c>
      <c r="BT890" t="str">
        <f>HYPERLINK("https%3A%2F%2Fwww.webofscience.com%2Fwos%2Fwoscc%2Ffull-record%2FWOS:000602011500001","View Full Record in Web of Science")</f>
        <v>View Full Record in Web of Science</v>
      </c>
    </row>
    <row r="891" spans="1:72" x14ac:dyDescent="0.15">
      <c r="A891" t="s">
        <v>72</v>
      </c>
      <c r="B891" t="s">
        <v>16857</v>
      </c>
      <c r="C891" t="s">
        <v>74</v>
      </c>
      <c r="D891" t="s">
        <v>74</v>
      </c>
      <c r="E891" t="s">
        <v>74</v>
      </c>
      <c r="F891" t="s">
        <v>16858</v>
      </c>
      <c r="G891" t="s">
        <v>74</v>
      </c>
      <c r="H891" t="s">
        <v>74</v>
      </c>
      <c r="I891" t="s">
        <v>16859</v>
      </c>
      <c r="J891" t="s">
        <v>16860</v>
      </c>
      <c r="K891" t="s">
        <v>74</v>
      </c>
      <c r="L891" t="s">
        <v>74</v>
      </c>
      <c r="M891" t="s">
        <v>78</v>
      </c>
      <c r="N891" t="s">
        <v>141</v>
      </c>
      <c r="O891" t="s">
        <v>74</v>
      </c>
      <c r="P891" t="s">
        <v>74</v>
      </c>
      <c r="Q891" t="s">
        <v>74</v>
      </c>
      <c r="R891" t="s">
        <v>74</v>
      </c>
      <c r="S891" t="s">
        <v>74</v>
      </c>
      <c r="T891" t="s">
        <v>74</v>
      </c>
      <c r="U891" t="s">
        <v>16861</v>
      </c>
      <c r="V891" t="s">
        <v>16862</v>
      </c>
      <c r="W891" t="s">
        <v>16863</v>
      </c>
      <c r="X891" t="s">
        <v>16864</v>
      </c>
      <c r="Y891" t="s">
        <v>16865</v>
      </c>
      <c r="Z891" t="s">
        <v>16866</v>
      </c>
      <c r="AA891" t="s">
        <v>16867</v>
      </c>
      <c r="AB891" t="s">
        <v>16868</v>
      </c>
      <c r="AC891" t="s">
        <v>16869</v>
      </c>
      <c r="AD891" t="s">
        <v>16870</v>
      </c>
      <c r="AE891" t="s">
        <v>74</v>
      </c>
      <c r="AF891" t="s">
        <v>74</v>
      </c>
      <c r="AG891">
        <v>107</v>
      </c>
      <c r="AH891">
        <v>120</v>
      </c>
      <c r="AI891">
        <v>128</v>
      </c>
      <c r="AJ891">
        <v>29</v>
      </c>
      <c r="AK891">
        <v>142</v>
      </c>
      <c r="AL891" t="s">
        <v>527</v>
      </c>
      <c r="AM891" t="s">
        <v>528</v>
      </c>
      <c r="AN891" t="s">
        <v>529</v>
      </c>
      <c r="AO891" t="s">
        <v>16871</v>
      </c>
      <c r="AP891" t="s">
        <v>16872</v>
      </c>
      <c r="AQ891" t="s">
        <v>74</v>
      </c>
      <c r="AR891" t="s">
        <v>16873</v>
      </c>
      <c r="AS891" t="s">
        <v>16874</v>
      </c>
      <c r="AT891" t="s">
        <v>12678</v>
      </c>
      <c r="AU891">
        <v>2020</v>
      </c>
      <c r="AV891">
        <v>6</v>
      </c>
      <c r="AW891">
        <v>12</v>
      </c>
      <c r="AX891" t="s">
        <v>74</v>
      </c>
      <c r="AY891" t="s">
        <v>74</v>
      </c>
      <c r="AZ891" t="s">
        <v>74</v>
      </c>
      <c r="BA891" t="s">
        <v>74</v>
      </c>
      <c r="BB891">
        <v>1418</v>
      </c>
      <c r="BC891">
        <v>1426</v>
      </c>
      <c r="BD891" t="s">
        <v>74</v>
      </c>
      <c r="BE891" t="s">
        <v>16875</v>
      </c>
      <c r="BF891" t="str">
        <f>HYPERLINK("http://dx.doi.org/10.1038/s41477-020-00813-w","http://dx.doi.org/10.1038/s41477-020-00813-w")</f>
        <v>http://dx.doi.org/10.1038/s41477-020-00813-w</v>
      </c>
      <c r="BG891" t="s">
        <v>74</v>
      </c>
      <c r="BH891" t="s">
        <v>74</v>
      </c>
      <c r="BI891">
        <v>9</v>
      </c>
      <c r="BJ891" t="s">
        <v>7174</v>
      </c>
      <c r="BK891" t="s">
        <v>103</v>
      </c>
      <c r="BL891" t="s">
        <v>7174</v>
      </c>
      <c r="BM891" t="s">
        <v>16876</v>
      </c>
      <c r="BN891">
        <v>33299148</v>
      </c>
      <c r="BO891" t="s">
        <v>1195</v>
      </c>
      <c r="BP891" t="s">
        <v>1589</v>
      </c>
      <c r="BQ891" t="s">
        <v>1590</v>
      </c>
      <c r="BR891" t="s">
        <v>106</v>
      </c>
      <c r="BS891" t="s">
        <v>16877</v>
      </c>
      <c r="BT891" t="str">
        <f>HYPERLINK("https%3A%2F%2Fwww.webofscience.com%2Fwos%2Fwoscc%2Ffull-record%2FWOS:000597322300008","View Full Record in Web of Science")</f>
        <v>View Full Record in Web of Science</v>
      </c>
    </row>
    <row r="892" spans="1:72" x14ac:dyDescent="0.15">
      <c r="A892" t="s">
        <v>72</v>
      </c>
      <c r="B892" t="s">
        <v>16878</v>
      </c>
      <c r="C892" t="s">
        <v>74</v>
      </c>
      <c r="D892" t="s">
        <v>74</v>
      </c>
      <c r="E892" t="s">
        <v>74</v>
      </c>
      <c r="F892" t="s">
        <v>16879</v>
      </c>
      <c r="G892" t="s">
        <v>74</v>
      </c>
      <c r="H892" t="s">
        <v>74</v>
      </c>
      <c r="I892" t="s">
        <v>16880</v>
      </c>
      <c r="J892" t="s">
        <v>1713</v>
      </c>
      <c r="K892" t="s">
        <v>74</v>
      </c>
      <c r="L892" t="s">
        <v>74</v>
      </c>
      <c r="M892" t="s">
        <v>78</v>
      </c>
      <c r="N892" t="s">
        <v>79</v>
      </c>
      <c r="O892" t="s">
        <v>74</v>
      </c>
      <c r="P892" t="s">
        <v>74</v>
      </c>
      <c r="Q892" t="s">
        <v>74</v>
      </c>
      <c r="R892" t="s">
        <v>74</v>
      </c>
      <c r="S892" t="s">
        <v>74</v>
      </c>
      <c r="T892" t="s">
        <v>16881</v>
      </c>
      <c r="U892" t="s">
        <v>16882</v>
      </c>
      <c r="V892" t="s">
        <v>16883</v>
      </c>
      <c r="W892" t="s">
        <v>16884</v>
      </c>
      <c r="X892" t="s">
        <v>16885</v>
      </c>
      <c r="Y892" t="s">
        <v>16886</v>
      </c>
      <c r="Z892" t="s">
        <v>16887</v>
      </c>
      <c r="AA892" t="s">
        <v>16888</v>
      </c>
      <c r="AB892" t="s">
        <v>16889</v>
      </c>
      <c r="AC892" t="s">
        <v>16890</v>
      </c>
      <c r="AD892" t="s">
        <v>16891</v>
      </c>
      <c r="AE892" t="s">
        <v>16892</v>
      </c>
      <c r="AF892" t="s">
        <v>74</v>
      </c>
      <c r="AG892">
        <v>64</v>
      </c>
      <c r="AH892">
        <v>8</v>
      </c>
      <c r="AI892">
        <v>9</v>
      </c>
      <c r="AJ892">
        <v>0</v>
      </c>
      <c r="AK892">
        <v>6</v>
      </c>
      <c r="AL892" t="s">
        <v>418</v>
      </c>
      <c r="AM892" t="s">
        <v>178</v>
      </c>
      <c r="AN892" t="s">
        <v>419</v>
      </c>
      <c r="AO892" t="s">
        <v>1726</v>
      </c>
      <c r="AP892" t="s">
        <v>74</v>
      </c>
      <c r="AQ892" t="s">
        <v>74</v>
      </c>
      <c r="AR892" t="s">
        <v>1728</v>
      </c>
      <c r="AS892" t="s">
        <v>1729</v>
      </c>
      <c r="AT892" t="s">
        <v>14993</v>
      </c>
      <c r="AU892">
        <v>2020</v>
      </c>
      <c r="AV892">
        <v>249</v>
      </c>
      <c r="AW892" t="s">
        <v>74</v>
      </c>
      <c r="AX892" t="s">
        <v>74</v>
      </c>
      <c r="AY892" t="s">
        <v>74</v>
      </c>
      <c r="AZ892" t="s">
        <v>74</v>
      </c>
      <c r="BA892" t="s">
        <v>74</v>
      </c>
      <c r="BB892" t="s">
        <v>74</v>
      </c>
      <c r="BC892" t="s">
        <v>74</v>
      </c>
      <c r="BD892">
        <v>106636</v>
      </c>
      <c r="BE892" t="s">
        <v>16893</v>
      </c>
      <c r="BF892" t="str">
        <f>HYPERLINK("http://dx.doi.org/10.1016/j.quascirev.2020.106636","http://dx.doi.org/10.1016/j.quascirev.2020.106636")</f>
        <v>http://dx.doi.org/10.1016/j.quascirev.2020.106636</v>
      </c>
      <c r="BG892" t="s">
        <v>74</v>
      </c>
      <c r="BH892" t="s">
        <v>74</v>
      </c>
      <c r="BI892">
        <v>16</v>
      </c>
      <c r="BJ892" t="s">
        <v>156</v>
      </c>
      <c r="BK892" t="s">
        <v>103</v>
      </c>
      <c r="BL892" t="s">
        <v>157</v>
      </c>
      <c r="BM892" t="s">
        <v>16894</v>
      </c>
      <c r="BN892" t="s">
        <v>74</v>
      </c>
      <c r="BO892" t="s">
        <v>8164</v>
      </c>
      <c r="BP892" t="s">
        <v>74</v>
      </c>
      <c r="BQ892" t="s">
        <v>74</v>
      </c>
      <c r="BR892" t="s">
        <v>106</v>
      </c>
      <c r="BS892" t="s">
        <v>16895</v>
      </c>
      <c r="BT892" t="str">
        <f>HYPERLINK("https%3A%2F%2Fwww.webofscience.com%2Fwos%2Fwoscc%2Ffull-record%2FWOS:000589909900002","View Full Record in Web of Science")</f>
        <v>View Full Record in Web of Science</v>
      </c>
    </row>
    <row r="893" spans="1:72" x14ac:dyDescent="0.15">
      <c r="A893" t="s">
        <v>72</v>
      </c>
      <c r="B893" t="s">
        <v>16896</v>
      </c>
      <c r="C893" t="s">
        <v>74</v>
      </c>
      <c r="D893" t="s">
        <v>74</v>
      </c>
      <c r="E893" t="s">
        <v>74</v>
      </c>
      <c r="F893" t="s">
        <v>16897</v>
      </c>
      <c r="G893" t="s">
        <v>74</v>
      </c>
      <c r="H893" t="s">
        <v>74</v>
      </c>
      <c r="I893" t="s">
        <v>16898</v>
      </c>
      <c r="J893" t="s">
        <v>1713</v>
      </c>
      <c r="K893" t="s">
        <v>74</v>
      </c>
      <c r="L893" t="s">
        <v>74</v>
      </c>
      <c r="M893" t="s">
        <v>78</v>
      </c>
      <c r="N893" t="s">
        <v>79</v>
      </c>
      <c r="O893" t="s">
        <v>74</v>
      </c>
      <c r="P893" t="s">
        <v>74</v>
      </c>
      <c r="Q893" t="s">
        <v>74</v>
      </c>
      <c r="R893" t="s">
        <v>74</v>
      </c>
      <c r="S893" t="s">
        <v>74</v>
      </c>
      <c r="T893" t="s">
        <v>16899</v>
      </c>
      <c r="U893" t="s">
        <v>16900</v>
      </c>
      <c r="V893" t="s">
        <v>16901</v>
      </c>
      <c r="W893" t="s">
        <v>16902</v>
      </c>
      <c r="X893" t="s">
        <v>16903</v>
      </c>
      <c r="Y893" t="s">
        <v>16904</v>
      </c>
      <c r="Z893" t="s">
        <v>16905</v>
      </c>
      <c r="AA893" t="s">
        <v>16906</v>
      </c>
      <c r="AB893" t="s">
        <v>16907</v>
      </c>
      <c r="AC893" t="s">
        <v>16908</v>
      </c>
      <c r="AD893" t="s">
        <v>16909</v>
      </c>
      <c r="AE893" t="s">
        <v>16910</v>
      </c>
      <c r="AF893" t="s">
        <v>74</v>
      </c>
      <c r="AG893">
        <v>89</v>
      </c>
      <c r="AH893">
        <v>4</v>
      </c>
      <c r="AI893">
        <v>6</v>
      </c>
      <c r="AJ893">
        <v>2</v>
      </c>
      <c r="AK893">
        <v>12</v>
      </c>
      <c r="AL893" t="s">
        <v>418</v>
      </c>
      <c r="AM893" t="s">
        <v>178</v>
      </c>
      <c r="AN893" t="s">
        <v>419</v>
      </c>
      <c r="AO893" t="s">
        <v>1726</v>
      </c>
      <c r="AP893" t="s">
        <v>1727</v>
      </c>
      <c r="AQ893" t="s">
        <v>74</v>
      </c>
      <c r="AR893" t="s">
        <v>1728</v>
      </c>
      <c r="AS893" t="s">
        <v>1729</v>
      </c>
      <c r="AT893" t="s">
        <v>14993</v>
      </c>
      <c r="AU893">
        <v>2020</v>
      </c>
      <c r="AV893">
        <v>249</v>
      </c>
      <c r="AW893" t="s">
        <v>74</v>
      </c>
      <c r="AX893" t="s">
        <v>74</v>
      </c>
      <c r="AY893" t="s">
        <v>74</v>
      </c>
      <c r="AZ893" t="s">
        <v>74</v>
      </c>
      <c r="BA893" t="s">
        <v>74</v>
      </c>
      <c r="BB893" t="s">
        <v>74</v>
      </c>
      <c r="BC893" t="s">
        <v>74</v>
      </c>
      <c r="BD893">
        <v>106643</v>
      </c>
      <c r="BE893" t="s">
        <v>16911</v>
      </c>
      <c r="BF893" t="str">
        <f>HYPERLINK("http://dx.doi.org/10.1016/j.quascirev.2020.106643","http://dx.doi.org/10.1016/j.quascirev.2020.106643")</f>
        <v>http://dx.doi.org/10.1016/j.quascirev.2020.106643</v>
      </c>
      <c r="BG893" t="s">
        <v>74</v>
      </c>
      <c r="BH893" t="s">
        <v>74</v>
      </c>
      <c r="BI893">
        <v>13</v>
      </c>
      <c r="BJ893" t="s">
        <v>156</v>
      </c>
      <c r="BK893" t="s">
        <v>103</v>
      </c>
      <c r="BL893" t="s">
        <v>157</v>
      </c>
      <c r="BM893" t="s">
        <v>16894</v>
      </c>
      <c r="BN893" t="s">
        <v>74</v>
      </c>
      <c r="BO893" t="s">
        <v>1220</v>
      </c>
      <c r="BP893" t="s">
        <v>74</v>
      </c>
      <c r="BQ893" t="s">
        <v>74</v>
      </c>
      <c r="BR893" t="s">
        <v>106</v>
      </c>
      <c r="BS893" t="s">
        <v>16912</v>
      </c>
      <c r="BT893" t="str">
        <f>HYPERLINK("https%3A%2F%2Fwww.webofscience.com%2Fwos%2Fwoscc%2Ffull-record%2FWOS:000589909900003","View Full Record in Web of Science")</f>
        <v>View Full Record in Web of Science</v>
      </c>
    </row>
    <row r="894" spans="1:72" x14ac:dyDescent="0.15">
      <c r="A894" t="s">
        <v>72</v>
      </c>
      <c r="B894" t="s">
        <v>16913</v>
      </c>
      <c r="C894" t="s">
        <v>74</v>
      </c>
      <c r="D894" t="s">
        <v>74</v>
      </c>
      <c r="E894" t="s">
        <v>74</v>
      </c>
      <c r="F894" t="s">
        <v>16914</v>
      </c>
      <c r="G894" t="s">
        <v>74</v>
      </c>
      <c r="H894" t="s">
        <v>74</v>
      </c>
      <c r="I894" t="s">
        <v>16915</v>
      </c>
      <c r="J894" t="s">
        <v>15560</v>
      </c>
      <c r="K894" t="s">
        <v>74</v>
      </c>
      <c r="L894" t="s">
        <v>74</v>
      </c>
      <c r="M894" t="s">
        <v>78</v>
      </c>
      <c r="N894" t="s">
        <v>79</v>
      </c>
      <c r="O894" t="s">
        <v>74</v>
      </c>
      <c r="P894" t="s">
        <v>74</v>
      </c>
      <c r="Q894" t="s">
        <v>74</v>
      </c>
      <c r="R894" t="s">
        <v>74</v>
      </c>
      <c r="S894" t="s">
        <v>74</v>
      </c>
      <c r="T894" t="s">
        <v>16916</v>
      </c>
      <c r="U894" t="s">
        <v>16917</v>
      </c>
      <c r="V894" t="s">
        <v>16918</v>
      </c>
      <c r="W894" t="s">
        <v>16919</v>
      </c>
      <c r="X894" t="s">
        <v>16920</v>
      </c>
      <c r="Y894" t="s">
        <v>16921</v>
      </c>
      <c r="Z894" t="s">
        <v>16922</v>
      </c>
      <c r="AA894" t="s">
        <v>16923</v>
      </c>
      <c r="AB894" t="s">
        <v>16924</v>
      </c>
      <c r="AC894" t="s">
        <v>16925</v>
      </c>
      <c r="AD894" t="s">
        <v>16926</v>
      </c>
      <c r="AE894" t="s">
        <v>16927</v>
      </c>
      <c r="AF894" t="s">
        <v>74</v>
      </c>
      <c r="AG894">
        <v>61</v>
      </c>
      <c r="AH894">
        <v>3</v>
      </c>
      <c r="AI894">
        <v>3</v>
      </c>
      <c r="AJ894">
        <v>1</v>
      </c>
      <c r="AK894">
        <v>9</v>
      </c>
      <c r="AL894" t="s">
        <v>15572</v>
      </c>
      <c r="AM894" t="s">
        <v>15573</v>
      </c>
      <c r="AN894" t="s">
        <v>15574</v>
      </c>
      <c r="AO894" t="s">
        <v>15575</v>
      </c>
      <c r="AP894" t="s">
        <v>15576</v>
      </c>
      <c r="AQ894" t="s">
        <v>74</v>
      </c>
      <c r="AR894" t="s">
        <v>15577</v>
      </c>
      <c r="AS894" t="s">
        <v>15578</v>
      </c>
      <c r="AT894" t="s">
        <v>12678</v>
      </c>
      <c r="AU894">
        <v>2020</v>
      </c>
      <c r="AV894">
        <v>84</v>
      </c>
      <c r="AW894">
        <v>4</v>
      </c>
      <c r="AX894" t="s">
        <v>74</v>
      </c>
      <c r="AY894" t="s">
        <v>74</v>
      </c>
      <c r="AZ894" t="s">
        <v>74</v>
      </c>
      <c r="BA894" t="s">
        <v>74</v>
      </c>
      <c r="BB894">
        <v>385</v>
      </c>
      <c r="BC894">
        <v>392</v>
      </c>
      <c r="BD894" t="s">
        <v>74</v>
      </c>
      <c r="BE894" t="s">
        <v>16928</v>
      </c>
      <c r="BF894" t="str">
        <f>HYPERLINK("http://dx.doi.org/10.3989/scimar.05053.17A","http://dx.doi.org/10.3989/scimar.05053.17A")</f>
        <v>http://dx.doi.org/10.3989/scimar.05053.17A</v>
      </c>
      <c r="BG894" t="s">
        <v>74</v>
      </c>
      <c r="BH894" t="s">
        <v>74</v>
      </c>
      <c r="BI894">
        <v>8</v>
      </c>
      <c r="BJ894" t="s">
        <v>6762</v>
      </c>
      <c r="BK894" t="s">
        <v>103</v>
      </c>
      <c r="BL894" t="s">
        <v>6762</v>
      </c>
      <c r="BM894" t="s">
        <v>15580</v>
      </c>
      <c r="BN894" t="s">
        <v>74</v>
      </c>
      <c r="BO894" t="s">
        <v>660</v>
      </c>
      <c r="BP894" t="s">
        <v>74</v>
      </c>
      <c r="BQ894" t="s">
        <v>74</v>
      </c>
      <c r="BR894" t="s">
        <v>106</v>
      </c>
      <c r="BS894" t="s">
        <v>16929</v>
      </c>
      <c r="BT894" t="str">
        <f>HYPERLINK("https%3A%2F%2Fwww.webofscience.com%2Fwos%2Fwoscc%2Ffull-record%2FWOS:000600444100006","View Full Record in Web of Science")</f>
        <v>View Full Record in Web of Science</v>
      </c>
    </row>
    <row r="895" spans="1:72" x14ac:dyDescent="0.15">
      <c r="A895" t="s">
        <v>72</v>
      </c>
      <c r="B895" t="s">
        <v>16930</v>
      </c>
      <c r="C895" t="s">
        <v>74</v>
      </c>
      <c r="D895" t="s">
        <v>74</v>
      </c>
      <c r="E895" t="s">
        <v>74</v>
      </c>
      <c r="F895" t="s">
        <v>16931</v>
      </c>
      <c r="G895" t="s">
        <v>74</v>
      </c>
      <c r="H895" t="s">
        <v>74</v>
      </c>
      <c r="I895" t="s">
        <v>16932</v>
      </c>
      <c r="J895" t="s">
        <v>1237</v>
      </c>
      <c r="K895" t="s">
        <v>74</v>
      </c>
      <c r="L895" t="s">
        <v>74</v>
      </c>
      <c r="M895" t="s">
        <v>78</v>
      </c>
      <c r="N895" t="s">
        <v>79</v>
      </c>
      <c r="O895" t="s">
        <v>74</v>
      </c>
      <c r="P895" t="s">
        <v>74</v>
      </c>
      <c r="Q895" t="s">
        <v>74</v>
      </c>
      <c r="R895" t="s">
        <v>74</v>
      </c>
      <c r="S895" t="s">
        <v>74</v>
      </c>
      <c r="T895" t="s">
        <v>16933</v>
      </c>
      <c r="U895" t="s">
        <v>16934</v>
      </c>
      <c r="V895" t="s">
        <v>16935</v>
      </c>
      <c r="W895" t="s">
        <v>16936</v>
      </c>
      <c r="X895" t="s">
        <v>16937</v>
      </c>
      <c r="Y895" t="s">
        <v>16938</v>
      </c>
      <c r="Z895" t="s">
        <v>16939</v>
      </c>
      <c r="AA895" t="s">
        <v>16940</v>
      </c>
      <c r="AB895" t="s">
        <v>16941</v>
      </c>
      <c r="AC895" t="s">
        <v>16942</v>
      </c>
      <c r="AD895" t="s">
        <v>16943</v>
      </c>
      <c r="AE895" t="s">
        <v>16944</v>
      </c>
      <c r="AF895" t="s">
        <v>74</v>
      </c>
      <c r="AG895">
        <v>77</v>
      </c>
      <c r="AH895">
        <v>15</v>
      </c>
      <c r="AI895">
        <v>15</v>
      </c>
      <c r="AJ895">
        <v>5</v>
      </c>
      <c r="AK895">
        <v>29</v>
      </c>
      <c r="AL895" t="s">
        <v>418</v>
      </c>
      <c r="AM895" t="s">
        <v>178</v>
      </c>
      <c r="AN895" t="s">
        <v>419</v>
      </c>
      <c r="AO895" t="s">
        <v>1250</v>
      </c>
      <c r="AP895" t="s">
        <v>1251</v>
      </c>
      <c r="AQ895" t="s">
        <v>74</v>
      </c>
      <c r="AR895" t="s">
        <v>1237</v>
      </c>
      <c r="AS895" t="s">
        <v>1252</v>
      </c>
      <c r="AT895" t="s">
        <v>12678</v>
      </c>
      <c r="AU895">
        <v>2020</v>
      </c>
      <c r="AV895">
        <v>261</v>
      </c>
      <c r="AW895" t="s">
        <v>74</v>
      </c>
      <c r="AX895" t="s">
        <v>74</v>
      </c>
      <c r="AY895" t="s">
        <v>74</v>
      </c>
      <c r="AZ895" t="s">
        <v>74</v>
      </c>
      <c r="BA895" t="s">
        <v>74</v>
      </c>
      <c r="BB895" t="s">
        <v>74</v>
      </c>
      <c r="BC895" t="s">
        <v>74</v>
      </c>
      <c r="BD895">
        <v>127713</v>
      </c>
      <c r="BE895" t="s">
        <v>16945</v>
      </c>
      <c r="BF895" t="str">
        <f>HYPERLINK("http://dx.doi.org/10.1016/j.chemosphere.2020.127713","http://dx.doi.org/10.1016/j.chemosphere.2020.127713")</f>
        <v>http://dx.doi.org/10.1016/j.chemosphere.2020.127713</v>
      </c>
      <c r="BG895" t="s">
        <v>74</v>
      </c>
      <c r="BH895" t="s">
        <v>74</v>
      </c>
      <c r="BI895">
        <v>10</v>
      </c>
      <c r="BJ895" t="s">
        <v>102</v>
      </c>
      <c r="BK895" t="s">
        <v>103</v>
      </c>
      <c r="BL895" t="s">
        <v>104</v>
      </c>
      <c r="BM895" t="s">
        <v>16946</v>
      </c>
      <c r="BN895">
        <v>32738710</v>
      </c>
      <c r="BO895" t="s">
        <v>74</v>
      </c>
      <c r="BP895" t="s">
        <v>74</v>
      </c>
      <c r="BQ895" t="s">
        <v>74</v>
      </c>
      <c r="BR895" t="s">
        <v>106</v>
      </c>
      <c r="BS895" t="s">
        <v>16947</v>
      </c>
      <c r="BT895" t="str">
        <f>HYPERLINK("https%3A%2F%2Fwww.webofscience.com%2Fwos%2Fwoscc%2Ffull-record%2FWOS:000581030700049","View Full Record in Web of Science")</f>
        <v>View Full Record in Web of Science</v>
      </c>
    </row>
    <row r="896" spans="1:72" x14ac:dyDescent="0.15">
      <c r="A896" t="s">
        <v>72</v>
      </c>
      <c r="B896" t="s">
        <v>16948</v>
      </c>
      <c r="C896" t="s">
        <v>74</v>
      </c>
      <c r="D896" t="s">
        <v>74</v>
      </c>
      <c r="E896" t="s">
        <v>74</v>
      </c>
      <c r="F896" t="s">
        <v>16949</v>
      </c>
      <c r="G896" t="s">
        <v>74</v>
      </c>
      <c r="H896" t="s">
        <v>74</v>
      </c>
      <c r="I896" t="s">
        <v>16950</v>
      </c>
      <c r="J896" t="s">
        <v>3056</v>
      </c>
      <c r="K896" t="s">
        <v>74</v>
      </c>
      <c r="L896" t="s">
        <v>74</v>
      </c>
      <c r="M896" t="s">
        <v>78</v>
      </c>
      <c r="N896" t="s">
        <v>79</v>
      </c>
      <c r="O896" t="s">
        <v>74</v>
      </c>
      <c r="P896" t="s">
        <v>74</v>
      </c>
      <c r="Q896" t="s">
        <v>74</v>
      </c>
      <c r="R896" t="s">
        <v>74</v>
      </c>
      <c r="S896" t="s">
        <v>74</v>
      </c>
      <c r="T896" t="s">
        <v>16951</v>
      </c>
      <c r="U896" t="s">
        <v>16952</v>
      </c>
      <c r="V896" t="s">
        <v>16953</v>
      </c>
      <c r="W896" t="s">
        <v>16954</v>
      </c>
      <c r="X896" t="s">
        <v>16955</v>
      </c>
      <c r="Y896" t="s">
        <v>16956</v>
      </c>
      <c r="Z896" t="s">
        <v>16957</v>
      </c>
      <c r="AA896" t="s">
        <v>16958</v>
      </c>
      <c r="AB896" t="s">
        <v>74</v>
      </c>
      <c r="AC896" t="s">
        <v>16959</v>
      </c>
      <c r="AD896" t="s">
        <v>74</v>
      </c>
      <c r="AE896" t="s">
        <v>16960</v>
      </c>
      <c r="AF896" t="s">
        <v>74</v>
      </c>
      <c r="AG896">
        <v>65</v>
      </c>
      <c r="AH896">
        <v>6</v>
      </c>
      <c r="AI896">
        <v>6</v>
      </c>
      <c r="AJ896">
        <v>0</v>
      </c>
      <c r="AK896">
        <v>2</v>
      </c>
      <c r="AL896" t="s">
        <v>3069</v>
      </c>
      <c r="AM896" t="s">
        <v>236</v>
      </c>
      <c r="AN896" t="s">
        <v>3070</v>
      </c>
      <c r="AO896" t="s">
        <v>3071</v>
      </c>
      <c r="AP896" t="s">
        <v>3072</v>
      </c>
      <c r="AQ896" t="s">
        <v>74</v>
      </c>
      <c r="AR896" t="s">
        <v>3073</v>
      </c>
      <c r="AS896" t="s">
        <v>3074</v>
      </c>
      <c r="AT896" t="s">
        <v>12678</v>
      </c>
      <c r="AU896">
        <v>2020</v>
      </c>
      <c r="AV896">
        <v>116</v>
      </c>
      <c r="AW896" t="s">
        <v>74</v>
      </c>
      <c r="AX896" t="s">
        <v>74</v>
      </c>
      <c r="AY896" t="s">
        <v>74</v>
      </c>
      <c r="AZ896" t="s">
        <v>74</v>
      </c>
      <c r="BA896" t="s">
        <v>74</v>
      </c>
      <c r="BB896" t="s">
        <v>74</v>
      </c>
      <c r="BC896" t="s">
        <v>74</v>
      </c>
      <c r="BD896">
        <v>104605</v>
      </c>
      <c r="BE896" t="s">
        <v>16961</v>
      </c>
      <c r="BF896" t="str">
        <f>HYPERLINK("http://dx.doi.org/10.1016/j.cretres.2020.104605","http://dx.doi.org/10.1016/j.cretres.2020.104605")</f>
        <v>http://dx.doi.org/10.1016/j.cretres.2020.104605</v>
      </c>
      <c r="BG896" t="s">
        <v>74</v>
      </c>
      <c r="BH896" t="s">
        <v>74</v>
      </c>
      <c r="BI896">
        <v>11</v>
      </c>
      <c r="BJ896" t="s">
        <v>3076</v>
      </c>
      <c r="BK896" t="s">
        <v>103</v>
      </c>
      <c r="BL896" t="s">
        <v>3076</v>
      </c>
      <c r="BM896" t="s">
        <v>16962</v>
      </c>
      <c r="BN896" t="s">
        <v>74</v>
      </c>
      <c r="BO896" t="s">
        <v>74</v>
      </c>
      <c r="BP896" t="s">
        <v>74</v>
      </c>
      <c r="BQ896" t="s">
        <v>74</v>
      </c>
      <c r="BR896" t="s">
        <v>106</v>
      </c>
      <c r="BS896" t="s">
        <v>16963</v>
      </c>
      <c r="BT896" t="str">
        <f>HYPERLINK("https%3A%2F%2Fwww.webofscience.com%2Fwos%2Fwoscc%2Ffull-record%2FWOS:000579821800028","View Full Record in Web of Science")</f>
        <v>View Full Record in Web of Science</v>
      </c>
    </row>
    <row r="897" spans="1:72" x14ac:dyDescent="0.15">
      <c r="A897" t="s">
        <v>72</v>
      </c>
      <c r="B897" t="s">
        <v>16964</v>
      </c>
      <c r="C897" t="s">
        <v>74</v>
      </c>
      <c r="D897" t="s">
        <v>74</v>
      </c>
      <c r="E897" t="s">
        <v>74</v>
      </c>
      <c r="F897" t="s">
        <v>16965</v>
      </c>
      <c r="G897" t="s">
        <v>74</v>
      </c>
      <c r="H897" t="s">
        <v>74</v>
      </c>
      <c r="I897" t="s">
        <v>16966</v>
      </c>
      <c r="J897" t="s">
        <v>16967</v>
      </c>
      <c r="K897" t="s">
        <v>74</v>
      </c>
      <c r="L897" t="s">
        <v>74</v>
      </c>
      <c r="M897" t="s">
        <v>78</v>
      </c>
      <c r="N897" t="s">
        <v>79</v>
      </c>
      <c r="O897" t="s">
        <v>74</v>
      </c>
      <c r="P897" t="s">
        <v>74</v>
      </c>
      <c r="Q897" t="s">
        <v>74</v>
      </c>
      <c r="R897" t="s">
        <v>74</v>
      </c>
      <c r="S897" t="s">
        <v>74</v>
      </c>
      <c r="T897" t="s">
        <v>16968</v>
      </c>
      <c r="U897" t="s">
        <v>16969</v>
      </c>
      <c r="V897" t="s">
        <v>16970</v>
      </c>
      <c r="W897" t="s">
        <v>16971</v>
      </c>
      <c r="X897" t="s">
        <v>16972</v>
      </c>
      <c r="Y897" t="s">
        <v>16973</v>
      </c>
      <c r="Z897" t="s">
        <v>16974</v>
      </c>
      <c r="AA897" t="s">
        <v>16975</v>
      </c>
      <c r="AB897" t="s">
        <v>16976</v>
      </c>
      <c r="AC897" t="s">
        <v>16977</v>
      </c>
      <c r="AD897" t="s">
        <v>16978</v>
      </c>
      <c r="AE897" t="s">
        <v>16979</v>
      </c>
      <c r="AF897" t="s">
        <v>74</v>
      </c>
      <c r="AG897">
        <v>82</v>
      </c>
      <c r="AH897">
        <v>6</v>
      </c>
      <c r="AI897">
        <v>6</v>
      </c>
      <c r="AJ897">
        <v>1</v>
      </c>
      <c r="AK897">
        <v>20</v>
      </c>
      <c r="AL897" t="s">
        <v>92</v>
      </c>
      <c r="AM897" t="s">
        <v>93</v>
      </c>
      <c r="AN897" t="s">
        <v>94</v>
      </c>
      <c r="AO897" t="s">
        <v>16980</v>
      </c>
      <c r="AP897" t="s">
        <v>16981</v>
      </c>
      <c r="AQ897" t="s">
        <v>74</v>
      </c>
      <c r="AR897" t="s">
        <v>16982</v>
      </c>
      <c r="AS897" t="s">
        <v>16983</v>
      </c>
      <c r="AT897" t="s">
        <v>12678</v>
      </c>
      <c r="AU897">
        <v>2020</v>
      </c>
      <c r="AV897">
        <v>212</v>
      </c>
      <c r="AW897" t="s">
        <v>74</v>
      </c>
      <c r="AX897" t="s">
        <v>74</v>
      </c>
      <c r="AY897" t="s">
        <v>74</v>
      </c>
      <c r="AZ897" t="s">
        <v>74</v>
      </c>
      <c r="BA897" t="s">
        <v>74</v>
      </c>
      <c r="BB897" t="s">
        <v>74</v>
      </c>
      <c r="BC897" t="s">
        <v>74</v>
      </c>
      <c r="BD897">
        <v>103457</v>
      </c>
      <c r="BE897" t="s">
        <v>16984</v>
      </c>
      <c r="BF897" t="str">
        <f>HYPERLINK("http://dx.doi.org/10.1016/j.jmarsys.2020.103457","http://dx.doi.org/10.1016/j.jmarsys.2020.103457")</f>
        <v>http://dx.doi.org/10.1016/j.jmarsys.2020.103457</v>
      </c>
      <c r="BG897" t="s">
        <v>74</v>
      </c>
      <c r="BH897" t="s">
        <v>74</v>
      </c>
      <c r="BI897">
        <v>13</v>
      </c>
      <c r="BJ897" t="s">
        <v>16985</v>
      </c>
      <c r="BK897" t="s">
        <v>103</v>
      </c>
      <c r="BL897" t="s">
        <v>16986</v>
      </c>
      <c r="BM897" t="s">
        <v>16987</v>
      </c>
      <c r="BN897" t="s">
        <v>74</v>
      </c>
      <c r="BO897" t="s">
        <v>218</v>
      </c>
      <c r="BP897" t="s">
        <v>74</v>
      </c>
      <c r="BQ897" t="s">
        <v>74</v>
      </c>
      <c r="BR897" t="s">
        <v>106</v>
      </c>
      <c r="BS897" t="s">
        <v>16988</v>
      </c>
      <c r="BT897" t="str">
        <f>HYPERLINK("https%3A%2F%2Fwww.webofscience.com%2Fwos%2Fwoscc%2Ffull-record%2FWOS:000582806700024","View Full Record in Web of Science")</f>
        <v>View Full Record in Web of Science</v>
      </c>
    </row>
    <row r="898" spans="1:72" x14ac:dyDescent="0.15">
      <c r="A898" t="s">
        <v>72</v>
      </c>
      <c r="B898" t="s">
        <v>16989</v>
      </c>
      <c r="C898" t="s">
        <v>74</v>
      </c>
      <c r="D898" t="s">
        <v>74</v>
      </c>
      <c r="E898" t="s">
        <v>74</v>
      </c>
      <c r="F898" t="s">
        <v>16990</v>
      </c>
      <c r="G898" t="s">
        <v>74</v>
      </c>
      <c r="H898" t="s">
        <v>74</v>
      </c>
      <c r="I898" t="s">
        <v>16991</v>
      </c>
      <c r="J898" t="s">
        <v>16967</v>
      </c>
      <c r="K898" t="s">
        <v>74</v>
      </c>
      <c r="L898" t="s">
        <v>74</v>
      </c>
      <c r="M898" t="s">
        <v>78</v>
      </c>
      <c r="N898" t="s">
        <v>79</v>
      </c>
      <c r="O898" t="s">
        <v>74</v>
      </c>
      <c r="P898" t="s">
        <v>74</v>
      </c>
      <c r="Q898" t="s">
        <v>74</v>
      </c>
      <c r="R898" t="s">
        <v>74</v>
      </c>
      <c r="S898" t="s">
        <v>74</v>
      </c>
      <c r="T898" t="s">
        <v>16992</v>
      </c>
      <c r="U898" t="s">
        <v>16993</v>
      </c>
      <c r="V898" t="s">
        <v>16994</v>
      </c>
      <c r="W898" t="s">
        <v>16995</v>
      </c>
      <c r="X898" t="s">
        <v>16996</v>
      </c>
      <c r="Y898" t="s">
        <v>16997</v>
      </c>
      <c r="Z898" t="s">
        <v>16998</v>
      </c>
      <c r="AA898" t="s">
        <v>74</v>
      </c>
      <c r="AB898" t="s">
        <v>74</v>
      </c>
      <c r="AC898" t="s">
        <v>16999</v>
      </c>
      <c r="AD898" t="s">
        <v>16999</v>
      </c>
      <c r="AE898" t="s">
        <v>17000</v>
      </c>
      <c r="AF898" t="s">
        <v>74</v>
      </c>
      <c r="AG898">
        <v>111</v>
      </c>
      <c r="AH898">
        <v>4</v>
      </c>
      <c r="AI898">
        <v>4</v>
      </c>
      <c r="AJ898">
        <v>0</v>
      </c>
      <c r="AK898">
        <v>6</v>
      </c>
      <c r="AL898" t="s">
        <v>92</v>
      </c>
      <c r="AM898" t="s">
        <v>93</v>
      </c>
      <c r="AN898" t="s">
        <v>94</v>
      </c>
      <c r="AO898" t="s">
        <v>16980</v>
      </c>
      <c r="AP898" t="s">
        <v>16981</v>
      </c>
      <c r="AQ898" t="s">
        <v>74</v>
      </c>
      <c r="AR898" t="s">
        <v>16982</v>
      </c>
      <c r="AS898" t="s">
        <v>16983</v>
      </c>
      <c r="AT898" t="s">
        <v>12678</v>
      </c>
      <c r="AU898">
        <v>2020</v>
      </c>
      <c r="AV898">
        <v>212</v>
      </c>
      <c r="AW898" t="s">
        <v>74</v>
      </c>
      <c r="AX898" t="s">
        <v>74</v>
      </c>
      <c r="AY898" t="s">
        <v>74</v>
      </c>
      <c r="AZ898" t="s">
        <v>74</v>
      </c>
      <c r="BA898" t="s">
        <v>74</v>
      </c>
      <c r="BB898" t="s">
        <v>74</v>
      </c>
      <c r="BC898" t="s">
        <v>74</v>
      </c>
      <c r="BD898">
        <v>103425</v>
      </c>
      <c r="BE898" t="s">
        <v>17001</v>
      </c>
      <c r="BF898" t="str">
        <f>HYPERLINK("http://dx.doi.org/10.1016/j.jmarsys.2020.103425","http://dx.doi.org/10.1016/j.jmarsys.2020.103425")</f>
        <v>http://dx.doi.org/10.1016/j.jmarsys.2020.103425</v>
      </c>
      <c r="BG898" t="s">
        <v>74</v>
      </c>
      <c r="BH898" t="s">
        <v>74</v>
      </c>
      <c r="BI898">
        <v>15</v>
      </c>
      <c r="BJ898" t="s">
        <v>16985</v>
      </c>
      <c r="BK898" t="s">
        <v>103</v>
      </c>
      <c r="BL898" t="s">
        <v>16986</v>
      </c>
      <c r="BM898" t="s">
        <v>16987</v>
      </c>
      <c r="BN898" t="s">
        <v>74</v>
      </c>
      <c r="BO898" t="s">
        <v>74</v>
      </c>
      <c r="BP898" t="s">
        <v>74</v>
      </c>
      <c r="BQ898" t="s">
        <v>74</v>
      </c>
      <c r="BR898" t="s">
        <v>106</v>
      </c>
      <c r="BS898" t="s">
        <v>17002</v>
      </c>
      <c r="BT898" t="str">
        <f>HYPERLINK("https%3A%2F%2Fwww.webofscience.com%2Fwos%2Fwoscc%2Ffull-record%2FWOS:000582806700004","View Full Record in Web of Science")</f>
        <v>View Full Record in Web of Science</v>
      </c>
    </row>
    <row r="899" spans="1:72" x14ac:dyDescent="0.15">
      <c r="A899" t="s">
        <v>72</v>
      </c>
      <c r="B899" t="s">
        <v>17003</v>
      </c>
      <c r="C899" t="s">
        <v>74</v>
      </c>
      <c r="D899" t="s">
        <v>74</v>
      </c>
      <c r="E899" t="s">
        <v>74</v>
      </c>
      <c r="F899" t="s">
        <v>17004</v>
      </c>
      <c r="G899" t="s">
        <v>74</v>
      </c>
      <c r="H899" t="s">
        <v>74</v>
      </c>
      <c r="I899" t="s">
        <v>17005</v>
      </c>
      <c r="J899" t="s">
        <v>16967</v>
      </c>
      <c r="K899" t="s">
        <v>74</v>
      </c>
      <c r="L899" t="s">
        <v>74</v>
      </c>
      <c r="M899" t="s">
        <v>78</v>
      </c>
      <c r="N899" t="s">
        <v>79</v>
      </c>
      <c r="O899" t="s">
        <v>74</v>
      </c>
      <c r="P899" t="s">
        <v>74</v>
      </c>
      <c r="Q899" t="s">
        <v>74</v>
      </c>
      <c r="R899" t="s">
        <v>74</v>
      </c>
      <c r="S899" t="s">
        <v>74</v>
      </c>
      <c r="T899" t="s">
        <v>17006</v>
      </c>
      <c r="U899" t="s">
        <v>17007</v>
      </c>
      <c r="V899" t="s">
        <v>17008</v>
      </c>
      <c r="W899" t="s">
        <v>17009</v>
      </c>
      <c r="X899" t="s">
        <v>17010</v>
      </c>
      <c r="Y899" t="s">
        <v>17011</v>
      </c>
      <c r="Z899" t="s">
        <v>17012</v>
      </c>
      <c r="AA899" t="s">
        <v>17013</v>
      </c>
      <c r="AB899" t="s">
        <v>17014</v>
      </c>
      <c r="AC899" t="s">
        <v>17015</v>
      </c>
      <c r="AD899" t="s">
        <v>17016</v>
      </c>
      <c r="AE899" t="s">
        <v>17017</v>
      </c>
      <c r="AF899" t="s">
        <v>74</v>
      </c>
      <c r="AG899">
        <v>66</v>
      </c>
      <c r="AH899">
        <v>4</v>
      </c>
      <c r="AI899">
        <v>5</v>
      </c>
      <c r="AJ899">
        <v>0</v>
      </c>
      <c r="AK899">
        <v>16</v>
      </c>
      <c r="AL899" t="s">
        <v>92</v>
      </c>
      <c r="AM899" t="s">
        <v>93</v>
      </c>
      <c r="AN899" t="s">
        <v>16068</v>
      </c>
      <c r="AO899" t="s">
        <v>16980</v>
      </c>
      <c r="AP899" t="s">
        <v>16981</v>
      </c>
      <c r="AQ899" t="s">
        <v>74</v>
      </c>
      <c r="AR899" t="s">
        <v>16982</v>
      </c>
      <c r="AS899" t="s">
        <v>16983</v>
      </c>
      <c r="AT899" t="s">
        <v>12678</v>
      </c>
      <c r="AU899">
        <v>2020</v>
      </c>
      <c r="AV899">
        <v>212</v>
      </c>
      <c r="AW899" t="s">
        <v>74</v>
      </c>
      <c r="AX899" t="s">
        <v>74</v>
      </c>
      <c r="AY899" t="s">
        <v>74</v>
      </c>
      <c r="AZ899" t="s">
        <v>74</v>
      </c>
      <c r="BA899" t="s">
        <v>74</v>
      </c>
      <c r="BB899" t="s">
        <v>74</v>
      </c>
      <c r="BC899" t="s">
        <v>74</v>
      </c>
      <c r="BD899">
        <v>103429</v>
      </c>
      <c r="BE899" t="s">
        <v>17018</v>
      </c>
      <c r="BF899" t="str">
        <f>HYPERLINK("http://dx.doi.org/10.1016/j.jmarsys.2020.103429","http://dx.doi.org/10.1016/j.jmarsys.2020.103429")</f>
        <v>http://dx.doi.org/10.1016/j.jmarsys.2020.103429</v>
      </c>
      <c r="BG899" t="s">
        <v>74</v>
      </c>
      <c r="BH899" t="s">
        <v>74</v>
      </c>
      <c r="BI899">
        <v>18</v>
      </c>
      <c r="BJ899" t="s">
        <v>16985</v>
      </c>
      <c r="BK899" t="s">
        <v>103</v>
      </c>
      <c r="BL899" t="s">
        <v>16986</v>
      </c>
      <c r="BM899" t="s">
        <v>16987</v>
      </c>
      <c r="BN899" t="s">
        <v>74</v>
      </c>
      <c r="BO899" t="s">
        <v>759</v>
      </c>
      <c r="BP899" t="s">
        <v>74</v>
      </c>
      <c r="BQ899" t="s">
        <v>74</v>
      </c>
      <c r="BR899" t="s">
        <v>106</v>
      </c>
      <c r="BS899" t="s">
        <v>17019</v>
      </c>
      <c r="BT899" t="str">
        <f>HYPERLINK("https%3A%2F%2Fwww.webofscience.com%2Fwos%2Fwoscc%2Ffull-record%2FWOS:000582806700008","View Full Record in Web of Science")</f>
        <v>View Full Record in Web of Science</v>
      </c>
    </row>
    <row r="900" spans="1:72" x14ac:dyDescent="0.15">
      <c r="A900" t="s">
        <v>72</v>
      </c>
      <c r="B900" t="s">
        <v>17020</v>
      </c>
      <c r="C900" t="s">
        <v>74</v>
      </c>
      <c r="D900" t="s">
        <v>74</v>
      </c>
      <c r="E900" t="s">
        <v>74</v>
      </c>
      <c r="F900" t="s">
        <v>17021</v>
      </c>
      <c r="G900" t="s">
        <v>74</v>
      </c>
      <c r="H900" t="s">
        <v>74</v>
      </c>
      <c r="I900" t="s">
        <v>17022</v>
      </c>
      <c r="J900" t="s">
        <v>2034</v>
      </c>
      <c r="K900" t="s">
        <v>74</v>
      </c>
      <c r="L900" t="s">
        <v>74</v>
      </c>
      <c r="M900" t="s">
        <v>78</v>
      </c>
      <c r="N900" t="s">
        <v>79</v>
      </c>
      <c r="O900" t="s">
        <v>74</v>
      </c>
      <c r="P900" t="s">
        <v>74</v>
      </c>
      <c r="Q900" t="s">
        <v>74</v>
      </c>
      <c r="R900" t="s">
        <v>74</v>
      </c>
      <c r="S900" t="s">
        <v>74</v>
      </c>
      <c r="T900" t="s">
        <v>17023</v>
      </c>
      <c r="U900" t="s">
        <v>17024</v>
      </c>
      <c r="V900" t="s">
        <v>17025</v>
      </c>
      <c r="W900" t="s">
        <v>17026</v>
      </c>
      <c r="X900" t="s">
        <v>17027</v>
      </c>
      <c r="Y900" t="s">
        <v>17028</v>
      </c>
      <c r="Z900" t="s">
        <v>17029</v>
      </c>
      <c r="AA900" t="s">
        <v>74</v>
      </c>
      <c r="AB900" t="s">
        <v>74</v>
      </c>
      <c r="AC900" t="s">
        <v>17030</v>
      </c>
      <c r="AD900" t="s">
        <v>17031</v>
      </c>
      <c r="AE900" t="s">
        <v>17032</v>
      </c>
      <c r="AF900" t="s">
        <v>74</v>
      </c>
      <c r="AG900">
        <v>38</v>
      </c>
      <c r="AH900">
        <v>12</v>
      </c>
      <c r="AI900">
        <v>14</v>
      </c>
      <c r="AJ900">
        <v>7</v>
      </c>
      <c r="AK900">
        <v>26</v>
      </c>
      <c r="AL900" t="s">
        <v>2046</v>
      </c>
      <c r="AM900" t="s">
        <v>473</v>
      </c>
      <c r="AN900" t="s">
        <v>2047</v>
      </c>
      <c r="AO900" t="s">
        <v>2048</v>
      </c>
      <c r="AP900" t="s">
        <v>2049</v>
      </c>
      <c r="AQ900" t="s">
        <v>74</v>
      </c>
      <c r="AR900" t="s">
        <v>2050</v>
      </c>
      <c r="AS900" t="s">
        <v>2051</v>
      </c>
      <c r="AT900" t="s">
        <v>14993</v>
      </c>
      <c r="AU900">
        <v>2020</v>
      </c>
      <c r="AV900">
        <v>246</v>
      </c>
      <c r="AW900" t="s">
        <v>74</v>
      </c>
      <c r="AX900" t="s">
        <v>74</v>
      </c>
      <c r="AY900" t="s">
        <v>74</v>
      </c>
      <c r="AZ900" t="s">
        <v>74</v>
      </c>
      <c r="BA900" t="s">
        <v>74</v>
      </c>
      <c r="BB900" t="s">
        <v>74</v>
      </c>
      <c r="BC900" t="s">
        <v>74</v>
      </c>
      <c r="BD900">
        <v>105110</v>
      </c>
      <c r="BE900" t="s">
        <v>17033</v>
      </c>
      <c r="BF900" t="str">
        <f>HYPERLINK("http://dx.doi.org/10.1016/j.atmosres.2020.105110","http://dx.doi.org/10.1016/j.atmosres.2020.105110")</f>
        <v>http://dx.doi.org/10.1016/j.atmosres.2020.105110</v>
      </c>
      <c r="BG900" t="s">
        <v>74</v>
      </c>
      <c r="BH900" t="s">
        <v>74</v>
      </c>
      <c r="BI900">
        <v>10</v>
      </c>
      <c r="BJ900" t="s">
        <v>687</v>
      </c>
      <c r="BK900" t="s">
        <v>103</v>
      </c>
      <c r="BL900" t="s">
        <v>687</v>
      </c>
      <c r="BM900" t="s">
        <v>17034</v>
      </c>
      <c r="BN900" t="s">
        <v>74</v>
      </c>
      <c r="BO900" t="s">
        <v>218</v>
      </c>
      <c r="BP900" t="s">
        <v>74</v>
      </c>
      <c r="BQ900" t="s">
        <v>74</v>
      </c>
      <c r="BR900" t="s">
        <v>106</v>
      </c>
      <c r="BS900" t="s">
        <v>17035</v>
      </c>
      <c r="BT900" t="str">
        <f>HYPERLINK("https%3A%2F%2Fwww.webofscience.com%2Fwos%2Fwoscc%2Ffull-record%2FWOS:000581845700009","View Full Record in Web of Science")</f>
        <v>View Full Record in Web of Science</v>
      </c>
    </row>
    <row r="901" spans="1:72" x14ac:dyDescent="0.15">
      <c r="A901" t="s">
        <v>72</v>
      </c>
      <c r="B901" t="s">
        <v>17036</v>
      </c>
      <c r="C901" t="s">
        <v>74</v>
      </c>
      <c r="D901" t="s">
        <v>74</v>
      </c>
      <c r="E901" t="s">
        <v>74</v>
      </c>
      <c r="F901" t="s">
        <v>17037</v>
      </c>
      <c r="G901" t="s">
        <v>74</v>
      </c>
      <c r="H901" t="s">
        <v>74</v>
      </c>
      <c r="I901" t="s">
        <v>17038</v>
      </c>
      <c r="J901" t="s">
        <v>17039</v>
      </c>
      <c r="K901" t="s">
        <v>74</v>
      </c>
      <c r="L901" t="s">
        <v>74</v>
      </c>
      <c r="M901" t="s">
        <v>78</v>
      </c>
      <c r="N901" t="s">
        <v>79</v>
      </c>
      <c r="O901" t="s">
        <v>74</v>
      </c>
      <c r="P901" t="s">
        <v>74</v>
      </c>
      <c r="Q901" t="s">
        <v>74</v>
      </c>
      <c r="R901" t="s">
        <v>74</v>
      </c>
      <c r="S901" t="s">
        <v>74</v>
      </c>
      <c r="T901" t="s">
        <v>17040</v>
      </c>
      <c r="U901" t="s">
        <v>17041</v>
      </c>
      <c r="V901" t="s">
        <v>17042</v>
      </c>
      <c r="W901" t="s">
        <v>17043</v>
      </c>
      <c r="X901" t="s">
        <v>17044</v>
      </c>
      <c r="Y901" t="s">
        <v>17045</v>
      </c>
      <c r="Z901" t="s">
        <v>17046</v>
      </c>
      <c r="AA901" t="s">
        <v>17047</v>
      </c>
      <c r="AB901" t="s">
        <v>17048</v>
      </c>
      <c r="AC901" t="s">
        <v>17049</v>
      </c>
      <c r="AD901" t="s">
        <v>17050</v>
      </c>
      <c r="AE901" t="s">
        <v>17051</v>
      </c>
      <c r="AF901" t="s">
        <v>74</v>
      </c>
      <c r="AG901">
        <v>74</v>
      </c>
      <c r="AH901">
        <v>6</v>
      </c>
      <c r="AI901">
        <v>8</v>
      </c>
      <c r="AJ901">
        <v>0</v>
      </c>
      <c r="AK901">
        <v>9</v>
      </c>
      <c r="AL901" t="s">
        <v>3251</v>
      </c>
      <c r="AM901" t="s">
        <v>3252</v>
      </c>
      <c r="AN901" t="s">
        <v>3253</v>
      </c>
      <c r="AO901" t="s">
        <v>17052</v>
      </c>
      <c r="AP901" t="s">
        <v>17053</v>
      </c>
      <c r="AQ901" t="s">
        <v>74</v>
      </c>
      <c r="AR901" t="s">
        <v>17054</v>
      </c>
      <c r="AS901" t="s">
        <v>17055</v>
      </c>
      <c r="AT901" t="s">
        <v>12678</v>
      </c>
      <c r="AU901">
        <v>2020</v>
      </c>
      <c r="AV901">
        <v>153</v>
      </c>
      <c r="AW901" t="s">
        <v>74</v>
      </c>
      <c r="AX901" t="s">
        <v>74</v>
      </c>
      <c r="AY901" t="s">
        <v>74</v>
      </c>
      <c r="AZ901" t="s">
        <v>74</v>
      </c>
      <c r="BA901" t="s">
        <v>74</v>
      </c>
      <c r="BB901" t="s">
        <v>74</v>
      </c>
      <c r="BC901" t="s">
        <v>74</v>
      </c>
      <c r="BD901">
        <v>106943</v>
      </c>
      <c r="BE901" t="s">
        <v>17056</v>
      </c>
      <c r="BF901" t="str">
        <f>HYPERLINK("http://dx.doi.org/10.1016/j.ympev.2020.106943","http://dx.doi.org/10.1016/j.ympev.2020.106943")</f>
        <v>http://dx.doi.org/10.1016/j.ympev.2020.106943</v>
      </c>
      <c r="BG901" t="s">
        <v>74</v>
      </c>
      <c r="BH901" t="s">
        <v>74</v>
      </c>
      <c r="BI901">
        <v>11</v>
      </c>
      <c r="BJ901" t="s">
        <v>17057</v>
      </c>
      <c r="BK901" t="s">
        <v>103</v>
      </c>
      <c r="BL901" t="s">
        <v>17057</v>
      </c>
      <c r="BM901" t="s">
        <v>17058</v>
      </c>
      <c r="BN901">
        <v>32860975</v>
      </c>
      <c r="BO901" t="s">
        <v>3283</v>
      </c>
      <c r="BP901" t="s">
        <v>74</v>
      </c>
      <c r="BQ901" t="s">
        <v>74</v>
      </c>
      <c r="BR901" t="s">
        <v>106</v>
      </c>
      <c r="BS901" t="s">
        <v>17059</v>
      </c>
      <c r="BT901" t="str">
        <f>HYPERLINK("https%3A%2F%2Fwww.webofscience.com%2Fwos%2Fwoscc%2Ffull-record%2FWOS:000579157200004","View Full Record in Web of Science")</f>
        <v>View Full Record in Web of Science</v>
      </c>
    </row>
    <row r="902" spans="1:72" x14ac:dyDescent="0.15">
      <c r="A902" t="s">
        <v>72</v>
      </c>
      <c r="B902" t="s">
        <v>17060</v>
      </c>
      <c r="C902" t="s">
        <v>74</v>
      </c>
      <c r="D902" t="s">
        <v>74</v>
      </c>
      <c r="E902" t="s">
        <v>74</v>
      </c>
      <c r="F902" t="s">
        <v>17061</v>
      </c>
      <c r="G902" t="s">
        <v>74</v>
      </c>
      <c r="H902" t="s">
        <v>74</v>
      </c>
      <c r="I902" t="s">
        <v>17062</v>
      </c>
      <c r="J902" t="s">
        <v>1237</v>
      </c>
      <c r="K902" t="s">
        <v>74</v>
      </c>
      <c r="L902" t="s">
        <v>74</v>
      </c>
      <c r="M902" t="s">
        <v>78</v>
      </c>
      <c r="N902" t="s">
        <v>79</v>
      </c>
      <c r="O902" t="s">
        <v>74</v>
      </c>
      <c r="P902" t="s">
        <v>74</v>
      </c>
      <c r="Q902" t="s">
        <v>74</v>
      </c>
      <c r="R902" t="s">
        <v>74</v>
      </c>
      <c r="S902" t="s">
        <v>74</v>
      </c>
      <c r="T902" t="s">
        <v>17063</v>
      </c>
      <c r="U902" t="s">
        <v>17064</v>
      </c>
      <c r="V902" t="s">
        <v>17065</v>
      </c>
      <c r="W902" t="s">
        <v>17066</v>
      </c>
      <c r="X902" t="s">
        <v>17067</v>
      </c>
      <c r="Y902" t="s">
        <v>17068</v>
      </c>
      <c r="Z902" t="s">
        <v>17069</v>
      </c>
      <c r="AA902" t="s">
        <v>17070</v>
      </c>
      <c r="AB902" t="s">
        <v>17071</v>
      </c>
      <c r="AC902" t="s">
        <v>17072</v>
      </c>
      <c r="AD902" t="s">
        <v>2818</v>
      </c>
      <c r="AE902" t="s">
        <v>17073</v>
      </c>
      <c r="AF902" t="s">
        <v>74</v>
      </c>
      <c r="AG902">
        <v>115</v>
      </c>
      <c r="AH902">
        <v>20</v>
      </c>
      <c r="AI902">
        <v>21</v>
      </c>
      <c r="AJ902">
        <v>5</v>
      </c>
      <c r="AK902">
        <v>53</v>
      </c>
      <c r="AL902" t="s">
        <v>418</v>
      </c>
      <c r="AM902" t="s">
        <v>178</v>
      </c>
      <c r="AN902" t="s">
        <v>419</v>
      </c>
      <c r="AO902" t="s">
        <v>1250</v>
      </c>
      <c r="AP902" t="s">
        <v>1251</v>
      </c>
      <c r="AQ902" t="s">
        <v>74</v>
      </c>
      <c r="AR902" t="s">
        <v>1237</v>
      </c>
      <c r="AS902" t="s">
        <v>1252</v>
      </c>
      <c r="AT902" t="s">
        <v>12678</v>
      </c>
      <c r="AU902">
        <v>2020</v>
      </c>
      <c r="AV902">
        <v>260</v>
      </c>
      <c r="AW902" t="s">
        <v>74</v>
      </c>
      <c r="AX902" t="s">
        <v>74</v>
      </c>
      <c r="AY902" t="s">
        <v>74</v>
      </c>
      <c r="AZ902" t="s">
        <v>74</v>
      </c>
      <c r="BA902" t="s">
        <v>74</v>
      </c>
      <c r="BB902" t="s">
        <v>74</v>
      </c>
      <c r="BC902" t="s">
        <v>74</v>
      </c>
      <c r="BD902">
        <v>127634</v>
      </c>
      <c r="BE902" t="s">
        <v>17074</v>
      </c>
      <c r="BF902" t="str">
        <f>HYPERLINK("http://dx.doi.org/10.1016/j.chemosphere.2020.127634","http://dx.doi.org/10.1016/j.chemosphere.2020.127634")</f>
        <v>http://dx.doi.org/10.1016/j.chemosphere.2020.127634</v>
      </c>
      <c r="BG902" t="s">
        <v>74</v>
      </c>
      <c r="BH902" t="s">
        <v>74</v>
      </c>
      <c r="BI902">
        <v>11</v>
      </c>
      <c r="BJ902" t="s">
        <v>102</v>
      </c>
      <c r="BK902" t="s">
        <v>103</v>
      </c>
      <c r="BL902" t="s">
        <v>104</v>
      </c>
      <c r="BM902" t="s">
        <v>17075</v>
      </c>
      <c r="BN902">
        <v>32683032</v>
      </c>
      <c r="BO902" t="s">
        <v>74</v>
      </c>
      <c r="BP902" t="s">
        <v>74</v>
      </c>
      <c r="BQ902" t="s">
        <v>74</v>
      </c>
      <c r="BR902" t="s">
        <v>106</v>
      </c>
      <c r="BS902" t="s">
        <v>17076</v>
      </c>
      <c r="BT902" t="str">
        <f>HYPERLINK("https%3A%2F%2Fwww.webofscience.com%2Fwos%2Fwoscc%2Ffull-record%2FWOS:000575197000100","View Full Record in Web of Science")</f>
        <v>View Full Record in Web of Science</v>
      </c>
    </row>
    <row r="903" spans="1:72" x14ac:dyDescent="0.15">
      <c r="A903" t="s">
        <v>72</v>
      </c>
      <c r="B903" t="s">
        <v>17077</v>
      </c>
      <c r="C903" t="s">
        <v>74</v>
      </c>
      <c r="D903" t="s">
        <v>74</v>
      </c>
      <c r="E903" t="s">
        <v>74</v>
      </c>
      <c r="F903" t="s">
        <v>17078</v>
      </c>
      <c r="G903" t="s">
        <v>74</v>
      </c>
      <c r="H903" t="s">
        <v>74</v>
      </c>
      <c r="I903" t="s">
        <v>17079</v>
      </c>
      <c r="J903" t="s">
        <v>1237</v>
      </c>
      <c r="K903" t="s">
        <v>74</v>
      </c>
      <c r="L903" t="s">
        <v>74</v>
      </c>
      <c r="M903" t="s">
        <v>78</v>
      </c>
      <c r="N903" t="s">
        <v>79</v>
      </c>
      <c r="O903" t="s">
        <v>74</v>
      </c>
      <c r="P903" t="s">
        <v>74</v>
      </c>
      <c r="Q903" t="s">
        <v>74</v>
      </c>
      <c r="R903" t="s">
        <v>74</v>
      </c>
      <c r="S903" t="s">
        <v>74</v>
      </c>
      <c r="T903" t="s">
        <v>17080</v>
      </c>
      <c r="U903" t="s">
        <v>17081</v>
      </c>
      <c r="V903" t="s">
        <v>17082</v>
      </c>
      <c r="W903" t="s">
        <v>17083</v>
      </c>
      <c r="X903" t="s">
        <v>17084</v>
      </c>
      <c r="Y903" t="s">
        <v>17085</v>
      </c>
      <c r="Z903" t="s">
        <v>17086</v>
      </c>
      <c r="AA903" t="s">
        <v>17087</v>
      </c>
      <c r="AB903" t="s">
        <v>17088</v>
      </c>
      <c r="AC903" t="s">
        <v>17089</v>
      </c>
      <c r="AD903" t="s">
        <v>17090</v>
      </c>
      <c r="AE903" t="s">
        <v>17091</v>
      </c>
      <c r="AF903" t="s">
        <v>74</v>
      </c>
      <c r="AG903">
        <v>116</v>
      </c>
      <c r="AH903">
        <v>10</v>
      </c>
      <c r="AI903">
        <v>11</v>
      </c>
      <c r="AJ903">
        <v>2</v>
      </c>
      <c r="AK903">
        <v>245</v>
      </c>
      <c r="AL903" t="s">
        <v>418</v>
      </c>
      <c r="AM903" t="s">
        <v>178</v>
      </c>
      <c r="AN903" t="s">
        <v>419</v>
      </c>
      <c r="AO903" t="s">
        <v>1250</v>
      </c>
      <c r="AP903" t="s">
        <v>1251</v>
      </c>
      <c r="AQ903" t="s">
        <v>74</v>
      </c>
      <c r="AR903" t="s">
        <v>1237</v>
      </c>
      <c r="AS903" t="s">
        <v>1252</v>
      </c>
      <c r="AT903" t="s">
        <v>12678</v>
      </c>
      <c r="AU903">
        <v>2020</v>
      </c>
      <c r="AV903">
        <v>260</v>
      </c>
      <c r="AW903" t="s">
        <v>74</v>
      </c>
      <c r="AX903" t="s">
        <v>74</v>
      </c>
      <c r="AY903" t="s">
        <v>74</v>
      </c>
      <c r="AZ903" t="s">
        <v>74</v>
      </c>
      <c r="BA903" t="s">
        <v>74</v>
      </c>
      <c r="BB903" t="s">
        <v>74</v>
      </c>
      <c r="BC903" t="s">
        <v>74</v>
      </c>
      <c r="BD903">
        <v>127605</v>
      </c>
      <c r="BE903" t="s">
        <v>17092</v>
      </c>
      <c r="BF903" t="str">
        <f>HYPERLINK("http://dx.doi.org/10.1016/j.chemosphere.2020.127605","http://dx.doi.org/10.1016/j.chemosphere.2020.127605")</f>
        <v>http://dx.doi.org/10.1016/j.chemosphere.2020.127605</v>
      </c>
      <c r="BG903" t="s">
        <v>74</v>
      </c>
      <c r="BH903" t="s">
        <v>74</v>
      </c>
      <c r="BI903">
        <v>10</v>
      </c>
      <c r="BJ903" t="s">
        <v>102</v>
      </c>
      <c r="BK903" t="s">
        <v>103</v>
      </c>
      <c r="BL903" t="s">
        <v>104</v>
      </c>
      <c r="BM903" t="s">
        <v>17075</v>
      </c>
      <c r="BN903">
        <v>32688319</v>
      </c>
      <c r="BO903" t="s">
        <v>74</v>
      </c>
      <c r="BP903" t="s">
        <v>74</v>
      </c>
      <c r="BQ903" t="s">
        <v>74</v>
      </c>
      <c r="BR903" t="s">
        <v>106</v>
      </c>
      <c r="BS903" t="s">
        <v>17093</v>
      </c>
      <c r="BT903" t="str">
        <f>HYPERLINK("https%3A%2F%2Fwww.webofscience.com%2Fwos%2Fwoscc%2Ffull-record%2FWOS:000575197000078","View Full Record in Web of Science")</f>
        <v>View Full Record in Web of Science</v>
      </c>
    </row>
    <row r="904" spans="1:72" x14ac:dyDescent="0.15">
      <c r="A904" t="s">
        <v>72</v>
      </c>
      <c r="B904" t="s">
        <v>17094</v>
      </c>
      <c r="C904" t="s">
        <v>74</v>
      </c>
      <c r="D904" t="s">
        <v>74</v>
      </c>
      <c r="E904" t="s">
        <v>74</v>
      </c>
      <c r="F904" t="s">
        <v>17095</v>
      </c>
      <c r="G904" t="s">
        <v>74</v>
      </c>
      <c r="H904" t="s">
        <v>74</v>
      </c>
      <c r="I904" t="s">
        <v>17096</v>
      </c>
      <c r="J904" t="s">
        <v>17097</v>
      </c>
      <c r="K904" t="s">
        <v>74</v>
      </c>
      <c r="L904" t="s">
        <v>74</v>
      </c>
      <c r="M904" t="s">
        <v>78</v>
      </c>
      <c r="N904" t="s">
        <v>141</v>
      </c>
      <c r="O904" t="s">
        <v>74</v>
      </c>
      <c r="P904" t="s">
        <v>74</v>
      </c>
      <c r="Q904" t="s">
        <v>74</v>
      </c>
      <c r="R904" t="s">
        <v>74</v>
      </c>
      <c r="S904" t="s">
        <v>74</v>
      </c>
      <c r="T904" t="s">
        <v>17098</v>
      </c>
      <c r="U904" t="s">
        <v>17099</v>
      </c>
      <c r="V904" t="s">
        <v>17100</v>
      </c>
      <c r="W904" t="s">
        <v>17101</v>
      </c>
      <c r="X904" t="s">
        <v>17102</v>
      </c>
      <c r="Y904" t="s">
        <v>17103</v>
      </c>
      <c r="Z904" t="s">
        <v>17104</v>
      </c>
      <c r="AA904" t="s">
        <v>17105</v>
      </c>
      <c r="AB904" t="s">
        <v>17106</v>
      </c>
      <c r="AC904" t="s">
        <v>17107</v>
      </c>
      <c r="AD904" t="s">
        <v>17107</v>
      </c>
      <c r="AE904" t="s">
        <v>17108</v>
      </c>
      <c r="AF904" t="s">
        <v>74</v>
      </c>
      <c r="AG904">
        <v>130</v>
      </c>
      <c r="AH904">
        <v>25</v>
      </c>
      <c r="AI904">
        <v>27</v>
      </c>
      <c r="AJ904">
        <v>4</v>
      </c>
      <c r="AK904">
        <v>91</v>
      </c>
      <c r="AL904" t="s">
        <v>177</v>
      </c>
      <c r="AM904" t="s">
        <v>178</v>
      </c>
      <c r="AN904" t="s">
        <v>179</v>
      </c>
      <c r="AO904" t="s">
        <v>17109</v>
      </c>
      <c r="AP904" t="s">
        <v>17110</v>
      </c>
      <c r="AQ904" t="s">
        <v>74</v>
      </c>
      <c r="AR904" t="s">
        <v>17097</v>
      </c>
      <c r="AS904" t="s">
        <v>17111</v>
      </c>
      <c r="AT904" t="s">
        <v>12678</v>
      </c>
      <c r="AU904">
        <v>2020</v>
      </c>
      <c r="AV904">
        <v>118</v>
      </c>
      <c r="AW904" t="s">
        <v>74</v>
      </c>
      <c r="AX904" t="s">
        <v>74</v>
      </c>
      <c r="AY904" t="s">
        <v>74</v>
      </c>
      <c r="AZ904" t="s">
        <v>74</v>
      </c>
      <c r="BA904" t="s">
        <v>74</v>
      </c>
      <c r="BB904" t="s">
        <v>74</v>
      </c>
      <c r="BC904" t="s">
        <v>74</v>
      </c>
      <c r="BD904">
        <v>107429</v>
      </c>
      <c r="BE904" t="s">
        <v>17112</v>
      </c>
      <c r="BF904" t="str">
        <f>HYPERLINK("http://dx.doi.org/10.1016/j.foodcont.2020.107429","http://dx.doi.org/10.1016/j.foodcont.2020.107429")</f>
        <v>http://dx.doi.org/10.1016/j.foodcont.2020.107429</v>
      </c>
      <c r="BG904" t="s">
        <v>74</v>
      </c>
      <c r="BH904" t="s">
        <v>74</v>
      </c>
      <c r="BI904">
        <v>15</v>
      </c>
      <c r="BJ904" t="s">
        <v>5390</v>
      </c>
      <c r="BK904" t="s">
        <v>271</v>
      </c>
      <c r="BL904" t="s">
        <v>5390</v>
      </c>
      <c r="BM904" t="s">
        <v>17113</v>
      </c>
      <c r="BN904" t="s">
        <v>74</v>
      </c>
      <c r="BO904" t="s">
        <v>74</v>
      </c>
      <c r="BP904" t="s">
        <v>74</v>
      </c>
      <c r="BQ904" t="s">
        <v>74</v>
      </c>
      <c r="BR904" t="s">
        <v>106</v>
      </c>
      <c r="BS904" t="s">
        <v>17114</v>
      </c>
      <c r="BT904" t="str">
        <f>HYPERLINK("https%3A%2F%2Fwww.webofscience.com%2Fwos%2Fwoscc%2Ffull-record%2FWOS:000564310600002","View Full Record in Web of Science")</f>
        <v>View Full Record in Web of Science</v>
      </c>
    </row>
    <row r="905" spans="1:72" x14ac:dyDescent="0.15">
      <c r="A905" t="s">
        <v>72</v>
      </c>
      <c r="B905" t="s">
        <v>74</v>
      </c>
      <c r="C905" t="s">
        <v>74</v>
      </c>
      <c r="D905" t="s">
        <v>74</v>
      </c>
      <c r="E905" t="s">
        <v>74</v>
      </c>
      <c r="F905" t="s">
        <v>74</v>
      </c>
      <c r="G905" t="s">
        <v>74</v>
      </c>
      <c r="H905" t="s">
        <v>17115</v>
      </c>
      <c r="I905" t="s">
        <v>17116</v>
      </c>
      <c r="J905" t="s">
        <v>17117</v>
      </c>
      <c r="K905" t="s">
        <v>74</v>
      </c>
      <c r="L905" t="s">
        <v>74</v>
      </c>
      <c r="M905" t="s">
        <v>78</v>
      </c>
      <c r="N905" t="s">
        <v>79</v>
      </c>
      <c r="O905" t="s">
        <v>74</v>
      </c>
      <c r="P905" t="s">
        <v>74</v>
      </c>
      <c r="Q905" t="s">
        <v>74</v>
      </c>
      <c r="R905" t="s">
        <v>74</v>
      </c>
      <c r="S905" t="s">
        <v>74</v>
      </c>
      <c r="T905" t="s">
        <v>74</v>
      </c>
      <c r="U905" t="s">
        <v>74</v>
      </c>
      <c r="V905" t="s">
        <v>74</v>
      </c>
      <c r="W905" t="s">
        <v>74</v>
      </c>
      <c r="X905" t="s">
        <v>74</v>
      </c>
      <c r="Y905" t="s">
        <v>74</v>
      </c>
      <c r="Z905" t="s">
        <v>74</v>
      </c>
      <c r="AA905" t="s">
        <v>74</v>
      </c>
      <c r="AB905" t="s">
        <v>74</v>
      </c>
      <c r="AC905" t="s">
        <v>74</v>
      </c>
      <c r="AD905" t="s">
        <v>74</v>
      </c>
      <c r="AE905" t="s">
        <v>74</v>
      </c>
      <c r="AF905" t="s">
        <v>74</v>
      </c>
      <c r="AG905">
        <v>0</v>
      </c>
      <c r="AH905">
        <v>0</v>
      </c>
      <c r="AI905">
        <v>0</v>
      </c>
      <c r="AJ905">
        <v>2</v>
      </c>
      <c r="AK905">
        <v>6</v>
      </c>
      <c r="AL905" t="s">
        <v>17118</v>
      </c>
      <c r="AM905" t="s">
        <v>10497</v>
      </c>
      <c r="AN905" t="s">
        <v>17119</v>
      </c>
      <c r="AO905" t="s">
        <v>17120</v>
      </c>
      <c r="AP905" t="s">
        <v>74</v>
      </c>
      <c r="AQ905" t="s">
        <v>74</v>
      </c>
      <c r="AR905" t="s">
        <v>17117</v>
      </c>
      <c r="AS905" t="s">
        <v>17121</v>
      </c>
      <c r="AT905" t="s">
        <v>17122</v>
      </c>
      <c r="AU905">
        <v>2020</v>
      </c>
      <c r="AV905">
        <v>44</v>
      </c>
      <c r="AW905">
        <v>4</v>
      </c>
      <c r="AX905" t="s">
        <v>74</v>
      </c>
      <c r="AY905" t="s">
        <v>74</v>
      </c>
      <c r="AZ905" t="s">
        <v>74</v>
      </c>
      <c r="BA905" t="s">
        <v>74</v>
      </c>
      <c r="BB905">
        <v>375</v>
      </c>
      <c r="BC905">
        <v>388</v>
      </c>
      <c r="BD905" t="s">
        <v>74</v>
      </c>
      <c r="BE905" t="s">
        <v>17123</v>
      </c>
      <c r="BF905" t="str">
        <f>HYPERLINK("http://dx.doi.org/10.26028/cybium/2020-444-007","http://dx.doi.org/10.26028/cybium/2020-444-007")</f>
        <v>http://dx.doi.org/10.26028/cybium/2020-444-007</v>
      </c>
      <c r="BG905" t="s">
        <v>74</v>
      </c>
      <c r="BH905" t="s">
        <v>74</v>
      </c>
      <c r="BI905">
        <v>14</v>
      </c>
      <c r="BJ905" t="s">
        <v>1028</v>
      </c>
      <c r="BK905" t="s">
        <v>103</v>
      </c>
      <c r="BL905" t="s">
        <v>1028</v>
      </c>
      <c r="BM905" t="s">
        <v>17124</v>
      </c>
      <c r="BN905" t="s">
        <v>74</v>
      </c>
      <c r="BO905" t="s">
        <v>74</v>
      </c>
      <c r="BP905" t="s">
        <v>74</v>
      </c>
      <c r="BQ905" t="s">
        <v>74</v>
      </c>
      <c r="BR905" t="s">
        <v>106</v>
      </c>
      <c r="BS905" t="s">
        <v>17125</v>
      </c>
      <c r="BT905" t="str">
        <f>HYPERLINK("https%3A%2F%2Fwww.webofscience.com%2Fwos%2Fwoscc%2Ffull-record%2FWOS:000612473900007","View Full Record in Web of Science")</f>
        <v>View Full Record in Web of Science</v>
      </c>
    </row>
    <row r="906" spans="1:72" x14ac:dyDescent="0.15">
      <c r="A906" t="s">
        <v>72</v>
      </c>
      <c r="B906" t="s">
        <v>17126</v>
      </c>
      <c r="C906" t="s">
        <v>74</v>
      </c>
      <c r="D906" t="s">
        <v>74</v>
      </c>
      <c r="E906" t="s">
        <v>74</v>
      </c>
      <c r="F906" t="s">
        <v>17127</v>
      </c>
      <c r="G906" t="s">
        <v>74</v>
      </c>
      <c r="H906" t="s">
        <v>74</v>
      </c>
      <c r="I906" t="s">
        <v>17128</v>
      </c>
      <c r="J906" t="s">
        <v>487</v>
      </c>
      <c r="K906" t="s">
        <v>74</v>
      </c>
      <c r="L906" t="s">
        <v>74</v>
      </c>
      <c r="M906" t="s">
        <v>78</v>
      </c>
      <c r="N906" t="s">
        <v>79</v>
      </c>
      <c r="O906" t="s">
        <v>74</v>
      </c>
      <c r="P906" t="s">
        <v>74</v>
      </c>
      <c r="Q906" t="s">
        <v>74</v>
      </c>
      <c r="R906" t="s">
        <v>74</v>
      </c>
      <c r="S906" t="s">
        <v>74</v>
      </c>
      <c r="T906" t="s">
        <v>17129</v>
      </c>
      <c r="U906" t="s">
        <v>17130</v>
      </c>
      <c r="V906" t="s">
        <v>17131</v>
      </c>
      <c r="W906" t="s">
        <v>17132</v>
      </c>
      <c r="X906" t="s">
        <v>17133</v>
      </c>
      <c r="Y906" t="s">
        <v>17134</v>
      </c>
      <c r="Z906" t="s">
        <v>17135</v>
      </c>
      <c r="AA906" t="s">
        <v>17136</v>
      </c>
      <c r="AB906" t="s">
        <v>17137</v>
      </c>
      <c r="AC906" t="s">
        <v>17138</v>
      </c>
      <c r="AD906" t="s">
        <v>17139</v>
      </c>
      <c r="AE906" t="s">
        <v>17140</v>
      </c>
      <c r="AF906" t="s">
        <v>74</v>
      </c>
      <c r="AG906">
        <v>46</v>
      </c>
      <c r="AH906">
        <v>31</v>
      </c>
      <c r="AI906">
        <v>34</v>
      </c>
      <c r="AJ906">
        <v>3</v>
      </c>
      <c r="AK906">
        <v>34</v>
      </c>
      <c r="AL906" t="s">
        <v>500</v>
      </c>
      <c r="AM906" t="s">
        <v>501</v>
      </c>
      <c r="AN906" t="s">
        <v>502</v>
      </c>
      <c r="AO906" t="s">
        <v>74</v>
      </c>
      <c r="AP906" t="s">
        <v>503</v>
      </c>
      <c r="AQ906" t="s">
        <v>74</v>
      </c>
      <c r="AR906" t="s">
        <v>504</v>
      </c>
      <c r="AS906" t="s">
        <v>505</v>
      </c>
      <c r="AT906" t="s">
        <v>17122</v>
      </c>
      <c r="AU906">
        <v>2020</v>
      </c>
      <c r="AV906">
        <v>7</v>
      </c>
      <c r="AW906" t="s">
        <v>74</v>
      </c>
      <c r="AX906" t="s">
        <v>74</v>
      </c>
      <c r="AY906" t="s">
        <v>74</v>
      </c>
      <c r="AZ906" t="s">
        <v>74</v>
      </c>
      <c r="BA906" t="s">
        <v>74</v>
      </c>
      <c r="BB906" t="s">
        <v>74</v>
      </c>
      <c r="BC906" t="s">
        <v>74</v>
      </c>
      <c r="BD906">
        <v>572680</v>
      </c>
      <c r="BE906" t="s">
        <v>17141</v>
      </c>
      <c r="BF906" t="str">
        <f>HYPERLINK("http://dx.doi.org/10.3389/fmars.2020.572680","http://dx.doi.org/10.3389/fmars.2020.572680")</f>
        <v>http://dx.doi.org/10.3389/fmars.2020.572680</v>
      </c>
      <c r="BG906" t="s">
        <v>74</v>
      </c>
      <c r="BH906" t="s">
        <v>74</v>
      </c>
      <c r="BI906">
        <v>9</v>
      </c>
      <c r="BJ906" t="s">
        <v>507</v>
      </c>
      <c r="BK906" t="s">
        <v>103</v>
      </c>
      <c r="BL906" t="s">
        <v>508</v>
      </c>
      <c r="BM906" t="s">
        <v>17142</v>
      </c>
      <c r="BN906" t="s">
        <v>74</v>
      </c>
      <c r="BO906" t="s">
        <v>660</v>
      </c>
      <c r="BP906" t="s">
        <v>74</v>
      </c>
      <c r="BQ906" t="s">
        <v>74</v>
      </c>
      <c r="BR906" t="s">
        <v>106</v>
      </c>
      <c r="BS906" t="s">
        <v>17143</v>
      </c>
      <c r="BT906" t="str">
        <f>HYPERLINK("https%3A%2F%2Fwww.webofscience.com%2Fwos%2Fwoscc%2Ffull-record%2FWOS:000598140600001","View Full Record in Web of Science")</f>
        <v>View Full Record in Web of Science</v>
      </c>
    </row>
    <row r="907" spans="1:72" x14ac:dyDescent="0.15">
      <c r="A907" t="s">
        <v>72</v>
      </c>
      <c r="B907" t="s">
        <v>17144</v>
      </c>
      <c r="C907" t="s">
        <v>74</v>
      </c>
      <c r="D907" t="s">
        <v>74</v>
      </c>
      <c r="E907" t="s">
        <v>74</v>
      </c>
      <c r="F907" t="s">
        <v>17145</v>
      </c>
      <c r="G907" t="s">
        <v>74</v>
      </c>
      <c r="H907" t="s">
        <v>74</v>
      </c>
      <c r="I907" t="s">
        <v>17146</v>
      </c>
      <c r="J907" t="s">
        <v>17147</v>
      </c>
      <c r="K907" t="s">
        <v>74</v>
      </c>
      <c r="L907" t="s">
        <v>74</v>
      </c>
      <c r="M907" t="s">
        <v>78</v>
      </c>
      <c r="N907" t="s">
        <v>79</v>
      </c>
      <c r="O907" t="s">
        <v>74</v>
      </c>
      <c r="P907" t="s">
        <v>74</v>
      </c>
      <c r="Q907" t="s">
        <v>74</v>
      </c>
      <c r="R907" t="s">
        <v>74</v>
      </c>
      <c r="S907" t="s">
        <v>74</v>
      </c>
      <c r="T907" t="s">
        <v>74</v>
      </c>
      <c r="U907" t="s">
        <v>17148</v>
      </c>
      <c r="V907" t="s">
        <v>17149</v>
      </c>
      <c r="W907" t="s">
        <v>17150</v>
      </c>
      <c r="X907" t="s">
        <v>17151</v>
      </c>
      <c r="Y907" t="s">
        <v>17152</v>
      </c>
      <c r="Z907" t="s">
        <v>17153</v>
      </c>
      <c r="AA907" t="s">
        <v>17154</v>
      </c>
      <c r="AB907" t="s">
        <v>17155</v>
      </c>
      <c r="AC907" t="s">
        <v>17156</v>
      </c>
      <c r="AD907" t="s">
        <v>17157</v>
      </c>
      <c r="AE907" t="s">
        <v>17158</v>
      </c>
      <c r="AF907" t="s">
        <v>74</v>
      </c>
      <c r="AG907">
        <v>19</v>
      </c>
      <c r="AH907">
        <v>0</v>
      </c>
      <c r="AI907">
        <v>0</v>
      </c>
      <c r="AJ907">
        <v>0</v>
      </c>
      <c r="AK907">
        <v>19</v>
      </c>
      <c r="AL907" t="s">
        <v>552</v>
      </c>
      <c r="AM907" t="s">
        <v>553</v>
      </c>
      <c r="AN907" t="s">
        <v>554</v>
      </c>
      <c r="AO907" t="s">
        <v>17159</v>
      </c>
      <c r="AP907" t="s">
        <v>17160</v>
      </c>
      <c r="AQ907" t="s">
        <v>74</v>
      </c>
      <c r="AR907" t="s">
        <v>17161</v>
      </c>
      <c r="AS907" t="s">
        <v>17162</v>
      </c>
      <c r="AT907" t="s">
        <v>17122</v>
      </c>
      <c r="AU907">
        <v>2020</v>
      </c>
      <c r="AV907">
        <v>34</v>
      </c>
      <c r="AW907">
        <v>22</v>
      </c>
      <c r="AX907" t="s">
        <v>74</v>
      </c>
      <c r="AY907" t="s">
        <v>74</v>
      </c>
      <c r="AZ907" t="s">
        <v>74</v>
      </c>
      <c r="BA907" t="s">
        <v>74</v>
      </c>
      <c r="BB907" t="s">
        <v>74</v>
      </c>
      <c r="BC907" t="s">
        <v>74</v>
      </c>
      <c r="BD907" t="s">
        <v>17163</v>
      </c>
      <c r="BE907" t="s">
        <v>17164</v>
      </c>
      <c r="BF907" t="str">
        <f>HYPERLINK("http://dx.doi.org/10.1002/rcm.8905","http://dx.doi.org/10.1002/rcm.8905")</f>
        <v>http://dx.doi.org/10.1002/rcm.8905</v>
      </c>
      <c r="BG907" t="s">
        <v>74</v>
      </c>
      <c r="BH907" t="s">
        <v>74</v>
      </c>
      <c r="BI907">
        <v>7</v>
      </c>
      <c r="BJ907" t="s">
        <v>17165</v>
      </c>
      <c r="BK907" t="s">
        <v>103</v>
      </c>
      <c r="BL907" t="s">
        <v>17166</v>
      </c>
      <c r="BM907" t="s">
        <v>17167</v>
      </c>
      <c r="BN907">
        <v>32698248</v>
      </c>
      <c r="BO907" t="s">
        <v>74</v>
      </c>
      <c r="BP907" t="s">
        <v>74</v>
      </c>
      <c r="BQ907" t="s">
        <v>74</v>
      </c>
      <c r="BR907" t="s">
        <v>106</v>
      </c>
      <c r="BS907" t="s">
        <v>17168</v>
      </c>
      <c r="BT907" t="str">
        <f>HYPERLINK("https%3A%2F%2Fwww.webofscience.com%2Fwos%2Fwoscc%2Ffull-record%2FWOS:000583377300009","View Full Record in Web of Science")</f>
        <v>View Full Record in Web of Science</v>
      </c>
    </row>
    <row r="908" spans="1:72" x14ac:dyDescent="0.15">
      <c r="A908" t="s">
        <v>72</v>
      </c>
      <c r="B908" t="s">
        <v>17169</v>
      </c>
      <c r="C908" t="s">
        <v>74</v>
      </c>
      <c r="D908" t="s">
        <v>74</v>
      </c>
      <c r="E908" t="s">
        <v>74</v>
      </c>
      <c r="F908" t="s">
        <v>17170</v>
      </c>
      <c r="G908" t="s">
        <v>74</v>
      </c>
      <c r="H908" t="s">
        <v>74</v>
      </c>
      <c r="I908" t="s">
        <v>17171</v>
      </c>
      <c r="J908" t="s">
        <v>17172</v>
      </c>
      <c r="K908" t="s">
        <v>74</v>
      </c>
      <c r="L908" t="s">
        <v>74</v>
      </c>
      <c r="M908" t="s">
        <v>78</v>
      </c>
      <c r="N908" t="s">
        <v>79</v>
      </c>
      <c r="O908" t="s">
        <v>74</v>
      </c>
      <c r="P908" t="s">
        <v>74</v>
      </c>
      <c r="Q908" t="s">
        <v>74</v>
      </c>
      <c r="R908" t="s">
        <v>74</v>
      </c>
      <c r="S908" t="s">
        <v>74</v>
      </c>
      <c r="T908" t="s">
        <v>74</v>
      </c>
      <c r="U908" t="s">
        <v>17173</v>
      </c>
      <c r="V908" t="s">
        <v>17174</v>
      </c>
      <c r="W908" t="s">
        <v>17175</v>
      </c>
      <c r="X908" t="s">
        <v>17176</v>
      </c>
      <c r="Y908" t="s">
        <v>17177</v>
      </c>
      <c r="Z908" t="s">
        <v>17178</v>
      </c>
      <c r="AA908" t="s">
        <v>17179</v>
      </c>
      <c r="AB908" t="s">
        <v>17180</v>
      </c>
      <c r="AC908" t="s">
        <v>17181</v>
      </c>
      <c r="AD908" t="s">
        <v>17182</v>
      </c>
      <c r="AE908" t="s">
        <v>17183</v>
      </c>
      <c r="AF908" t="s">
        <v>74</v>
      </c>
      <c r="AG908">
        <v>60</v>
      </c>
      <c r="AH908">
        <v>5</v>
      </c>
      <c r="AI908">
        <v>5</v>
      </c>
      <c r="AJ908">
        <v>0</v>
      </c>
      <c r="AK908">
        <v>8</v>
      </c>
      <c r="AL908" t="s">
        <v>123</v>
      </c>
      <c r="AM908" t="s">
        <v>124</v>
      </c>
      <c r="AN908" t="s">
        <v>125</v>
      </c>
      <c r="AO908" t="s">
        <v>17184</v>
      </c>
      <c r="AP908" t="s">
        <v>17185</v>
      </c>
      <c r="AQ908" t="s">
        <v>74</v>
      </c>
      <c r="AR908" t="s">
        <v>17186</v>
      </c>
      <c r="AS908" t="s">
        <v>17187</v>
      </c>
      <c r="AT908" t="s">
        <v>17188</v>
      </c>
      <c r="AU908">
        <v>2020</v>
      </c>
      <c r="AV908">
        <v>24</v>
      </c>
      <c r="AW908">
        <v>12</v>
      </c>
      <c r="AX908" t="s">
        <v>74</v>
      </c>
      <c r="AY908" t="s">
        <v>74</v>
      </c>
      <c r="AZ908" t="s">
        <v>74</v>
      </c>
      <c r="BA908" t="s">
        <v>74</v>
      </c>
      <c r="BB908">
        <v>5699</v>
      </c>
      <c r="BC908">
        <v>5712</v>
      </c>
      <c r="BD908" t="s">
        <v>74</v>
      </c>
      <c r="BE908" t="s">
        <v>17189</v>
      </c>
      <c r="BF908" t="str">
        <f>HYPERLINK("http://dx.doi.org/10.5194/hess-24-5699-2020","http://dx.doi.org/10.5194/hess-24-5699-2020")</f>
        <v>http://dx.doi.org/10.5194/hess-24-5699-2020</v>
      </c>
      <c r="BG908" t="s">
        <v>74</v>
      </c>
      <c r="BH908" t="s">
        <v>74</v>
      </c>
      <c r="BI908">
        <v>14</v>
      </c>
      <c r="BJ908" t="s">
        <v>17190</v>
      </c>
      <c r="BK908" t="s">
        <v>103</v>
      </c>
      <c r="BL908" t="s">
        <v>17191</v>
      </c>
      <c r="BM908" t="s">
        <v>17192</v>
      </c>
      <c r="BN908" t="s">
        <v>74</v>
      </c>
      <c r="BO908" t="s">
        <v>159</v>
      </c>
      <c r="BP908" t="s">
        <v>74</v>
      </c>
      <c r="BQ908" t="s">
        <v>74</v>
      </c>
      <c r="BR908" t="s">
        <v>106</v>
      </c>
      <c r="BS908" t="s">
        <v>17193</v>
      </c>
      <c r="BT908" t="str">
        <f>HYPERLINK("https%3A%2F%2Fwww.webofscience.com%2Fwos%2Fwoscc%2Ffull-record%2FWOS:000595582800001","View Full Record in Web of Science")</f>
        <v>View Full Record in Web of Science</v>
      </c>
    </row>
    <row r="909" spans="1:72" x14ac:dyDescent="0.15">
      <c r="A909" t="s">
        <v>72</v>
      </c>
      <c r="B909" t="s">
        <v>17194</v>
      </c>
      <c r="C909" t="s">
        <v>74</v>
      </c>
      <c r="D909" t="s">
        <v>74</v>
      </c>
      <c r="E909" t="s">
        <v>74</v>
      </c>
      <c r="F909" t="s">
        <v>17195</v>
      </c>
      <c r="G909" t="s">
        <v>74</v>
      </c>
      <c r="H909" t="s">
        <v>74</v>
      </c>
      <c r="I909" t="s">
        <v>17196</v>
      </c>
      <c r="J909" t="s">
        <v>17197</v>
      </c>
      <c r="K909" t="s">
        <v>74</v>
      </c>
      <c r="L909" t="s">
        <v>74</v>
      </c>
      <c r="M909" t="s">
        <v>78</v>
      </c>
      <c r="N909" t="s">
        <v>79</v>
      </c>
      <c r="O909" t="s">
        <v>74</v>
      </c>
      <c r="P909" t="s">
        <v>74</v>
      </c>
      <c r="Q909" t="s">
        <v>74</v>
      </c>
      <c r="R909" t="s">
        <v>74</v>
      </c>
      <c r="S909" t="s">
        <v>74</v>
      </c>
      <c r="T909" t="s">
        <v>17198</v>
      </c>
      <c r="U909" t="s">
        <v>17199</v>
      </c>
      <c r="V909" t="s">
        <v>17200</v>
      </c>
      <c r="W909" t="s">
        <v>17201</v>
      </c>
      <c r="X909" t="s">
        <v>17202</v>
      </c>
      <c r="Y909" t="s">
        <v>17203</v>
      </c>
      <c r="Z909" t="s">
        <v>17204</v>
      </c>
      <c r="AA909" t="s">
        <v>17205</v>
      </c>
      <c r="AB909" t="s">
        <v>17206</v>
      </c>
      <c r="AC909" t="s">
        <v>17207</v>
      </c>
      <c r="AD909" t="s">
        <v>17208</v>
      </c>
      <c r="AE909" t="s">
        <v>17209</v>
      </c>
      <c r="AF909" t="s">
        <v>74</v>
      </c>
      <c r="AG909">
        <v>97</v>
      </c>
      <c r="AH909">
        <v>5</v>
      </c>
      <c r="AI909">
        <v>7</v>
      </c>
      <c r="AJ909">
        <v>4</v>
      </c>
      <c r="AK909">
        <v>21</v>
      </c>
      <c r="AL909" t="s">
        <v>552</v>
      </c>
      <c r="AM909" t="s">
        <v>553</v>
      </c>
      <c r="AN909" t="s">
        <v>554</v>
      </c>
      <c r="AO909" t="s">
        <v>17210</v>
      </c>
      <c r="AP909" t="s">
        <v>17211</v>
      </c>
      <c r="AQ909" t="s">
        <v>74</v>
      </c>
      <c r="AR909" t="s">
        <v>17212</v>
      </c>
      <c r="AS909" t="s">
        <v>17213</v>
      </c>
      <c r="AT909" t="s">
        <v>12678</v>
      </c>
      <c r="AU909">
        <v>2020</v>
      </c>
      <c r="AV909">
        <v>34</v>
      </c>
      <c r="AW909">
        <v>26</v>
      </c>
      <c r="AX909" t="s">
        <v>74</v>
      </c>
      <c r="AY909" t="s">
        <v>74</v>
      </c>
      <c r="AZ909" t="s">
        <v>74</v>
      </c>
      <c r="BA909" t="s">
        <v>74</v>
      </c>
      <c r="BB909">
        <v>5624</v>
      </c>
      <c r="BC909">
        <v>5641</v>
      </c>
      <c r="BD909" t="s">
        <v>74</v>
      </c>
      <c r="BE909" t="s">
        <v>17214</v>
      </c>
      <c r="BF909" t="str">
        <f>HYPERLINK("http://dx.doi.org/10.1002/hyp.13982","http://dx.doi.org/10.1002/hyp.13982")</f>
        <v>http://dx.doi.org/10.1002/hyp.13982</v>
      </c>
      <c r="BG909" t="s">
        <v>74</v>
      </c>
      <c r="BH909" t="s">
        <v>17215</v>
      </c>
      <c r="BI909">
        <v>18</v>
      </c>
      <c r="BJ909" t="s">
        <v>17216</v>
      </c>
      <c r="BK909" t="s">
        <v>103</v>
      </c>
      <c r="BL909" t="s">
        <v>17216</v>
      </c>
      <c r="BM909" t="s">
        <v>17217</v>
      </c>
      <c r="BN909" t="s">
        <v>74</v>
      </c>
      <c r="BO909" t="s">
        <v>74</v>
      </c>
      <c r="BP909" t="s">
        <v>74</v>
      </c>
      <c r="BQ909" t="s">
        <v>74</v>
      </c>
      <c r="BR909" t="s">
        <v>106</v>
      </c>
      <c r="BS909" t="s">
        <v>17218</v>
      </c>
      <c r="BT909" t="str">
        <f>HYPERLINK("https%3A%2F%2Fwww.webofscience.com%2Fwos%2Fwoscc%2Ffull-record%2FWOS:000594130500001","View Full Record in Web of Science")</f>
        <v>View Full Record in Web of Science</v>
      </c>
    </row>
    <row r="910" spans="1:72" x14ac:dyDescent="0.15">
      <c r="A910" t="s">
        <v>72</v>
      </c>
      <c r="B910" t="s">
        <v>17219</v>
      </c>
      <c r="C910" t="s">
        <v>74</v>
      </c>
      <c r="D910" t="s">
        <v>74</v>
      </c>
      <c r="E910" t="s">
        <v>74</v>
      </c>
      <c r="F910" t="s">
        <v>17220</v>
      </c>
      <c r="G910" t="s">
        <v>74</v>
      </c>
      <c r="H910" t="s">
        <v>74</v>
      </c>
      <c r="I910" t="s">
        <v>17221</v>
      </c>
      <c r="J910" t="s">
        <v>1278</v>
      </c>
      <c r="K910" t="s">
        <v>74</v>
      </c>
      <c r="L910" t="s">
        <v>74</v>
      </c>
      <c r="M910" t="s">
        <v>78</v>
      </c>
      <c r="N910" t="s">
        <v>79</v>
      </c>
      <c r="O910" t="s">
        <v>74</v>
      </c>
      <c r="P910" t="s">
        <v>74</v>
      </c>
      <c r="Q910" t="s">
        <v>74</v>
      </c>
      <c r="R910" t="s">
        <v>74</v>
      </c>
      <c r="S910" t="s">
        <v>74</v>
      </c>
      <c r="T910" t="s">
        <v>17222</v>
      </c>
      <c r="U910" t="s">
        <v>17223</v>
      </c>
      <c r="V910" t="s">
        <v>17224</v>
      </c>
      <c r="W910" t="s">
        <v>17225</v>
      </c>
      <c r="X910" t="s">
        <v>17226</v>
      </c>
      <c r="Y910" t="s">
        <v>17227</v>
      </c>
      <c r="Z910" t="s">
        <v>17228</v>
      </c>
      <c r="AA910" t="s">
        <v>17229</v>
      </c>
      <c r="AB910" t="s">
        <v>17230</v>
      </c>
      <c r="AC910" t="s">
        <v>17231</v>
      </c>
      <c r="AD910" t="s">
        <v>17232</v>
      </c>
      <c r="AE910" t="s">
        <v>17233</v>
      </c>
      <c r="AF910" t="s">
        <v>74</v>
      </c>
      <c r="AG910">
        <v>34</v>
      </c>
      <c r="AH910">
        <v>5</v>
      </c>
      <c r="AI910">
        <v>5</v>
      </c>
      <c r="AJ910">
        <v>0</v>
      </c>
      <c r="AK910">
        <v>8</v>
      </c>
      <c r="AL910" t="s">
        <v>1291</v>
      </c>
      <c r="AM910" t="s">
        <v>629</v>
      </c>
      <c r="AN910" t="s">
        <v>1292</v>
      </c>
      <c r="AO910" t="s">
        <v>1293</v>
      </c>
      <c r="AP910" t="s">
        <v>1294</v>
      </c>
      <c r="AQ910" t="s">
        <v>74</v>
      </c>
      <c r="AR910" t="s">
        <v>1295</v>
      </c>
      <c r="AS910" t="s">
        <v>1296</v>
      </c>
      <c r="AT910" t="s">
        <v>17234</v>
      </c>
      <c r="AU910">
        <v>2020</v>
      </c>
      <c r="AV910">
        <v>47</v>
      </c>
      <c r="AW910">
        <v>23</v>
      </c>
      <c r="AX910" t="s">
        <v>74</v>
      </c>
      <c r="AY910" t="s">
        <v>74</v>
      </c>
      <c r="AZ910" t="s">
        <v>74</v>
      </c>
      <c r="BA910" t="s">
        <v>74</v>
      </c>
      <c r="BB910" t="s">
        <v>74</v>
      </c>
      <c r="BC910" t="s">
        <v>74</v>
      </c>
      <c r="BD910" t="s">
        <v>17235</v>
      </c>
      <c r="BE910" t="s">
        <v>17236</v>
      </c>
      <c r="BF910" t="str">
        <f>HYPERLINK("http://dx.doi.org/10.1029/2020GL090534","http://dx.doi.org/10.1029/2020GL090534")</f>
        <v>http://dx.doi.org/10.1029/2020GL090534</v>
      </c>
      <c r="BG910" t="s">
        <v>74</v>
      </c>
      <c r="BH910" t="s">
        <v>74</v>
      </c>
      <c r="BI910">
        <v>10</v>
      </c>
      <c r="BJ910" t="s">
        <v>401</v>
      </c>
      <c r="BK910" t="s">
        <v>103</v>
      </c>
      <c r="BL910" t="s">
        <v>402</v>
      </c>
      <c r="BM910" t="s">
        <v>17237</v>
      </c>
      <c r="BN910" t="s">
        <v>74</v>
      </c>
      <c r="BO910" t="s">
        <v>1220</v>
      </c>
      <c r="BP910" t="s">
        <v>74</v>
      </c>
      <c r="BQ910" t="s">
        <v>74</v>
      </c>
      <c r="BR910" t="s">
        <v>106</v>
      </c>
      <c r="BS910" t="s">
        <v>17238</v>
      </c>
      <c r="BT910" t="str">
        <f>HYPERLINK("https%3A%2F%2Fwww.webofscience.com%2Fwos%2Fwoscc%2Ffull-record%2FWOS:000598677000066","View Full Record in Web of Science")</f>
        <v>View Full Record in Web of Science</v>
      </c>
    </row>
    <row r="911" spans="1:72" x14ac:dyDescent="0.15">
      <c r="A911" t="s">
        <v>72</v>
      </c>
      <c r="B911" t="s">
        <v>17239</v>
      </c>
      <c r="C911" t="s">
        <v>74</v>
      </c>
      <c r="D911" t="s">
        <v>74</v>
      </c>
      <c r="E911" t="s">
        <v>74</v>
      </c>
      <c r="F911" t="s">
        <v>17240</v>
      </c>
      <c r="G911" t="s">
        <v>74</v>
      </c>
      <c r="H911" t="s">
        <v>74</v>
      </c>
      <c r="I911" t="s">
        <v>17241</v>
      </c>
      <c r="J911" t="s">
        <v>1278</v>
      </c>
      <c r="K911" t="s">
        <v>74</v>
      </c>
      <c r="L911" t="s">
        <v>74</v>
      </c>
      <c r="M911" t="s">
        <v>78</v>
      </c>
      <c r="N911" t="s">
        <v>79</v>
      </c>
      <c r="O911" t="s">
        <v>74</v>
      </c>
      <c r="P911" t="s">
        <v>74</v>
      </c>
      <c r="Q911" t="s">
        <v>74</v>
      </c>
      <c r="R911" t="s">
        <v>74</v>
      </c>
      <c r="S911" t="s">
        <v>74</v>
      </c>
      <c r="T911" t="s">
        <v>17242</v>
      </c>
      <c r="U911" t="s">
        <v>17243</v>
      </c>
      <c r="V911" t="s">
        <v>17244</v>
      </c>
      <c r="W911" t="s">
        <v>17245</v>
      </c>
      <c r="X911" t="s">
        <v>17246</v>
      </c>
      <c r="Y911" t="s">
        <v>17247</v>
      </c>
      <c r="Z911" t="s">
        <v>17248</v>
      </c>
      <c r="AA911" t="s">
        <v>17249</v>
      </c>
      <c r="AB911" t="s">
        <v>17250</v>
      </c>
      <c r="AC911" t="s">
        <v>17251</v>
      </c>
      <c r="AD911" t="s">
        <v>17252</v>
      </c>
      <c r="AE911" t="s">
        <v>17253</v>
      </c>
      <c r="AF911" t="s">
        <v>74</v>
      </c>
      <c r="AG911">
        <v>46</v>
      </c>
      <c r="AH911">
        <v>7</v>
      </c>
      <c r="AI911">
        <v>7</v>
      </c>
      <c r="AJ911">
        <v>1</v>
      </c>
      <c r="AK911">
        <v>5</v>
      </c>
      <c r="AL911" t="s">
        <v>1291</v>
      </c>
      <c r="AM911" t="s">
        <v>629</v>
      </c>
      <c r="AN911" t="s">
        <v>1292</v>
      </c>
      <c r="AO911" t="s">
        <v>1293</v>
      </c>
      <c r="AP911" t="s">
        <v>1294</v>
      </c>
      <c r="AQ911" t="s">
        <v>74</v>
      </c>
      <c r="AR911" t="s">
        <v>1295</v>
      </c>
      <c r="AS911" t="s">
        <v>1296</v>
      </c>
      <c r="AT911" t="s">
        <v>17234</v>
      </c>
      <c r="AU911">
        <v>2020</v>
      </c>
      <c r="AV911">
        <v>47</v>
      </c>
      <c r="AW911">
        <v>23</v>
      </c>
      <c r="AX911" t="s">
        <v>74</v>
      </c>
      <c r="AY911" t="s">
        <v>74</v>
      </c>
      <c r="AZ911" t="s">
        <v>74</v>
      </c>
      <c r="BA911" t="s">
        <v>74</v>
      </c>
      <c r="BB911" t="s">
        <v>74</v>
      </c>
      <c r="BC911" t="s">
        <v>74</v>
      </c>
      <c r="BD911" t="s">
        <v>17254</v>
      </c>
      <c r="BE911" t="s">
        <v>17255</v>
      </c>
      <c r="BF911" t="str">
        <f>HYPERLINK("http://dx.doi.org/10.1029/2020GL090165","http://dx.doi.org/10.1029/2020GL090165")</f>
        <v>http://dx.doi.org/10.1029/2020GL090165</v>
      </c>
      <c r="BG911" t="s">
        <v>74</v>
      </c>
      <c r="BH911" t="s">
        <v>74</v>
      </c>
      <c r="BI911">
        <v>10</v>
      </c>
      <c r="BJ911" t="s">
        <v>401</v>
      </c>
      <c r="BK911" t="s">
        <v>103</v>
      </c>
      <c r="BL911" t="s">
        <v>402</v>
      </c>
      <c r="BM911" t="s">
        <v>17237</v>
      </c>
      <c r="BN911" t="s">
        <v>74</v>
      </c>
      <c r="BO911" t="s">
        <v>189</v>
      </c>
      <c r="BP911" t="s">
        <v>74</v>
      </c>
      <c r="BQ911" t="s">
        <v>74</v>
      </c>
      <c r="BR911" t="s">
        <v>106</v>
      </c>
      <c r="BS911" t="s">
        <v>17256</v>
      </c>
      <c r="BT911" t="str">
        <f>HYPERLINK("https%3A%2F%2Fwww.webofscience.com%2Fwos%2Fwoscc%2Ffull-record%2FWOS:000598677000028","View Full Record in Web of Science")</f>
        <v>View Full Record in Web of Science</v>
      </c>
    </row>
    <row r="912" spans="1:72" x14ac:dyDescent="0.15">
      <c r="A912" t="s">
        <v>72</v>
      </c>
      <c r="B912" t="s">
        <v>17257</v>
      </c>
      <c r="C912" t="s">
        <v>74</v>
      </c>
      <c r="D912" t="s">
        <v>74</v>
      </c>
      <c r="E912" t="s">
        <v>74</v>
      </c>
      <c r="F912" t="s">
        <v>17258</v>
      </c>
      <c r="G912" t="s">
        <v>74</v>
      </c>
      <c r="H912" t="s">
        <v>74</v>
      </c>
      <c r="I912" t="s">
        <v>17259</v>
      </c>
      <c r="J912" t="s">
        <v>1278</v>
      </c>
      <c r="K912" t="s">
        <v>74</v>
      </c>
      <c r="L912" t="s">
        <v>74</v>
      </c>
      <c r="M912" t="s">
        <v>78</v>
      </c>
      <c r="N912" t="s">
        <v>79</v>
      </c>
      <c r="O912" t="s">
        <v>74</v>
      </c>
      <c r="P912" t="s">
        <v>74</v>
      </c>
      <c r="Q912" t="s">
        <v>74</v>
      </c>
      <c r="R912" t="s">
        <v>74</v>
      </c>
      <c r="S912" t="s">
        <v>74</v>
      </c>
      <c r="T912" t="s">
        <v>17260</v>
      </c>
      <c r="U912" t="s">
        <v>74</v>
      </c>
      <c r="V912" t="s">
        <v>17261</v>
      </c>
      <c r="W912" t="s">
        <v>17262</v>
      </c>
      <c r="X912" t="s">
        <v>17263</v>
      </c>
      <c r="Y912" t="s">
        <v>17264</v>
      </c>
      <c r="Z912" t="s">
        <v>17265</v>
      </c>
      <c r="AA912" t="s">
        <v>17266</v>
      </c>
      <c r="AB912" t="s">
        <v>17267</v>
      </c>
      <c r="AC912" t="s">
        <v>17268</v>
      </c>
      <c r="AD912" t="s">
        <v>17269</v>
      </c>
      <c r="AE912" t="s">
        <v>17270</v>
      </c>
      <c r="AF912" t="s">
        <v>74</v>
      </c>
      <c r="AG912">
        <v>34</v>
      </c>
      <c r="AH912">
        <v>18</v>
      </c>
      <c r="AI912">
        <v>18</v>
      </c>
      <c r="AJ912">
        <v>4</v>
      </c>
      <c r="AK912">
        <v>23</v>
      </c>
      <c r="AL912" t="s">
        <v>1291</v>
      </c>
      <c r="AM912" t="s">
        <v>629</v>
      </c>
      <c r="AN912" t="s">
        <v>1292</v>
      </c>
      <c r="AO912" t="s">
        <v>1293</v>
      </c>
      <c r="AP912" t="s">
        <v>1294</v>
      </c>
      <c r="AQ912" t="s">
        <v>74</v>
      </c>
      <c r="AR912" t="s">
        <v>1295</v>
      </c>
      <c r="AS912" t="s">
        <v>1296</v>
      </c>
      <c r="AT912" t="s">
        <v>17234</v>
      </c>
      <c r="AU912">
        <v>2020</v>
      </c>
      <c r="AV912">
        <v>47</v>
      </c>
      <c r="AW912">
        <v>23</v>
      </c>
      <c r="AX912" t="s">
        <v>74</v>
      </c>
      <c r="AY912" t="s">
        <v>74</v>
      </c>
      <c r="AZ912" t="s">
        <v>74</v>
      </c>
      <c r="BA912" t="s">
        <v>74</v>
      </c>
      <c r="BB912" t="s">
        <v>74</v>
      </c>
      <c r="BC912" t="s">
        <v>74</v>
      </c>
      <c r="BD912" t="s">
        <v>17271</v>
      </c>
      <c r="BE912" t="s">
        <v>17272</v>
      </c>
      <c r="BF912" t="str">
        <f>HYPERLINK("http://dx.doi.org/10.1029/2020GL091453","http://dx.doi.org/10.1029/2020GL091453")</f>
        <v>http://dx.doi.org/10.1029/2020GL091453</v>
      </c>
      <c r="BG912" t="s">
        <v>74</v>
      </c>
      <c r="BH912" t="s">
        <v>74</v>
      </c>
      <c r="BI912">
        <v>9</v>
      </c>
      <c r="BJ912" t="s">
        <v>401</v>
      </c>
      <c r="BK912" t="s">
        <v>103</v>
      </c>
      <c r="BL912" t="s">
        <v>402</v>
      </c>
      <c r="BM912" t="s">
        <v>17237</v>
      </c>
      <c r="BN912" t="s">
        <v>74</v>
      </c>
      <c r="BO912" t="s">
        <v>759</v>
      </c>
      <c r="BP912" t="s">
        <v>74</v>
      </c>
      <c r="BQ912" t="s">
        <v>74</v>
      </c>
      <c r="BR912" t="s">
        <v>106</v>
      </c>
      <c r="BS912" t="s">
        <v>17273</v>
      </c>
      <c r="BT912" t="str">
        <f>HYPERLINK("https%3A%2F%2Fwww.webofscience.com%2Fwos%2Fwoscc%2Ffull-record%2FWOS:000598677000029","View Full Record in Web of Science")</f>
        <v>View Full Record in Web of Science</v>
      </c>
    </row>
    <row r="913" spans="1:72" x14ac:dyDescent="0.15">
      <c r="A913" t="s">
        <v>72</v>
      </c>
      <c r="B913" t="s">
        <v>17274</v>
      </c>
      <c r="C913" t="s">
        <v>74</v>
      </c>
      <c r="D913" t="s">
        <v>74</v>
      </c>
      <c r="E913" t="s">
        <v>74</v>
      </c>
      <c r="F913" t="s">
        <v>17275</v>
      </c>
      <c r="G913" t="s">
        <v>74</v>
      </c>
      <c r="H913" t="s">
        <v>74</v>
      </c>
      <c r="I913" t="s">
        <v>17276</v>
      </c>
      <c r="J913" t="s">
        <v>1278</v>
      </c>
      <c r="K913" t="s">
        <v>74</v>
      </c>
      <c r="L913" t="s">
        <v>74</v>
      </c>
      <c r="M913" t="s">
        <v>78</v>
      </c>
      <c r="N913" t="s">
        <v>79</v>
      </c>
      <c r="O913" t="s">
        <v>74</v>
      </c>
      <c r="P913" t="s">
        <v>74</v>
      </c>
      <c r="Q913" t="s">
        <v>74</v>
      </c>
      <c r="R913" t="s">
        <v>74</v>
      </c>
      <c r="S913" t="s">
        <v>74</v>
      </c>
      <c r="T913" t="s">
        <v>17277</v>
      </c>
      <c r="U913" t="s">
        <v>17278</v>
      </c>
      <c r="V913" t="s">
        <v>17279</v>
      </c>
      <c r="W913" t="s">
        <v>17280</v>
      </c>
      <c r="X913" t="s">
        <v>17281</v>
      </c>
      <c r="Y913" t="s">
        <v>17282</v>
      </c>
      <c r="Z913" t="s">
        <v>17283</v>
      </c>
      <c r="AA913" t="s">
        <v>74</v>
      </c>
      <c r="AB913" t="s">
        <v>17284</v>
      </c>
      <c r="AC913" t="s">
        <v>17285</v>
      </c>
      <c r="AD913" t="s">
        <v>17286</v>
      </c>
      <c r="AE913" t="s">
        <v>17287</v>
      </c>
      <c r="AF913" t="s">
        <v>74</v>
      </c>
      <c r="AG913">
        <v>40</v>
      </c>
      <c r="AH913">
        <v>24</v>
      </c>
      <c r="AI913">
        <v>24</v>
      </c>
      <c r="AJ913">
        <v>3</v>
      </c>
      <c r="AK913">
        <v>13</v>
      </c>
      <c r="AL913" t="s">
        <v>1291</v>
      </c>
      <c r="AM913" t="s">
        <v>629</v>
      </c>
      <c r="AN913" t="s">
        <v>1292</v>
      </c>
      <c r="AO913" t="s">
        <v>1293</v>
      </c>
      <c r="AP913" t="s">
        <v>1294</v>
      </c>
      <c r="AQ913" t="s">
        <v>74</v>
      </c>
      <c r="AR913" t="s">
        <v>1295</v>
      </c>
      <c r="AS913" t="s">
        <v>1296</v>
      </c>
      <c r="AT913" t="s">
        <v>17234</v>
      </c>
      <c r="AU913">
        <v>2020</v>
      </c>
      <c r="AV913">
        <v>47</v>
      </c>
      <c r="AW913">
        <v>23</v>
      </c>
      <c r="AX913" t="s">
        <v>74</v>
      </c>
      <c r="AY913" t="s">
        <v>74</v>
      </c>
      <c r="AZ913" t="s">
        <v>74</v>
      </c>
      <c r="BA913" t="s">
        <v>74</v>
      </c>
      <c r="BB913" t="s">
        <v>74</v>
      </c>
      <c r="BC913" t="s">
        <v>74</v>
      </c>
      <c r="BD913" t="s">
        <v>17288</v>
      </c>
      <c r="BE913" t="s">
        <v>17289</v>
      </c>
      <c r="BF913" t="str">
        <f>HYPERLINK("http://dx.doi.org/10.1029/2020GL089658","http://dx.doi.org/10.1029/2020GL089658")</f>
        <v>http://dx.doi.org/10.1029/2020GL089658</v>
      </c>
      <c r="BG913" t="s">
        <v>74</v>
      </c>
      <c r="BH913" t="s">
        <v>74</v>
      </c>
      <c r="BI913">
        <v>9</v>
      </c>
      <c r="BJ913" t="s">
        <v>401</v>
      </c>
      <c r="BK913" t="s">
        <v>103</v>
      </c>
      <c r="BL913" t="s">
        <v>402</v>
      </c>
      <c r="BM913" t="s">
        <v>17237</v>
      </c>
      <c r="BN913" t="s">
        <v>74</v>
      </c>
      <c r="BO913" t="s">
        <v>8164</v>
      </c>
      <c r="BP913" t="s">
        <v>74</v>
      </c>
      <c r="BQ913" t="s">
        <v>74</v>
      </c>
      <c r="BR913" t="s">
        <v>106</v>
      </c>
      <c r="BS913" t="s">
        <v>17290</v>
      </c>
      <c r="BT913" t="str">
        <f>HYPERLINK("https%3A%2F%2Fwww.webofscience.com%2Fwos%2Fwoscc%2Ffull-record%2FWOS:000598677000019","View Full Record in Web of Science")</f>
        <v>View Full Record in Web of Science</v>
      </c>
    </row>
    <row r="914" spans="1:72" x14ac:dyDescent="0.15">
      <c r="A914" t="s">
        <v>72</v>
      </c>
      <c r="B914" t="s">
        <v>17291</v>
      </c>
      <c r="C914" t="s">
        <v>74</v>
      </c>
      <c r="D914" t="s">
        <v>74</v>
      </c>
      <c r="E914" t="s">
        <v>74</v>
      </c>
      <c r="F914" t="s">
        <v>17292</v>
      </c>
      <c r="G914" t="s">
        <v>74</v>
      </c>
      <c r="H914" t="s">
        <v>74</v>
      </c>
      <c r="I914" t="s">
        <v>17293</v>
      </c>
      <c r="J914" t="s">
        <v>1278</v>
      </c>
      <c r="K914" t="s">
        <v>74</v>
      </c>
      <c r="L914" t="s">
        <v>74</v>
      </c>
      <c r="M914" t="s">
        <v>78</v>
      </c>
      <c r="N914" t="s">
        <v>79</v>
      </c>
      <c r="O914" t="s">
        <v>74</v>
      </c>
      <c r="P914" t="s">
        <v>74</v>
      </c>
      <c r="Q914" t="s">
        <v>74</v>
      </c>
      <c r="R914" t="s">
        <v>74</v>
      </c>
      <c r="S914" t="s">
        <v>74</v>
      </c>
      <c r="T914" t="s">
        <v>17294</v>
      </c>
      <c r="U914" t="s">
        <v>17295</v>
      </c>
      <c r="V914" t="s">
        <v>17296</v>
      </c>
      <c r="W914" t="s">
        <v>17297</v>
      </c>
      <c r="X914" t="s">
        <v>17298</v>
      </c>
      <c r="Y914" t="s">
        <v>17299</v>
      </c>
      <c r="Z914" t="s">
        <v>17300</v>
      </c>
      <c r="AA914" t="s">
        <v>17301</v>
      </c>
      <c r="AB914" t="s">
        <v>17302</v>
      </c>
      <c r="AC914" t="s">
        <v>17303</v>
      </c>
      <c r="AD914" t="s">
        <v>17304</v>
      </c>
      <c r="AE914" t="s">
        <v>17305</v>
      </c>
      <c r="AF914" t="s">
        <v>74</v>
      </c>
      <c r="AG914">
        <v>54</v>
      </c>
      <c r="AH914">
        <v>16</v>
      </c>
      <c r="AI914">
        <v>17</v>
      </c>
      <c r="AJ914">
        <v>0</v>
      </c>
      <c r="AK914">
        <v>10</v>
      </c>
      <c r="AL914" t="s">
        <v>1291</v>
      </c>
      <c r="AM914" t="s">
        <v>629</v>
      </c>
      <c r="AN914" t="s">
        <v>1292</v>
      </c>
      <c r="AO914" t="s">
        <v>1293</v>
      </c>
      <c r="AP914" t="s">
        <v>1294</v>
      </c>
      <c r="AQ914" t="s">
        <v>74</v>
      </c>
      <c r="AR914" t="s">
        <v>1295</v>
      </c>
      <c r="AS914" t="s">
        <v>1296</v>
      </c>
      <c r="AT914" t="s">
        <v>17234</v>
      </c>
      <c r="AU914">
        <v>2020</v>
      </c>
      <c r="AV914">
        <v>47</v>
      </c>
      <c r="AW914">
        <v>23</v>
      </c>
      <c r="AX914" t="s">
        <v>74</v>
      </c>
      <c r="AY914" t="s">
        <v>74</v>
      </c>
      <c r="AZ914" t="s">
        <v>74</v>
      </c>
      <c r="BA914" t="s">
        <v>74</v>
      </c>
      <c r="BB914" t="s">
        <v>74</v>
      </c>
      <c r="BC914" t="s">
        <v>74</v>
      </c>
      <c r="BD914" t="s">
        <v>17306</v>
      </c>
      <c r="BE914" t="s">
        <v>17307</v>
      </c>
      <c r="BF914" t="str">
        <f>HYPERLINK("http://dx.doi.org/10.1029/2020GL089467","http://dx.doi.org/10.1029/2020GL089467")</f>
        <v>http://dx.doi.org/10.1029/2020GL089467</v>
      </c>
      <c r="BG914" t="s">
        <v>74</v>
      </c>
      <c r="BH914" t="s">
        <v>74</v>
      </c>
      <c r="BI914">
        <v>9</v>
      </c>
      <c r="BJ914" t="s">
        <v>401</v>
      </c>
      <c r="BK914" t="s">
        <v>103</v>
      </c>
      <c r="BL914" t="s">
        <v>402</v>
      </c>
      <c r="BM914" t="s">
        <v>17237</v>
      </c>
      <c r="BN914" t="s">
        <v>74</v>
      </c>
      <c r="BO914" t="s">
        <v>759</v>
      </c>
      <c r="BP914" t="s">
        <v>74</v>
      </c>
      <c r="BQ914" t="s">
        <v>74</v>
      </c>
      <c r="BR914" t="s">
        <v>106</v>
      </c>
      <c r="BS914" t="s">
        <v>17308</v>
      </c>
      <c r="BT914" t="str">
        <f>HYPERLINK("https%3A%2F%2Fwww.webofscience.com%2Fwos%2Fwoscc%2Ffull-record%2FWOS:000598677000002","View Full Record in Web of Science")</f>
        <v>View Full Record in Web of Science</v>
      </c>
    </row>
    <row r="915" spans="1:72" x14ac:dyDescent="0.15">
      <c r="A915" t="s">
        <v>72</v>
      </c>
      <c r="B915" t="s">
        <v>17309</v>
      </c>
      <c r="C915" t="s">
        <v>74</v>
      </c>
      <c r="D915" t="s">
        <v>74</v>
      </c>
      <c r="E915" t="s">
        <v>74</v>
      </c>
      <c r="F915" t="s">
        <v>17310</v>
      </c>
      <c r="G915" t="s">
        <v>74</v>
      </c>
      <c r="H915" t="s">
        <v>74</v>
      </c>
      <c r="I915" t="s">
        <v>17311</v>
      </c>
      <c r="J915" t="s">
        <v>1278</v>
      </c>
      <c r="K915" t="s">
        <v>74</v>
      </c>
      <c r="L915" t="s">
        <v>74</v>
      </c>
      <c r="M915" t="s">
        <v>78</v>
      </c>
      <c r="N915" t="s">
        <v>79</v>
      </c>
      <c r="O915" t="s">
        <v>74</v>
      </c>
      <c r="P915" t="s">
        <v>74</v>
      </c>
      <c r="Q915" t="s">
        <v>74</v>
      </c>
      <c r="R915" t="s">
        <v>74</v>
      </c>
      <c r="S915" t="s">
        <v>74</v>
      </c>
      <c r="T915" t="s">
        <v>17312</v>
      </c>
      <c r="U915" t="s">
        <v>17313</v>
      </c>
      <c r="V915" t="s">
        <v>17314</v>
      </c>
      <c r="W915" t="s">
        <v>17315</v>
      </c>
      <c r="X915" t="s">
        <v>17316</v>
      </c>
      <c r="Y915" t="s">
        <v>17317</v>
      </c>
      <c r="Z915" t="s">
        <v>17318</v>
      </c>
      <c r="AA915" t="s">
        <v>17319</v>
      </c>
      <c r="AB915" t="s">
        <v>17320</v>
      </c>
      <c r="AC915" t="s">
        <v>17321</v>
      </c>
      <c r="AD915" t="s">
        <v>17322</v>
      </c>
      <c r="AE915" t="s">
        <v>17323</v>
      </c>
      <c r="AF915" t="s">
        <v>74</v>
      </c>
      <c r="AG915">
        <v>54</v>
      </c>
      <c r="AH915">
        <v>23</v>
      </c>
      <c r="AI915">
        <v>23</v>
      </c>
      <c r="AJ915">
        <v>0</v>
      </c>
      <c r="AK915">
        <v>5</v>
      </c>
      <c r="AL915" t="s">
        <v>1291</v>
      </c>
      <c r="AM915" t="s">
        <v>629</v>
      </c>
      <c r="AN915" t="s">
        <v>1292</v>
      </c>
      <c r="AO915" t="s">
        <v>1293</v>
      </c>
      <c r="AP915" t="s">
        <v>1294</v>
      </c>
      <c r="AQ915" t="s">
        <v>74</v>
      </c>
      <c r="AR915" t="s">
        <v>1295</v>
      </c>
      <c r="AS915" t="s">
        <v>1296</v>
      </c>
      <c r="AT915" t="s">
        <v>17234</v>
      </c>
      <c r="AU915">
        <v>2020</v>
      </c>
      <c r="AV915">
        <v>47</v>
      </c>
      <c r="AW915">
        <v>22</v>
      </c>
      <c r="AX915" t="s">
        <v>74</v>
      </c>
      <c r="AY915" t="s">
        <v>74</v>
      </c>
      <c r="AZ915" t="s">
        <v>74</v>
      </c>
      <c r="BA915" t="s">
        <v>74</v>
      </c>
      <c r="BB915" t="s">
        <v>74</v>
      </c>
      <c r="BC915" t="s">
        <v>74</v>
      </c>
      <c r="BD915" t="s">
        <v>17324</v>
      </c>
      <c r="BE915" t="s">
        <v>17325</v>
      </c>
      <c r="BF915" t="str">
        <f>HYPERLINK("http://dx.doi.org/10.1029/2020GL089237","http://dx.doi.org/10.1029/2020GL089237")</f>
        <v>http://dx.doi.org/10.1029/2020GL089237</v>
      </c>
      <c r="BG915" t="s">
        <v>74</v>
      </c>
      <c r="BH915" t="s">
        <v>74</v>
      </c>
      <c r="BI915">
        <v>11</v>
      </c>
      <c r="BJ915" t="s">
        <v>401</v>
      </c>
      <c r="BK915" t="s">
        <v>103</v>
      </c>
      <c r="BL915" t="s">
        <v>402</v>
      </c>
      <c r="BM915" t="s">
        <v>17326</v>
      </c>
      <c r="BN915" t="s">
        <v>74</v>
      </c>
      <c r="BO915" t="s">
        <v>11922</v>
      </c>
      <c r="BP915" t="s">
        <v>74</v>
      </c>
      <c r="BQ915" t="s">
        <v>74</v>
      </c>
      <c r="BR915" t="s">
        <v>106</v>
      </c>
      <c r="BS915" t="s">
        <v>17327</v>
      </c>
      <c r="BT915" t="str">
        <f>HYPERLINK("https%3A%2F%2Fwww.webofscience.com%2Fwos%2Fwoscc%2Ffull-record%2FWOS:000595819700076","View Full Record in Web of Science")</f>
        <v>View Full Record in Web of Science</v>
      </c>
    </row>
    <row r="916" spans="1:72" x14ac:dyDescent="0.15">
      <c r="A916" t="s">
        <v>72</v>
      </c>
      <c r="B916" t="s">
        <v>17328</v>
      </c>
      <c r="C916" t="s">
        <v>74</v>
      </c>
      <c r="D916" t="s">
        <v>74</v>
      </c>
      <c r="E916" t="s">
        <v>74</v>
      </c>
      <c r="F916" t="s">
        <v>17329</v>
      </c>
      <c r="G916" t="s">
        <v>74</v>
      </c>
      <c r="H916" t="s">
        <v>74</v>
      </c>
      <c r="I916" t="s">
        <v>17330</v>
      </c>
      <c r="J916" t="s">
        <v>1278</v>
      </c>
      <c r="K916" t="s">
        <v>74</v>
      </c>
      <c r="L916" t="s">
        <v>74</v>
      </c>
      <c r="M916" t="s">
        <v>78</v>
      </c>
      <c r="N916" t="s">
        <v>79</v>
      </c>
      <c r="O916" t="s">
        <v>74</v>
      </c>
      <c r="P916" t="s">
        <v>74</v>
      </c>
      <c r="Q916" t="s">
        <v>74</v>
      </c>
      <c r="R916" t="s">
        <v>74</v>
      </c>
      <c r="S916" t="s">
        <v>74</v>
      </c>
      <c r="T916" t="s">
        <v>17331</v>
      </c>
      <c r="U916" t="s">
        <v>17332</v>
      </c>
      <c r="V916" t="s">
        <v>17333</v>
      </c>
      <c r="W916" t="s">
        <v>17334</v>
      </c>
      <c r="X916" t="s">
        <v>17335</v>
      </c>
      <c r="Y916" t="s">
        <v>17336</v>
      </c>
      <c r="Z916" t="s">
        <v>17337</v>
      </c>
      <c r="AA916" t="s">
        <v>17338</v>
      </c>
      <c r="AB916" t="s">
        <v>17339</v>
      </c>
      <c r="AC916" t="s">
        <v>17340</v>
      </c>
      <c r="AD916" t="s">
        <v>17341</v>
      </c>
      <c r="AE916" t="s">
        <v>17342</v>
      </c>
      <c r="AF916" t="s">
        <v>74</v>
      </c>
      <c r="AG916">
        <v>99</v>
      </c>
      <c r="AH916">
        <v>30</v>
      </c>
      <c r="AI916">
        <v>30</v>
      </c>
      <c r="AJ916">
        <v>0</v>
      </c>
      <c r="AK916">
        <v>10</v>
      </c>
      <c r="AL916" t="s">
        <v>1291</v>
      </c>
      <c r="AM916" t="s">
        <v>629</v>
      </c>
      <c r="AN916" t="s">
        <v>1292</v>
      </c>
      <c r="AO916" t="s">
        <v>1293</v>
      </c>
      <c r="AP916" t="s">
        <v>1294</v>
      </c>
      <c r="AQ916" t="s">
        <v>74</v>
      </c>
      <c r="AR916" t="s">
        <v>1295</v>
      </c>
      <c r="AS916" t="s">
        <v>1296</v>
      </c>
      <c r="AT916" t="s">
        <v>17234</v>
      </c>
      <c r="AU916">
        <v>2020</v>
      </c>
      <c r="AV916">
        <v>47</v>
      </c>
      <c r="AW916">
        <v>22</v>
      </c>
      <c r="AX916" t="s">
        <v>74</v>
      </c>
      <c r="AY916" t="s">
        <v>74</v>
      </c>
      <c r="AZ916" t="s">
        <v>74</v>
      </c>
      <c r="BA916" t="s">
        <v>74</v>
      </c>
      <c r="BB916" t="s">
        <v>74</v>
      </c>
      <c r="BC916" t="s">
        <v>74</v>
      </c>
      <c r="BD916" t="s">
        <v>17343</v>
      </c>
      <c r="BE916" t="s">
        <v>17344</v>
      </c>
      <c r="BF916" t="str">
        <f>HYPERLINK("http://dx.doi.org/10.1029/2020GL089557","http://dx.doi.org/10.1029/2020GL089557")</f>
        <v>http://dx.doi.org/10.1029/2020GL089557</v>
      </c>
      <c r="BG916" t="s">
        <v>74</v>
      </c>
      <c r="BH916" t="s">
        <v>74</v>
      </c>
      <c r="BI916">
        <v>14</v>
      </c>
      <c r="BJ916" t="s">
        <v>401</v>
      </c>
      <c r="BK916" t="s">
        <v>103</v>
      </c>
      <c r="BL916" t="s">
        <v>402</v>
      </c>
      <c r="BM916" t="s">
        <v>17326</v>
      </c>
      <c r="BN916" t="s">
        <v>74</v>
      </c>
      <c r="BO916" t="s">
        <v>8164</v>
      </c>
      <c r="BP916" t="s">
        <v>74</v>
      </c>
      <c r="BQ916" t="s">
        <v>74</v>
      </c>
      <c r="BR916" t="s">
        <v>106</v>
      </c>
      <c r="BS916" t="s">
        <v>17345</v>
      </c>
      <c r="BT916" t="str">
        <f>HYPERLINK("https%3A%2F%2Fwww.webofscience.com%2Fwos%2Fwoscc%2Ffull-record%2FWOS:000595819700077","View Full Record in Web of Science")</f>
        <v>View Full Record in Web of Science</v>
      </c>
    </row>
    <row r="917" spans="1:72" x14ac:dyDescent="0.15">
      <c r="A917" t="s">
        <v>72</v>
      </c>
      <c r="B917" t="s">
        <v>17346</v>
      </c>
      <c r="C917" t="s">
        <v>74</v>
      </c>
      <c r="D917" t="s">
        <v>74</v>
      </c>
      <c r="E917" t="s">
        <v>74</v>
      </c>
      <c r="F917" t="s">
        <v>17347</v>
      </c>
      <c r="G917" t="s">
        <v>74</v>
      </c>
      <c r="H917" t="s">
        <v>74</v>
      </c>
      <c r="I917" t="s">
        <v>17348</v>
      </c>
      <c r="J917" t="s">
        <v>1278</v>
      </c>
      <c r="K917" t="s">
        <v>74</v>
      </c>
      <c r="L917" t="s">
        <v>74</v>
      </c>
      <c r="M917" t="s">
        <v>78</v>
      </c>
      <c r="N917" t="s">
        <v>79</v>
      </c>
      <c r="O917" t="s">
        <v>74</v>
      </c>
      <c r="P917" t="s">
        <v>74</v>
      </c>
      <c r="Q917" t="s">
        <v>74</v>
      </c>
      <c r="R917" t="s">
        <v>74</v>
      </c>
      <c r="S917" t="s">
        <v>74</v>
      </c>
      <c r="T917" t="s">
        <v>17349</v>
      </c>
      <c r="U917" t="s">
        <v>17350</v>
      </c>
      <c r="V917" t="s">
        <v>17351</v>
      </c>
      <c r="W917" t="s">
        <v>17352</v>
      </c>
      <c r="X917" t="s">
        <v>17353</v>
      </c>
      <c r="Y917" t="s">
        <v>17354</v>
      </c>
      <c r="Z917" t="s">
        <v>17355</v>
      </c>
      <c r="AA917" t="s">
        <v>17356</v>
      </c>
      <c r="AB917" t="s">
        <v>17357</v>
      </c>
      <c r="AC917" t="s">
        <v>17358</v>
      </c>
      <c r="AD917" t="s">
        <v>17359</v>
      </c>
      <c r="AE917" t="s">
        <v>17360</v>
      </c>
      <c r="AF917" t="s">
        <v>74</v>
      </c>
      <c r="AG917">
        <v>39</v>
      </c>
      <c r="AH917">
        <v>8</v>
      </c>
      <c r="AI917">
        <v>8</v>
      </c>
      <c r="AJ917">
        <v>1</v>
      </c>
      <c r="AK917">
        <v>24</v>
      </c>
      <c r="AL917" t="s">
        <v>1291</v>
      </c>
      <c r="AM917" t="s">
        <v>629</v>
      </c>
      <c r="AN917" t="s">
        <v>1292</v>
      </c>
      <c r="AO917" t="s">
        <v>1293</v>
      </c>
      <c r="AP917" t="s">
        <v>1294</v>
      </c>
      <c r="AQ917" t="s">
        <v>74</v>
      </c>
      <c r="AR917" t="s">
        <v>1295</v>
      </c>
      <c r="AS917" t="s">
        <v>1296</v>
      </c>
      <c r="AT917" t="s">
        <v>17234</v>
      </c>
      <c r="AU917">
        <v>2020</v>
      </c>
      <c r="AV917">
        <v>47</v>
      </c>
      <c r="AW917">
        <v>22</v>
      </c>
      <c r="AX917" t="s">
        <v>74</v>
      </c>
      <c r="AY917" t="s">
        <v>74</v>
      </c>
      <c r="AZ917" t="s">
        <v>74</v>
      </c>
      <c r="BA917" t="s">
        <v>74</v>
      </c>
      <c r="BB917" t="s">
        <v>74</v>
      </c>
      <c r="BC917" t="s">
        <v>74</v>
      </c>
      <c r="BD917" t="s">
        <v>17361</v>
      </c>
      <c r="BE917" t="s">
        <v>17362</v>
      </c>
      <c r="BF917" t="str">
        <f>HYPERLINK("http://dx.doi.org/10.1029/2020GL090590","http://dx.doi.org/10.1029/2020GL090590")</f>
        <v>http://dx.doi.org/10.1029/2020GL090590</v>
      </c>
      <c r="BG917" t="s">
        <v>74</v>
      </c>
      <c r="BH917" t="s">
        <v>74</v>
      </c>
      <c r="BI917">
        <v>10</v>
      </c>
      <c r="BJ917" t="s">
        <v>401</v>
      </c>
      <c r="BK917" t="s">
        <v>103</v>
      </c>
      <c r="BL917" t="s">
        <v>402</v>
      </c>
      <c r="BM917" t="s">
        <v>17326</v>
      </c>
      <c r="BN917" t="s">
        <v>74</v>
      </c>
      <c r="BO917" t="s">
        <v>218</v>
      </c>
      <c r="BP917" t="s">
        <v>74</v>
      </c>
      <c r="BQ917" t="s">
        <v>74</v>
      </c>
      <c r="BR917" t="s">
        <v>106</v>
      </c>
      <c r="BS917" t="s">
        <v>17363</v>
      </c>
      <c r="BT917" t="str">
        <f>HYPERLINK("https%3A%2F%2Fwww.webofscience.com%2Fwos%2Fwoscc%2Ffull-record%2FWOS:000595819700089","View Full Record in Web of Science")</f>
        <v>View Full Record in Web of Science</v>
      </c>
    </row>
    <row r="918" spans="1:72" x14ac:dyDescent="0.15">
      <c r="A918" t="s">
        <v>72</v>
      </c>
      <c r="B918" t="s">
        <v>17364</v>
      </c>
      <c r="C918" t="s">
        <v>74</v>
      </c>
      <c r="D918" t="s">
        <v>74</v>
      </c>
      <c r="E918" t="s">
        <v>74</v>
      </c>
      <c r="F918" t="s">
        <v>17365</v>
      </c>
      <c r="G918" t="s">
        <v>74</v>
      </c>
      <c r="H918" t="s">
        <v>74</v>
      </c>
      <c r="I918" t="s">
        <v>17366</v>
      </c>
      <c r="J918" t="s">
        <v>1278</v>
      </c>
      <c r="K918" t="s">
        <v>74</v>
      </c>
      <c r="L918" t="s">
        <v>74</v>
      </c>
      <c r="M918" t="s">
        <v>78</v>
      </c>
      <c r="N918" t="s">
        <v>79</v>
      </c>
      <c r="O918" t="s">
        <v>74</v>
      </c>
      <c r="P918" t="s">
        <v>74</v>
      </c>
      <c r="Q918" t="s">
        <v>74</v>
      </c>
      <c r="R918" t="s">
        <v>74</v>
      </c>
      <c r="S918" t="s">
        <v>74</v>
      </c>
      <c r="T918" t="s">
        <v>17367</v>
      </c>
      <c r="U918" t="s">
        <v>17368</v>
      </c>
      <c r="V918" t="s">
        <v>17369</v>
      </c>
      <c r="W918" t="s">
        <v>17370</v>
      </c>
      <c r="X918" t="s">
        <v>17371</v>
      </c>
      <c r="Y918" t="s">
        <v>17372</v>
      </c>
      <c r="Z918" t="s">
        <v>17373</v>
      </c>
      <c r="AA918" t="s">
        <v>17374</v>
      </c>
      <c r="AB918" t="s">
        <v>17375</v>
      </c>
      <c r="AC918" t="s">
        <v>17376</v>
      </c>
      <c r="AD918" t="s">
        <v>17377</v>
      </c>
      <c r="AE918" t="s">
        <v>17378</v>
      </c>
      <c r="AF918" t="s">
        <v>74</v>
      </c>
      <c r="AG918">
        <v>92</v>
      </c>
      <c r="AH918">
        <v>0</v>
      </c>
      <c r="AI918">
        <v>0</v>
      </c>
      <c r="AJ918">
        <v>2</v>
      </c>
      <c r="AK918">
        <v>20</v>
      </c>
      <c r="AL918" t="s">
        <v>1291</v>
      </c>
      <c r="AM918" t="s">
        <v>629</v>
      </c>
      <c r="AN918" t="s">
        <v>1292</v>
      </c>
      <c r="AO918" t="s">
        <v>1293</v>
      </c>
      <c r="AP918" t="s">
        <v>1294</v>
      </c>
      <c r="AQ918" t="s">
        <v>74</v>
      </c>
      <c r="AR918" t="s">
        <v>1295</v>
      </c>
      <c r="AS918" t="s">
        <v>1296</v>
      </c>
      <c r="AT918" t="s">
        <v>17234</v>
      </c>
      <c r="AU918">
        <v>2020</v>
      </c>
      <c r="AV918">
        <v>47</v>
      </c>
      <c r="AW918">
        <v>22</v>
      </c>
      <c r="AX918" t="s">
        <v>74</v>
      </c>
      <c r="AY918" t="s">
        <v>74</v>
      </c>
      <c r="AZ918" t="s">
        <v>74</v>
      </c>
      <c r="BA918" t="s">
        <v>74</v>
      </c>
      <c r="BB918" t="s">
        <v>74</v>
      </c>
      <c r="BC918" t="s">
        <v>74</v>
      </c>
      <c r="BD918" t="s">
        <v>17379</v>
      </c>
      <c r="BE918" t="s">
        <v>17380</v>
      </c>
      <c r="BF918" t="str">
        <f>HYPERLINK("http://dx.doi.org/10.1029/2020GL089110","http://dx.doi.org/10.1029/2020GL089110")</f>
        <v>http://dx.doi.org/10.1029/2020GL089110</v>
      </c>
      <c r="BG918" t="s">
        <v>74</v>
      </c>
      <c r="BH918" t="s">
        <v>74</v>
      </c>
      <c r="BI918">
        <v>13</v>
      </c>
      <c r="BJ918" t="s">
        <v>401</v>
      </c>
      <c r="BK918" t="s">
        <v>103</v>
      </c>
      <c r="BL918" t="s">
        <v>402</v>
      </c>
      <c r="BM918" t="s">
        <v>17326</v>
      </c>
      <c r="BN918" t="s">
        <v>74</v>
      </c>
      <c r="BO918" t="s">
        <v>561</v>
      </c>
      <c r="BP918" t="s">
        <v>74</v>
      </c>
      <c r="BQ918" t="s">
        <v>74</v>
      </c>
      <c r="BR918" t="s">
        <v>106</v>
      </c>
      <c r="BS918" t="s">
        <v>17381</v>
      </c>
      <c r="BT918" t="str">
        <f>HYPERLINK("https%3A%2F%2Fwww.webofscience.com%2Fwos%2Fwoscc%2Ffull-record%2FWOS:000595819700020","View Full Record in Web of Science")</f>
        <v>View Full Record in Web of Science</v>
      </c>
    </row>
    <row r="919" spans="1:72" x14ac:dyDescent="0.15">
      <c r="A919" t="s">
        <v>72</v>
      </c>
      <c r="B919" t="s">
        <v>17382</v>
      </c>
      <c r="C919" t="s">
        <v>74</v>
      </c>
      <c r="D919" t="s">
        <v>74</v>
      </c>
      <c r="E919" t="s">
        <v>74</v>
      </c>
      <c r="F919" t="s">
        <v>17383</v>
      </c>
      <c r="G919" t="s">
        <v>74</v>
      </c>
      <c r="H919" t="s">
        <v>74</v>
      </c>
      <c r="I919" t="s">
        <v>17384</v>
      </c>
      <c r="J919" t="s">
        <v>1278</v>
      </c>
      <c r="K919" t="s">
        <v>74</v>
      </c>
      <c r="L919" t="s">
        <v>74</v>
      </c>
      <c r="M919" t="s">
        <v>78</v>
      </c>
      <c r="N919" t="s">
        <v>79</v>
      </c>
      <c r="O919" t="s">
        <v>74</v>
      </c>
      <c r="P919" t="s">
        <v>74</v>
      </c>
      <c r="Q919" t="s">
        <v>74</v>
      </c>
      <c r="R919" t="s">
        <v>74</v>
      </c>
      <c r="S919" t="s">
        <v>74</v>
      </c>
      <c r="T919" t="s">
        <v>17385</v>
      </c>
      <c r="U919" t="s">
        <v>17386</v>
      </c>
      <c r="V919" t="s">
        <v>17387</v>
      </c>
      <c r="W919" t="s">
        <v>17388</v>
      </c>
      <c r="X919" t="s">
        <v>17389</v>
      </c>
      <c r="Y919" t="s">
        <v>17390</v>
      </c>
      <c r="Z919" t="s">
        <v>17391</v>
      </c>
      <c r="AA919" t="s">
        <v>17392</v>
      </c>
      <c r="AB919" t="s">
        <v>17393</v>
      </c>
      <c r="AC919" t="s">
        <v>17394</v>
      </c>
      <c r="AD919" t="s">
        <v>17395</v>
      </c>
      <c r="AE919" t="s">
        <v>17396</v>
      </c>
      <c r="AF919" t="s">
        <v>74</v>
      </c>
      <c r="AG919">
        <v>49</v>
      </c>
      <c r="AH919">
        <v>18</v>
      </c>
      <c r="AI919">
        <v>22</v>
      </c>
      <c r="AJ919">
        <v>2</v>
      </c>
      <c r="AK919">
        <v>7</v>
      </c>
      <c r="AL919" t="s">
        <v>1291</v>
      </c>
      <c r="AM919" t="s">
        <v>629</v>
      </c>
      <c r="AN919" t="s">
        <v>1292</v>
      </c>
      <c r="AO919" t="s">
        <v>1293</v>
      </c>
      <c r="AP919" t="s">
        <v>1294</v>
      </c>
      <c r="AQ919" t="s">
        <v>74</v>
      </c>
      <c r="AR919" t="s">
        <v>1295</v>
      </c>
      <c r="AS919" t="s">
        <v>1296</v>
      </c>
      <c r="AT919" t="s">
        <v>17234</v>
      </c>
      <c r="AU919">
        <v>2020</v>
      </c>
      <c r="AV919">
        <v>47</v>
      </c>
      <c r="AW919">
        <v>22</v>
      </c>
      <c r="AX919" t="s">
        <v>74</v>
      </c>
      <c r="AY919" t="s">
        <v>74</v>
      </c>
      <c r="AZ919" t="s">
        <v>74</v>
      </c>
      <c r="BA919" t="s">
        <v>74</v>
      </c>
      <c r="BB919" t="s">
        <v>74</v>
      </c>
      <c r="BC919" t="s">
        <v>74</v>
      </c>
      <c r="BD919" t="s">
        <v>17397</v>
      </c>
      <c r="BE919" t="s">
        <v>17398</v>
      </c>
      <c r="BF919" t="str">
        <f>HYPERLINK("http://dx.doi.org/10.1029/2020GL089552","http://dx.doi.org/10.1029/2020GL089552")</f>
        <v>http://dx.doi.org/10.1029/2020GL089552</v>
      </c>
      <c r="BG919" t="s">
        <v>74</v>
      </c>
      <c r="BH919" t="s">
        <v>74</v>
      </c>
      <c r="BI919">
        <v>10</v>
      </c>
      <c r="BJ919" t="s">
        <v>401</v>
      </c>
      <c r="BK919" t="s">
        <v>103</v>
      </c>
      <c r="BL919" t="s">
        <v>402</v>
      </c>
      <c r="BM919" t="s">
        <v>17326</v>
      </c>
      <c r="BN919" t="s">
        <v>74</v>
      </c>
      <c r="BO919" t="s">
        <v>561</v>
      </c>
      <c r="BP919" t="s">
        <v>74</v>
      </c>
      <c r="BQ919" t="s">
        <v>74</v>
      </c>
      <c r="BR919" t="s">
        <v>106</v>
      </c>
      <c r="BS919" t="s">
        <v>17399</v>
      </c>
      <c r="BT919" t="str">
        <f>HYPERLINK("https%3A%2F%2Fwww.webofscience.com%2Fwos%2Fwoscc%2Ffull-record%2FWOS:000595819700092","View Full Record in Web of Science")</f>
        <v>View Full Record in Web of Science</v>
      </c>
    </row>
    <row r="920" spans="1:72" x14ac:dyDescent="0.15">
      <c r="A920" t="s">
        <v>72</v>
      </c>
      <c r="B920" t="s">
        <v>17400</v>
      </c>
      <c r="C920" t="s">
        <v>74</v>
      </c>
      <c r="D920" t="s">
        <v>74</v>
      </c>
      <c r="E920" t="s">
        <v>74</v>
      </c>
      <c r="F920" t="s">
        <v>17401</v>
      </c>
      <c r="G920" t="s">
        <v>74</v>
      </c>
      <c r="H920" t="s">
        <v>74</v>
      </c>
      <c r="I920" t="s">
        <v>17402</v>
      </c>
      <c r="J920" t="s">
        <v>17403</v>
      </c>
      <c r="K920" t="s">
        <v>74</v>
      </c>
      <c r="L920" t="s">
        <v>74</v>
      </c>
      <c r="M920" t="s">
        <v>78</v>
      </c>
      <c r="N920" t="s">
        <v>79</v>
      </c>
      <c r="O920" t="s">
        <v>74</v>
      </c>
      <c r="P920" t="s">
        <v>74</v>
      </c>
      <c r="Q920" t="s">
        <v>74</v>
      </c>
      <c r="R920" t="s">
        <v>74</v>
      </c>
      <c r="S920" t="s">
        <v>74</v>
      </c>
      <c r="T920" t="s">
        <v>17404</v>
      </c>
      <c r="U920" t="s">
        <v>17405</v>
      </c>
      <c r="V920" t="s">
        <v>17406</v>
      </c>
      <c r="W920" t="s">
        <v>17407</v>
      </c>
      <c r="X920" t="s">
        <v>17408</v>
      </c>
      <c r="Y920" t="s">
        <v>17409</v>
      </c>
      <c r="Z920" t="s">
        <v>17410</v>
      </c>
      <c r="AA920" t="s">
        <v>17411</v>
      </c>
      <c r="AB920" t="s">
        <v>17412</v>
      </c>
      <c r="AC920" t="s">
        <v>17413</v>
      </c>
      <c r="AD920" t="s">
        <v>17414</v>
      </c>
      <c r="AE920" t="s">
        <v>17415</v>
      </c>
      <c r="AF920" t="s">
        <v>74</v>
      </c>
      <c r="AG920">
        <v>89</v>
      </c>
      <c r="AH920">
        <v>13</v>
      </c>
      <c r="AI920">
        <v>13</v>
      </c>
      <c r="AJ920">
        <v>0</v>
      </c>
      <c r="AK920">
        <v>9</v>
      </c>
      <c r="AL920" t="s">
        <v>552</v>
      </c>
      <c r="AM920" t="s">
        <v>553</v>
      </c>
      <c r="AN920" t="s">
        <v>554</v>
      </c>
      <c r="AO920" t="s">
        <v>17416</v>
      </c>
      <c r="AP920" t="s">
        <v>17417</v>
      </c>
      <c r="AQ920" t="s">
        <v>74</v>
      </c>
      <c r="AR920" t="s">
        <v>17418</v>
      </c>
      <c r="AS920" t="s">
        <v>17419</v>
      </c>
      <c r="AT920" t="s">
        <v>707</v>
      </c>
      <c r="AU920">
        <v>2021</v>
      </c>
      <c r="AV920">
        <v>34</v>
      </c>
      <c r="AW920">
        <v>6</v>
      </c>
      <c r="AX920" t="s">
        <v>74</v>
      </c>
      <c r="AY920" t="s">
        <v>74</v>
      </c>
      <c r="AZ920" t="s">
        <v>74</v>
      </c>
      <c r="BA920" t="s">
        <v>74</v>
      </c>
      <c r="BB920">
        <v>977</v>
      </c>
      <c r="BC920">
        <v>988</v>
      </c>
      <c r="BD920" t="s">
        <v>74</v>
      </c>
      <c r="BE920" t="s">
        <v>17420</v>
      </c>
      <c r="BF920" t="str">
        <f>HYPERLINK("http://dx.doi.org/10.1111/jeb.13727","http://dx.doi.org/10.1111/jeb.13727")</f>
        <v>http://dx.doi.org/10.1111/jeb.13727</v>
      </c>
      <c r="BG920" t="s">
        <v>74</v>
      </c>
      <c r="BH920" t="s">
        <v>17215</v>
      </c>
      <c r="BI920">
        <v>12</v>
      </c>
      <c r="BJ920" t="s">
        <v>9563</v>
      </c>
      <c r="BK920" t="s">
        <v>103</v>
      </c>
      <c r="BL920" t="s">
        <v>9564</v>
      </c>
      <c r="BM920" t="s">
        <v>17421</v>
      </c>
      <c r="BN920">
        <v>33124163</v>
      </c>
      <c r="BO920" t="s">
        <v>74</v>
      </c>
      <c r="BP920" t="s">
        <v>74</v>
      </c>
      <c r="BQ920" t="s">
        <v>74</v>
      </c>
      <c r="BR920" t="s">
        <v>106</v>
      </c>
      <c r="BS920" t="s">
        <v>17422</v>
      </c>
      <c r="BT920" t="str">
        <f>HYPERLINK("https%3A%2F%2Fwww.webofscience.com%2Fwos%2Fwoscc%2Ffull-record%2FWOS:000593091100001","View Full Record in Web of Science")</f>
        <v>View Full Record in Web of Science</v>
      </c>
    </row>
    <row r="921" spans="1:72" x14ac:dyDescent="0.15">
      <c r="A921" t="s">
        <v>72</v>
      </c>
      <c r="B921" t="s">
        <v>17423</v>
      </c>
      <c r="C921" t="s">
        <v>74</v>
      </c>
      <c r="D921" t="s">
        <v>74</v>
      </c>
      <c r="E921" t="s">
        <v>74</v>
      </c>
      <c r="F921" t="s">
        <v>17424</v>
      </c>
      <c r="G921" t="s">
        <v>74</v>
      </c>
      <c r="H921" t="s">
        <v>74</v>
      </c>
      <c r="I921" t="s">
        <v>17425</v>
      </c>
      <c r="J921" t="s">
        <v>17426</v>
      </c>
      <c r="K921" t="s">
        <v>74</v>
      </c>
      <c r="L921" t="s">
        <v>74</v>
      </c>
      <c r="M921" t="s">
        <v>78</v>
      </c>
      <c r="N921" t="s">
        <v>79</v>
      </c>
      <c r="O921" t="s">
        <v>74</v>
      </c>
      <c r="P921" t="s">
        <v>74</v>
      </c>
      <c r="Q921" t="s">
        <v>74</v>
      </c>
      <c r="R921" t="s">
        <v>74</v>
      </c>
      <c r="S921" t="s">
        <v>74</v>
      </c>
      <c r="T921" t="s">
        <v>17427</v>
      </c>
      <c r="U921" t="s">
        <v>17428</v>
      </c>
      <c r="V921" t="s">
        <v>17429</v>
      </c>
      <c r="W921" t="s">
        <v>17430</v>
      </c>
      <c r="X921" t="s">
        <v>17431</v>
      </c>
      <c r="Y921" t="s">
        <v>17432</v>
      </c>
      <c r="Z921" t="s">
        <v>17433</v>
      </c>
      <c r="AA921" t="s">
        <v>74</v>
      </c>
      <c r="AB921" t="s">
        <v>17434</v>
      </c>
      <c r="AC921" t="s">
        <v>17435</v>
      </c>
      <c r="AD921" t="s">
        <v>17436</v>
      </c>
      <c r="AE921" t="s">
        <v>17437</v>
      </c>
      <c r="AF921" t="s">
        <v>74</v>
      </c>
      <c r="AG921">
        <v>93</v>
      </c>
      <c r="AH921">
        <v>13</v>
      </c>
      <c r="AI921">
        <v>14</v>
      </c>
      <c r="AJ921">
        <v>0</v>
      </c>
      <c r="AK921">
        <v>8</v>
      </c>
      <c r="AL921" t="s">
        <v>552</v>
      </c>
      <c r="AM921" t="s">
        <v>553</v>
      </c>
      <c r="AN921" t="s">
        <v>554</v>
      </c>
      <c r="AO921" t="s">
        <v>17438</v>
      </c>
      <c r="AP921" t="s">
        <v>17439</v>
      </c>
      <c r="AQ921" t="s">
        <v>74</v>
      </c>
      <c r="AR921" t="s">
        <v>17440</v>
      </c>
      <c r="AS921" t="s">
        <v>17441</v>
      </c>
      <c r="AT921" t="s">
        <v>12678</v>
      </c>
      <c r="AU921">
        <v>2020</v>
      </c>
      <c r="AV921">
        <v>107</v>
      </c>
      <c r="AW921">
        <v>12</v>
      </c>
      <c r="AX921" t="s">
        <v>74</v>
      </c>
      <c r="AY921" t="s">
        <v>74</v>
      </c>
      <c r="AZ921" t="s">
        <v>74</v>
      </c>
      <c r="BA921" t="s">
        <v>74</v>
      </c>
      <c r="BB921">
        <v>1749</v>
      </c>
      <c r="BC921">
        <v>1762</v>
      </c>
      <c r="BD921" t="s">
        <v>74</v>
      </c>
      <c r="BE921" t="s">
        <v>17442</v>
      </c>
      <c r="BF921" t="str">
        <f>HYPERLINK("http://dx.doi.org/10.1002/ajb2.1565","http://dx.doi.org/10.1002/ajb2.1565")</f>
        <v>http://dx.doi.org/10.1002/ajb2.1565</v>
      </c>
      <c r="BG921" t="s">
        <v>74</v>
      </c>
      <c r="BH921" t="s">
        <v>17215</v>
      </c>
      <c r="BI921">
        <v>14</v>
      </c>
      <c r="BJ921" t="s">
        <v>7174</v>
      </c>
      <c r="BK921" t="s">
        <v>103</v>
      </c>
      <c r="BL921" t="s">
        <v>7174</v>
      </c>
      <c r="BM921" t="s">
        <v>17443</v>
      </c>
      <c r="BN921">
        <v>33247843</v>
      </c>
      <c r="BO921" t="s">
        <v>3283</v>
      </c>
      <c r="BP921" t="s">
        <v>74</v>
      </c>
      <c r="BQ921" t="s">
        <v>74</v>
      </c>
      <c r="BR921" t="s">
        <v>106</v>
      </c>
      <c r="BS921" t="s">
        <v>17444</v>
      </c>
      <c r="BT921" t="str">
        <f>HYPERLINK("https%3A%2F%2Fwww.webofscience.com%2Fwos%2Fwoscc%2Ffull-record%2FWOS:000593107400001","View Full Record in Web of Science")</f>
        <v>View Full Record in Web of Science</v>
      </c>
    </row>
    <row r="922" spans="1:72" x14ac:dyDescent="0.15">
      <c r="A922" t="s">
        <v>72</v>
      </c>
      <c r="B922" t="s">
        <v>17445</v>
      </c>
      <c r="C922" t="s">
        <v>74</v>
      </c>
      <c r="D922" t="s">
        <v>74</v>
      </c>
      <c r="E922" t="s">
        <v>74</v>
      </c>
      <c r="F922" t="s">
        <v>17446</v>
      </c>
      <c r="G922" t="s">
        <v>74</v>
      </c>
      <c r="H922" t="s">
        <v>74</v>
      </c>
      <c r="I922" t="s">
        <v>17447</v>
      </c>
      <c r="J922" t="s">
        <v>12856</v>
      </c>
      <c r="K922" t="s">
        <v>74</v>
      </c>
      <c r="L922" t="s">
        <v>74</v>
      </c>
      <c r="M922" t="s">
        <v>78</v>
      </c>
      <c r="N922" t="s">
        <v>79</v>
      </c>
      <c r="O922" t="s">
        <v>74</v>
      </c>
      <c r="P922" t="s">
        <v>74</v>
      </c>
      <c r="Q922" t="s">
        <v>74</v>
      </c>
      <c r="R922" t="s">
        <v>74</v>
      </c>
      <c r="S922" t="s">
        <v>74</v>
      </c>
      <c r="T922" t="s">
        <v>17448</v>
      </c>
      <c r="U922" t="s">
        <v>17449</v>
      </c>
      <c r="V922" t="s">
        <v>17450</v>
      </c>
      <c r="W922" t="s">
        <v>17451</v>
      </c>
      <c r="X922" t="s">
        <v>4500</v>
      </c>
      <c r="Y922" t="s">
        <v>17452</v>
      </c>
      <c r="Z922" t="s">
        <v>17453</v>
      </c>
      <c r="AA922" t="s">
        <v>17454</v>
      </c>
      <c r="AB922" t="s">
        <v>17455</v>
      </c>
      <c r="AC922" t="s">
        <v>17456</v>
      </c>
      <c r="AD922" t="s">
        <v>17457</v>
      </c>
      <c r="AE922" t="s">
        <v>17458</v>
      </c>
      <c r="AF922" t="s">
        <v>74</v>
      </c>
      <c r="AG922">
        <v>171</v>
      </c>
      <c r="AH922">
        <v>7</v>
      </c>
      <c r="AI922">
        <v>7</v>
      </c>
      <c r="AJ922">
        <v>0</v>
      </c>
      <c r="AK922">
        <v>6</v>
      </c>
      <c r="AL922" t="s">
        <v>500</v>
      </c>
      <c r="AM922" t="s">
        <v>501</v>
      </c>
      <c r="AN922" t="s">
        <v>502</v>
      </c>
      <c r="AO922" t="s">
        <v>74</v>
      </c>
      <c r="AP922" t="s">
        <v>12869</v>
      </c>
      <c r="AQ922" t="s">
        <v>74</v>
      </c>
      <c r="AR922" t="s">
        <v>12870</v>
      </c>
      <c r="AS922" t="s">
        <v>12871</v>
      </c>
      <c r="AT922" t="s">
        <v>17459</v>
      </c>
      <c r="AU922">
        <v>2020</v>
      </c>
      <c r="AV922">
        <v>8</v>
      </c>
      <c r="AW922" t="s">
        <v>74</v>
      </c>
      <c r="AX922" t="s">
        <v>74</v>
      </c>
      <c r="AY922" t="s">
        <v>74</v>
      </c>
      <c r="AZ922" t="s">
        <v>74</v>
      </c>
      <c r="BA922" t="s">
        <v>74</v>
      </c>
      <c r="BB922" t="s">
        <v>74</v>
      </c>
      <c r="BC922" t="s">
        <v>74</v>
      </c>
      <c r="BD922">
        <v>577502</v>
      </c>
      <c r="BE922" t="s">
        <v>17460</v>
      </c>
      <c r="BF922" t="str">
        <f>HYPERLINK("http://dx.doi.org/10.3389/feart.2020.577502","http://dx.doi.org/10.3389/feart.2020.577502")</f>
        <v>http://dx.doi.org/10.3389/feart.2020.577502</v>
      </c>
      <c r="BG922" t="s">
        <v>74</v>
      </c>
      <c r="BH922" t="s">
        <v>74</v>
      </c>
      <c r="BI922">
        <v>19</v>
      </c>
      <c r="BJ922" t="s">
        <v>401</v>
      </c>
      <c r="BK922" t="s">
        <v>103</v>
      </c>
      <c r="BL922" t="s">
        <v>402</v>
      </c>
      <c r="BM922" t="s">
        <v>17461</v>
      </c>
      <c r="BN922" t="s">
        <v>74</v>
      </c>
      <c r="BO922" t="s">
        <v>1105</v>
      </c>
      <c r="BP922" t="s">
        <v>74</v>
      </c>
      <c r="BQ922" t="s">
        <v>74</v>
      </c>
      <c r="BR922" t="s">
        <v>106</v>
      </c>
      <c r="BS922" t="s">
        <v>17462</v>
      </c>
      <c r="BT922" t="str">
        <f>HYPERLINK("https%3A%2F%2Fwww.webofscience.com%2Fwos%2Fwoscc%2Ffull-record%2FWOS:000599648500001","View Full Record in Web of Science")</f>
        <v>View Full Record in Web of Science</v>
      </c>
    </row>
    <row r="923" spans="1:72" x14ac:dyDescent="0.15">
      <c r="A923" t="s">
        <v>72</v>
      </c>
      <c r="B923" t="s">
        <v>17463</v>
      </c>
      <c r="C923" t="s">
        <v>74</v>
      </c>
      <c r="D923" t="s">
        <v>74</v>
      </c>
      <c r="E923" t="s">
        <v>74</v>
      </c>
      <c r="F923" t="s">
        <v>17464</v>
      </c>
      <c r="G923" t="s">
        <v>74</v>
      </c>
      <c r="H923" t="s">
        <v>74</v>
      </c>
      <c r="I923" t="s">
        <v>17465</v>
      </c>
      <c r="J923" t="s">
        <v>11638</v>
      </c>
      <c r="K923" t="s">
        <v>74</v>
      </c>
      <c r="L923" t="s">
        <v>74</v>
      </c>
      <c r="M923" t="s">
        <v>78</v>
      </c>
      <c r="N923" t="s">
        <v>79</v>
      </c>
      <c r="O923" t="s">
        <v>74</v>
      </c>
      <c r="P923" t="s">
        <v>74</v>
      </c>
      <c r="Q923" t="s">
        <v>74</v>
      </c>
      <c r="R923" t="s">
        <v>74</v>
      </c>
      <c r="S923" t="s">
        <v>74</v>
      </c>
      <c r="T923" t="s">
        <v>17466</v>
      </c>
      <c r="U923" t="s">
        <v>17467</v>
      </c>
      <c r="V923" t="s">
        <v>17468</v>
      </c>
      <c r="W923" t="s">
        <v>17469</v>
      </c>
      <c r="X923" t="s">
        <v>17470</v>
      </c>
      <c r="Y923" t="s">
        <v>17471</v>
      </c>
      <c r="Z923" t="s">
        <v>17472</v>
      </c>
      <c r="AA923" t="s">
        <v>74</v>
      </c>
      <c r="AB923" t="s">
        <v>17473</v>
      </c>
      <c r="AC923" t="s">
        <v>17474</v>
      </c>
      <c r="AD923" t="s">
        <v>17475</v>
      </c>
      <c r="AE923" t="s">
        <v>17476</v>
      </c>
      <c r="AF923" t="s">
        <v>74</v>
      </c>
      <c r="AG923">
        <v>56</v>
      </c>
      <c r="AH923">
        <v>4</v>
      </c>
      <c r="AI923">
        <v>4</v>
      </c>
      <c r="AJ923">
        <v>2</v>
      </c>
      <c r="AK923">
        <v>9</v>
      </c>
      <c r="AL923" t="s">
        <v>3355</v>
      </c>
      <c r="AM923" t="s">
        <v>3356</v>
      </c>
      <c r="AN923" t="s">
        <v>3357</v>
      </c>
      <c r="AO923" t="s">
        <v>11652</v>
      </c>
      <c r="AP923" t="s">
        <v>11653</v>
      </c>
      <c r="AQ923" t="s">
        <v>74</v>
      </c>
      <c r="AR923" t="s">
        <v>11638</v>
      </c>
      <c r="AS923" t="s">
        <v>11654</v>
      </c>
      <c r="AT923" t="s">
        <v>17459</v>
      </c>
      <c r="AU923">
        <v>2020</v>
      </c>
      <c r="AV923">
        <v>474</v>
      </c>
      <c r="AW923">
        <v>1</v>
      </c>
      <c r="AX923" t="s">
        <v>74</v>
      </c>
      <c r="AY923" t="s">
        <v>74</v>
      </c>
      <c r="AZ923" t="s">
        <v>74</v>
      </c>
      <c r="BA923" t="s">
        <v>74</v>
      </c>
      <c r="BB923">
        <v>15</v>
      </c>
      <c r="BC923">
        <v>26</v>
      </c>
      <c r="BD923" t="s">
        <v>74</v>
      </c>
      <c r="BE923" t="s">
        <v>17477</v>
      </c>
      <c r="BF923" t="str">
        <f>HYPERLINK("http://dx.doi.org/10.11646/phytotaxa.474.1.2","http://dx.doi.org/10.11646/phytotaxa.474.1.2")</f>
        <v>http://dx.doi.org/10.11646/phytotaxa.474.1.2</v>
      </c>
      <c r="BG923" t="s">
        <v>74</v>
      </c>
      <c r="BH923" t="s">
        <v>74</v>
      </c>
      <c r="BI923">
        <v>12</v>
      </c>
      <c r="BJ923" t="s">
        <v>7174</v>
      </c>
      <c r="BK923" t="s">
        <v>103</v>
      </c>
      <c r="BL923" t="s">
        <v>7174</v>
      </c>
      <c r="BM923" t="s">
        <v>17478</v>
      </c>
      <c r="BN923" t="s">
        <v>74</v>
      </c>
      <c r="BO923" t="s">
        <v>74</v>
      </c>
      <c r="BP923" t="s">
        <v>74</v>
      </c>
      <c r="BQ923" t="s">
        <v>74</v>
      </c>
      <c r="BR923" t="s">
        <v>106</v>
      </c>
      <c r="BS923" t="s">
        <v>17479</v>
      </c>
      <c r="BT923" t="str">
        <f>HYPERLINK("https%3A%2F%2Fwww.webofscience.com%2Fwos%2Fwoscc%2Ffull-record%2FWOS:000595252000002","View Full Record in Web of Science")</f>
        <v>View Full Record in Web of Science</v>
      </c>
    </row>
    <row r="924" spans="1:72" x14ac:dyDescent="0.15">
      <c r="A924" t="s">
        <v>72</v>
      </c>
      <c r="B924" t="s">
        <v>17480</v>
      </c>
      <c r="C924" t="s">
        <v>74</v>
      </c>
      <c r="D924" t="s">
        <v>74</v>
      </c>
      <c r="E924" t="s">
        <v>74</v>
      </c>
      <c r="F924" t="s">
        <v>17481</v>
      </c>
      <c r="G924" t="s">
        <v>74</v>
      </c>
      <c r="H924" t="s">
        <v>74</v>
      </c>
      <c r="I924" t="s">
        <v>17482</v>
      </c>
      <c r="J924" t="s">
        <v>140</v>
      </c>
      <c r="K924" t="s">
        <v>74</v>
      </c>
      <c r="L924" t="s">
        <v>74</v>
      </c>
      <c r="M924" t="s">
        <v>78</v>
      </c>
      <c r="N924" t="s">
        <v>79</v>
      </c>
      <c r="O924" t="s">
        <v>74</v>
      </c>
      <c r="P924" t="s">
        <v>74</v>
      </c>
      <c r="Q924" t="s">
        <v>74</v>
      </c>
      <c r="R924" t="s">
        <v>74</v>
      </c>
      <c r="S924" t="s">
        <v>74</v>
      </c>
      <c r="T924" t="s">
        <v>74</v>
      </c>
      <c r="U924" t="s">
        <v>17483</v>
      </c>
      <c r="V924" t="s">
        <v>17484</v>
      </c>
      <c r="W924" t="s">
        <v>17485</v>
      </c>
      <c r="X924" t="s">
        <v>17486</v>
      </c>
      <c r="Y924" t="s">
        <v>17487</v>
      </c>
      <c r="Z924" t="s">
        <v>17488</v>
      </c>
      <c r="AA924" t="s">
        <v>17489</v>
      </c>
      <c r="AB924" t="s">
        <v>17490</v>
      </c>
      <c r="AC924" t="s">
        <v>17491</v>
      </c>
      <c r="AD924" t="s">
        <v>17492</v>
      </c>
      <c r="AE924" t="s">
        <v>17493</v>
      </c>
      <c r="AF924" t="s">
        <v>74</v>
      </c>
      <c r="AG924">
        <v>56</v>
      </c>
      <c r="AH924">
        <v>18</v>
      </c>
      <c r="AI924">
        <v>21</v>
      </c>
      <c r="AJ924">
        <v>5</v>
      </c>
      <c r="AK924">
        <v>27</v>
      </c>
      <c r="AL924" t="s">
        <v>123</v>
      </c>
      <c r="AM924" t="s">
        <v>124</v>
      </c>
      <c r="AN924" t="s">
        <v>125</v>
      </c>
      <c r="AO924" t="s">
        <v>152</v>
      </c>
      <c r="AP924" t="s">
        <v>153</v>
      </c>
      <c r="AQ924" t="s">
        <v>74</v>
      </c>
      <c r="AR924" t="s">
        <v>140</v>
      </c>
      <c r="AS924" t="s">
        <v>154</v>
      </c>
      <c r="AT924" t="s">
        <v>17459</v>
      </c>
      <c r="AU924">
        <v>2020</v>
      </c>
      <c r="AV924">
        <v>14</v>
      </c>
      <c r="AW924">
        <v>11</v>
      </c>
      <c r="AX924" t="s">
        <v>74</v>
      </c>
      <c r="AY924" t="s">
        <v>74</v>
      </c>
      <c r="AZ924" t="s">
        <v>74</v>
      </c>
      <c r="BA924" t="s">
        <v>74</v>
      </c>
      <c r="BB924">
        <v>4253</v>
      </c>
      <c r="BC924">
        <v>4263</v>
      </c>
      <c r="BD924" t="s">
        <v>74</v>
      </c>
      <c r="BE924" t="s">
        <v>17494</v>
      </c>
      <c r="BF924" t="str">
        <f>HYPERLINK("http://dx.doi.org/10.5194/tc-14-4253-2020","http://dx.doi.org/10.5194/tc-14-4253-2020")</f>
        <v>http://dx.doi.org/10.5194/tc-14-4253-2020</v>
      </c>
      <c r="BG924" t="s">
        <v>74</v>
      </c>
      <c r="BH924" t="s">
        <v>74</v>
      </c>
      <c r="BI924">
        <v>11</v>
      </c>
      <c r="BJ924" t="s">
        <v>156</v>
      </c>
      <c r="BK924" t="s">
        <v>103</v>
      </c>
      <c r="BL924" t="s">
        <v>157</v>
      </c>
      <c r="BM924" t="s">
        <v>17495</v>
      </c>
      <c r="BN924" t="s">
        <v>74</v>
      </c>
      <c r="BO924" t="s">
        <v>159</v>
      </c>
      <c r="BP924" t="s">
        <v>74</v>
      </c>
      <c r="BQ924" t="s">
        <v>74</v>
      </c>
      <c r="BR924" t="s">
        <v>106</v>
      </c>
      <c r="BS924" t="s">
        <v>17496</v>
      </c>
      <c r="BT924" t="str">
        <f>HYPERLINK("https%3A%2F%2Fwww.webofscience.com%2Fwos%2Fwoscc%2Ffull-record%2FWOS:000595564900001","View Full Record in Web of Science")</f>
        <v>View Full Record in Web of Science</v>
      </c>
    </row>
    <row r="925" spans="1:72" x14ac:dyDescent="0.15">
      <c r="A925" t="s">
        <v>72</v>
      </c>
      <c r="B925" t="s">
        <v>17497</v>
      </c>
      <c r="C925" t="s">
        <v>74</v>
      </c>
      <c r="D925" t="s">
        <v>74</v>
      </c>
      <c r="E925" t="s">
        <v>74</v>
      </c>
      <c r="F925" t="s">
        <v>17498</v>
      </c>
      <c r="G925" t="s">
        <v>74</v>
      </c>
      <c r="H925" t="s">
        <v>74</v>
      </c>
      <c r="I925" t="s">
        <v>17499</v>
      </c>
      <c r="J925" t="s">
        <v>17500</v>
      </c>
      <c r="K925" t="s">
        <v>74</v>
      </c>
      <c r="L925" t="s">
        <v>74</v>
      </c>
      <c r="M925" t="s">
        <v>78</v>
      </c>
      <c r="N925" t="s">
        <v>79</v>
      </c>
      <c r="O925" t="s">
        <v>74</v>
      </c>
      <c r="P925" t="s">
        <v>74</v>
      </c>
      <c r="Q925" t="s">
        <v>74</v>
      </c>
      <c r="R925" t="s">
        <v>74</v>
      </c>
      <c r="S925" t="s">
        <v>74</v>
      </c>
      <c r="T925" t="s">
        <v>17501</v>
      </c>
      <c r="U925" t="s">
        <v>17502</v>
      </c>
      <c r="V925" t="s">
        <v>17503</v>
      </c>
      <c r="W925" t="s">
        <v>17504</v>
      </c>
      <c r="X925" t="s">
        <v>17505</v>
      </c>
      <c r="Y925" t="s">
        <v>17506</v>
      </c>
      <c r="Z925" t="s">
        <v>17507</v>
      </c>
      <c r="AA925" t="s">
        <v>17508</v>
      </c>
      <c r="AB925" t="s">
        <v>17509</v>
      </c>
      <c r="AC925" t="s">
        <v>17510</v>
      </c>
      <c r="AD925" t="s">
        <v>17511</v>
      </c>
      <c r="AE925" t="s">
        <v>17512</v>
      </c>
      <c r="AF925" t="s">
        <v>74</v>
      </c>
      <c r="AG925">
        <v>58</v>
      </c>
      <c r="AH925">
        <v>0</v>
      </c>
      <c r="AI925">
        <v>0</v>
      </c>
      <c r="AJ925">
        <v>1</v>
      </c>
      <c r="AK925">
        <v>5</v>
      </c>
      <c r="AL925" t="s">
        <v>2630</v>
      </c>
      <c r="AM925" t="s">
        <v>2631</v>
      </c>
      <c r="AN925" t="s">
        <v>2632</v>
      </c>
      <c r="AO925" t="s">
        <v>17513</v>
      </c>
      <c r="AP925" t="s">
        <v>17514</v>
      </c>
      <c r="AQ925" t="s">
        <v>74</v>
      </c>
      <c r="AR925" t="s">
        <v>17515</v>
      </c>
      <c r="AS925" t="s">
        <v>17516</v>
      </c>
      <c r="AT925" t="s">
        <v>1190</v>
      </c>
      <c r="AU925">
        <v>2021</v>
      </c>
      <c r="AV925">
        <v>103</v>
      </c>
      <c r="AW925">
        <v>2</v>
      </c>
      <c r="AX925" t="s">
        <v>74</v>
      </c>
      <c r="AY925" t="s">
        <v>74</v>
      </c>
      <c r="AZ925" t="s">
        <v>74</v>
      </c>
      <c r="BA925" t="s">
        <v>74</v>
      </c>
      <c r="BB925">
        <v>167</v>
      </c>
      <c r="BC925">
        <v>185</v>
      </c>
      <c r="BD925" t="s">
        <v>74</v>
      </c>
      <c r="BE925" t="s">
        <v>17517</v>
      </c>
      <c r="BF925" t="str">
        <f>HYPERLINK("http://dx.doi.org/10.1080/04353676.2020.1840179","http://dx.doi.org/10.1080/04353676.2020.1840179")</f>
        <v>http://dx.doi.org/10.1080/04353676.2020.1840179</v>
      </c>
      <c r="BG925" t="s">
        <v>74</v>
      </c>
      <c r="BH925" t="s">
        <v>17215</v>
      </c>
      <c r="BI925">
        <v>19</v>
      </c>
      <c r="BJ925" t="s">
        <v>17518</v>
      </c>
      <c r="BK925" t="s">
        <v>103</v>
      </c>
      <c r="BL925" t="s">
        <v>157</v>
      </c>
      <c r="BM925" t="s">
        <v>17519</v>
      </c>
      <c r="BN925" t="s">
        <v>74</v>
      </c>
      <c r="BO925" t="s">
        <v>74</v>
      </c>
      <c r="BP925" t="s">
        <v>74</v>
      </c>
      <c r="BQ925" t="s">
        <v>74</v>
      </c>
      <c r="BR925" t="s">
        <v>106</v>
      </c>
      <c r="BS925" t="s">
        <v>17520</v>
      </c>
      <c r="BT925" t="str">
        <f>HYPERLINK("https%3A%2F%2Fwww.webofscience.com%2Fwos%2Fwoscc%2Ffull-record%2FWOS:000594933800001","View Full Record in Web of Science")</f>
        <v>View Full Record in Web of Science</v>
      </c>
    </row>
    <row r="926" spans="1:72" x14ac:dyDescent="0.15">
      <c r="A926" t="s">
        <v>72</v>
      </c>
      <c r="B926" t="s">
        <v>17521</v>
      </c>
      <c r="C926" t="s">
        <v>74</v>
      </c>
      <c r="D926" t="s">
        <v>74</v>
      </c>
      <c r="E926" t="s">
        <v>74</v>
      </c>
      <c r="F926" t="s">
        <v>17522</v>
      </c>
      <c r="G926" t="s">
        <v>74</v>
      </c>
      <c r="H926" t="s">
        <v>74</v>
      </c>
      <c r="I926" t="s">
        <v>17523</v>
      </c>
      <c r="J926" t="s">
        <v>140</v>
      </c>
      <c r="K926" t="s">
        <v>74</v>
      </c>
      <c r="L926" t="s">
        <v>74</v>
      </c>
      <c r="M926" t="s">
        <v>78</v>
      </c>
      <c r="N926" t="s">
        <v>79</v>
      </c>
      <c r="O926" t="s">
        <v>74</v>
      </c>
      <c r="P926" t="s">
        <v>74</v>
      </c>
      <c r="Q926" t="s">
        <v>74</v>
      </c>
      <c r="R926" t="s">
        <v>74</v>
      </c>
      <c r="S926" t="s">
        <v>74</v>
      </c>
      <c r="T926" t="s">
        <v>74</v>
      </c>
      <c r="U926" t="s">
        <v>17524</v>
      </c>
      <c r="V926" t="s">
        <v>17525</v>
      </c>
      <c r="W926" t="s">
        <v>17526</v>
      </c>
      <c r="X926" t="s">
        <v>17527</v>
      </c>
      <c r="Y926" t="s">
        <v>17528</v>
      </c>
      <c r="Z926" t="s">
        <v>17529</v>
      </c>
      <c r="AA926" t="s">
        <v>17530</v>
      </c>
      <c r="AB926" t="s">
        <v>17531</v>
      </c>
      <c r="AC926" t="s">
        <v>17532</v>
      </c>
      <c r="AD926" t="s">
        <v>17533</v>
      </c>
      <c r="AE926" t="s">
        <v>17534</v>
      </c>
      <c r="AF926" t="s">
        <v>74</v>
      </c>
      <c r="AG926">
        <v>62</v>
      </c>
      <c r="AH926">
        <v>19</v>
      </c>
      <c r="AI926">
        <v>19</v>
      </c>
      <c r="AJ926">
        <v>0</v>
      </c>
      <c r="AK926">
        <v>4</v>
      </c>
      <c r="AL926" t="s">
        <v>123</v>
      </c>
      <c r="AM926" t="s">
        <v>124</v>
      </c>
      <c r="AN926" t="s">
        <v>125</v>
      </c>
      <c r="AO926" t="s">
        <v>152</v>
      </c>
      <c r="AP926" t="s">
        <v>153</v>
      </c>
      <c r="AQ926" t="s">
        <v>74</v>
      </c>
      <c r="AR926" t="s">
        <v>140</v>
      </c>
      <c r="AS926" t="s">
        <v>154</v>
      </c>
      <c r="AT926" t="s">
        <v>17459</v>
      </c>
      <c r="AU926">
        <v>2020</v>
      </c>
      <c r="AV926">
        <v>14</v>
      </c>
      <c r="AW926">
        <v>11</v>
      </c>
      <c r="AX926" t="s">
        <v>74</v>
      </c>
      <c r="AY926" t="s">
        <v>74</v>
      </c>
      <c r="AZ926" t="s">
        <v>74</v>
      </c>
      <c r="BA926" t="s">
        <v>74</v>
      </c>
      <c r="BB926">
        <v>4265</v>
      </c>
      <c r="BC926">
        <v>4278</v>
      </c>
      <c r="BD926" t="s">
        <v>74</v>
      </c>
      <c r="BE926" t="s">
        <v>17535</v>
      </c>
      <c r="BF926" t="str">
        <f>HYPERLINK("http://dx.doi.org/10.5194/tc-14-4265-2020","http://dx.doi.org/10.5194/tc-14-4265-2020")</f>
        <v>http://dx.doi.org/10.5194/tc-14-4265-2020</v>
      </c>
      <c r="BG926" t="s">
        <v>74</v>
      </c>
      <c r="BH926" t="s">
        <v>74</v>
      </c>
      <c r="BI926">
        <v>14</v>
      </c>
      <c r="BJ926" t="s">
        <v>156</v>
      </c>
      <c r="BK926" t="s">
        <v>103</v>
      </c>
      <c r="BL926" t="s">
        <v>157</v>
      </c>
      <c r="BM926" t="s">
        <v>17495</v>
      </c>
      <c r="BN926" t="s">
        <v>74</v>
      </c>
      <c r="BO926" t="s">
        <v>14184</v>
      </c>
      <c r="BP926" t="s">
        <v>74</v>
      </c>
      <c r="BQ926" t="s">
        <v>74</v>
      </c>
      <c r="BR926" t="s">
        <v>106</v>
      </c>
      <c r="BS926" t="s">
        <v>17536</v>
      </c>
      <c r="BT926" t="str">
        <f>HYPERLINK("https%3A%2F%2Fwww.webofscience.com%2Fwos%2Fwoscc%2Ffull-record%2FWOS:000595564900002","View Full Record in Web of Science")</f>
        <v>View Full Record in Web of Science</v>
      </c>
    </row>
    <row r="927" spans="1:72" x14ac:dyDescent="0.15">
      <c r="A927" t="s">
        <v>72</v>
      </c>
      <c r="B927" t="s">
        <v>17537</v>
      </c>
      <c r="C927" t="s">
        <v>74</v>
      </c>
      <c r="D927" t="s">
        <v>74</v>
      </c>
      <c r="E927" t="s">
        <v>74</v>
      </c>
      <c r="F927" t="s">
        <v>17538</v>
      </c>
      <c r="G927" t="s">
        <v>74</v>
      </c>
      <c r="H927" t="s">
        <v>74</v>
      </c>
      <c r="I927" t="s">
        <v>17539</v>
      </c>
      <c r="J927" t="s">
        <v>433</v>
      </c>
      <c r="K927" t="s">
        <v>74</v>
      </c>
      <c r="L927" t="s">
        <v>74</v>
      </c>
      <c r="M927" t="s">
        <v>78</v>
      </c>
      <c r="N927" t="s">
        <v>79</v>
      </c>
      <c r="O927" t="s">
        <v>74</v>
      </c>
      <c r="P927" t="s">
        <v>74</v>
      </c>
      <c r="Q927" t="s">
        <v>74</v>
      </c>
      <c r="R927" t="s">
        <v>74</v>
      </c>
      <c r="S927" t="s">
        <v>74</v>
      </c>
      <c r="T927" t="s">
        <v>17540</v>
      </c>
      <c r="U927" t="s">
        <v>17541</v>
      </c>
      <c r="V927" t="s">
        <v>17542</v>
      </c>
      <c r="W927" t="s">
        <v>17543</v>
      </c>
      <c r="X927" t="s">
        <v>17544</v>
      </c>
      <c r="Y927" t="s">
        <v>17545</v>
      </c>
      <c r="Z927" t="s">
        <v>17546</v>
      </c>
      <c r="AA927" t="s">
        <v>74</v>
      </c>
      <c r="AB927" t="s">
        <v>17547</v>
      </c>
      <c r="AC927" t="s">
        <v>17548</v>
      </c>
      <c r="AD927" t="s">
        <v>17549</v>
      </c>
      <c r="AE927" t="s">
        <v>17550</v>
      </c>
      <c r="AF927" t="s">
        <v>74</v>
      </c>
      <c r="AG927">
        <v>105</v>
      </c>
      <c r="AH927">
        <v>40</v>
      </c>
      <c r="AI927">
        <v>42</v>
      </c>
      <c r="AJ927">
        <v>1</v>
      </c>
      <c r="AK927">
        <v>12</v>
      </c>
      <c r="AL927" t="s">
        <v>446</v>
      </c>
      <c r="AM927" t="s">
        <v>447</v>
      </c>
      <c r="AN927" t="s">
        <v>448</v>
      </c>
      <c r="AO927" t="s">
        <v>449</v>
      </c>
      <c r="AP927" t="s">
        <v>450</v>
      </c>
      <c r="AQ927" t="s">
        <v>74</v>
      </c>
      <c r="AR927" t="s">
        <v>451</v>
      </c>
      <c r="AS927" t="s">
        <v>452</v>
      </c>
      <c r="AT927" t="s">
        <v>17551</v>
      </c>
      <c r="AU927">
        <v>2020</v>
      </c>
      <c r="AV927">
        <v>655</v>
      </c>
      <c r="AW927" t="s">
        <v>74</v>
      </c>
      <c r="AX927" t="s">
        <v>74</v>
      </c>
      <c r="AY927" t="s">
        <v>74</v>
      </c>
      <c r="AZ927" t="s">
        <v>74</v>
      </c>
      <c r="BA927" t="s">
        <v>74</v>
      </c>
      <c r="BB927">
        <v>1</v>
      </c>
      <c r="BC927">
        <v>27</v>
      </c>
      <c r="BD927" t="s">
        <v>74</v>
      </c>
      <c r="BE927" t="s">
        <v>17552</v>
      </c>
      <c r="BF927" t="str">
        <f>HYPERLINK("http://dx.doi.org/10.3354/meps13524","http://dx.doi.org/10.3354/meps13524")</f>
        <v>http://dx.doi.org/10.3354/meps13524</v>
      </c>
      <c r="BG927" t="s">
        <v>74</v>
      </c>
      <c r="BH927" t="s">
        <v>74</v>
      </c>
      <c r="BI927">
        <v>27</v>
      </c>
      <c r="BJ927" t="s">
        <v>455</v>
      </c>
      <c r="BK927" t="s">
        <v>103</v>
      </c>
      <c r="BL927" t="s">
        <v>456</v>
      </c>
      <c r="BM927" t="s">
        <v>17553</v>
      </c>
      <c r="BN927" t="s">
        <v>74</v>
      </c>
      <c r="BO927" t="s">
        <v>1708</v>
      </c>
      <c r="BP927" t="s">
        <v>74</v>
      </c>
      <c r="BQ927" t="s">
        <v>74</v>
      </c>
      <c r="BR927" t="s">
        <v>106</v>
      </c>
      <c r="BS927" t="s">
        <v>17554</v>
      </c>
      <c r="BT927" t="str">
        <f>HYPERLINK("https%3A%2F%2Fwww.webofscience.com%2Fwos%2Fwoscc%2Ffull-record%2FWOS:000621241700001","View Full Record in Web of Science")</f>
        <v>View Full Record in Web of Science</v>
      </c>
    </row>
    <row r="928" spans="1:72" x14ac:dyDescent="0.15">
      <c r="A928" t="s">
        <v>72</v>
      </c>
      <c r="B928" t="s">
        <v>17555</v>
      </c>
      <c r="C928" t="s">
        <v>74</v>
      </c>
      <c r="D928" t="s">
        <v>74</v>
      </c>
      <c r="E928" t="s">
        <v>74</v>
      </c>
      <c r="F928" t="s">
        <v>17556</v>
      </c>
      <c r="G928" t="s">
        <v>74</v>
      </c>
      <c r="H928" t="s">
        <v>74</v>
      </c>
      <c r="I928" t="s">
        <v>17557</v>
      </c>
      <c r="J928" t="s">
        <v>433</v>
      </c>
      <c r="K928" t="s">
        <v>74</v>
      </c>
      <c r="L928" t="s">
        <v>74</v>
      </c>
      <c r="M928" t="s">
        <v>78</v>
      </c>
      <c r="N928" t="s">
        <v>79</v>
      </c>
      <c r="O928" t="s">
        <v>74</v>
      </c>
      <c r="P928" t="s">
        <v>74</v>
      </c>
      <c r="Q928" t="s">
        <v>74</v>
      </c>
      <c r="R928" t="s">
        <v>74</v>
      </c>
      <c r="S928" t="s">
        <v>74</v>
      </c>
      <c r="T928" t="s">
        <v>17558</v>
      </c>
      <c r="U928" t="s">
        <v>17559</v>
      </c>
      <c r="V928" t="s">
        <v>17560</v>
      </c>
      <c r="W928" t="s">
        <v>17561</v>
      </c>
      <c r="X928" t="s">
        <v>17562</v>
      </c>
      <c r="Y928" t="s">
        <v>17563</v>
      </c>
      <c r="Z928" t="s">
        <v>6444</v>
      </c>
      <c r="AA928" t="s">
        <v>17564</v>
      </c>
      <c r="AB928" t="s">
        <v>17565</v>
      </c>
      <c r="AC928" t="s">
        <v>17566</v>
      </c>
      <c r="AD928" t="s">
        <v>17567</v>
      </c>
      <c r="AE928" t="s">
        <v>17568</v>
      </c>
      <c r="AF928" t="s">
        <v>74</v>
      </c>
      <c r="AG928">
        <v>68</v>
      </c>
      <c r="AH928">
        <v>6</v>
      </c>
      <c r="AI928">
        <v>6</v>
      </c>
      <c r="AJ928">
        <v>1</v>
      </c>
      <c r="AK928">
        <v>9</v>
      </c>
      <c r="AL928" t="s">
        <v>446</v>
      </c>
      <c r="AM928" t="s">
        <v>447</v>
      </c>
      <c r="AN928" t="s">
        <v>448</v>
      </c>
      <c r="AO928" t="s">
        <v>449</v>
      </c>
      <c r="AP928" t="s">
        <v>450</v>
      </c>
      <c r="AQ928" t="s">
        <v>74</v>
      </c>
      <c r="AR928" t="s">
        <v>451</v>
      </c>
      <c r="AS928" t="s">
        <v>452</v>
      </c>
      <c r="AT928" t="s">
        <v>17551</v>
      </c>
      <c r="AU928">
        <v>2020</v>
      </c>
      <c r="AV928">
        <v>655</v>
      </c>
      <c r="AW928" t="s">
        <v>74</v>
      </c>
      <c r="AX928" t="s">
        <v>74</v>
      </c>
      <c r="AY928" t="s">
        <v>74</v>
      </c>
      <c r="AZ928" t="s">
        <v>74</v>
      </c>
      <c r="BA928" t="s">
        <v>74</v>
      </c>
      <c r="BB928">
        <v>215</v>
      </c>
      <c r="BC928">
        <v>225</v>
      </c>
      <c r="BD928" t="s">
        <v>74</v>
      </c>
      <c r="BE928" t="s">
        <v>17569</v>
      </c>
      <c r="BF928" t="str">
        <f>HYPERLINK("http://dx.doi.org/10.3354/meps13518","http://dx.doi.org/10.3354/meps13518")</f>
        <v>http://dx.doi.org/10.3354/meps13518</v>
      </c>
      <c r="BG928" t="s">
        <v>74</v>
      </c>
      <c r="BH928" t="s">
        <v>74</v>
      </c>
      <c r="BI928">
        <v>11</v>
      </c>
      <c r="BJ928" t="s">
        <v>455</v>
      </c>
      <c r="BK928" t="s">
        <v>103</v>
      </c>
      <c r="BL928" t="s">
        <v>456</v>
      </c>
      <c r="BM928" t="s">
        <v>17553</v>
      </c>
      <c r="BN928" t="s">
        <v>74</v>
      </c>
      <c r="BO928" t="s">
        <v>74</v>
      </c>
      <c r="BP928" t="s">
        <v>74</v>
      </c>
      <c r="BQ928" t="s">
        <v>74</v>
      </c>
      <c r="BR928" t="s">
        <v>106</v>
      </c>
      <c r="BS928" t="s">
        <v>17570</v>
      </c>
      <c r="BT928" t="str">
        <f>HYPERLINK("https%3A%2F%2Fwww.webofscience.com%2Fwos%2Fwoscc%2Ffull-record%2FWOS:000621241700014","View Full Record in Web of Science")</f>
        <v>View Full Record in Web of Science</v>
      </c>
    </row>
    <row r="929" spans="1:72" x14ac:dyDescent="0.15">
      <c r="A929" t="s">
        <v>72</v>
      </c>
      <c r="B929" t="s">
        <v>17571</v>
      </c>
      <c r="C929" t="s">
        <v>74</v>
      </c>
      <c r="D929" t="s">
        <v>74</v>
      </c>
      <c r="E929" t="s">
        <v>74</v>
      </c>
      <c r="F929" t="s">
        <v>17572</v>
      </c>
      <c r="G929" t="s">
        <v>74</v>
      </c>
      <c r="H929" t="s">
        <v>74</v>
      </c>
      <c r="I929" t="s">
        <v>17573</v>
      </c>
      <c r="J929" t="s">
        <v>2132</v>
      </c>
      <c r="K929" t="s">
        <v>74</v>
      </c>
      <c r="L929" t="s">
        <v>74</v>
      </c>
      <c r="M929" t="s">
        <v>78</v>
      </c>
      <c r="N929" t="s">
        <v>79</v>
      </c>
      <c r="O929" t="s">
        <v>74</v>
      </c>
      <c r="P929" t="s">
        <v>74</v>
      </c>
      <c r="Q929" t="s">
        <v>74</v>
      </c>
      <c r="R929" t="s">
        <v>74</v>
      </c>
      <c r="S929" t="s">
        <v>74</v>
      </c>
      <c r="T929" t="s">
        <v>74</v>
      </c>
      <c r="U929" t="s">
        <v>17574</v>
      </c>
      <c r="V929" t="s">
        <v>17575</v>
      </c>
      <c r="W929" t="s">
        <v>17576</v>
      </c>
      <c r="X929" t="s">
        <v>17577</v>
      </c>
      <c r="Y929" t="s">
        <v>17578</v>
      </c>
      <c r="Z929" t="s">
        <v>17579</v>
      </c>
      <c r="AA929" t="s">
        <v>17580</v>
      </c>
      <c r="AB929" t="s">
        <v>17581</v>
      </c>
      <c r="AC929" t="s">
        <v>17582</v>
      </c>
      <c r="AD929" t="s">
        <v>17583</v>
      </c>
      <c r="AE929" t="s">
        <v>17584</v>
      </c>
      <c r="AF929" t="s">
        <v>74</v>
      </c>
      <c r="AG929">
        <v>59</v>
      </c>
      <c r="AH929">
        <v>24</v>
      </c>
      <c r="AI929">
        <v>26</v>
      </c>
      <c r="AJ929">
        <v>0</v>
      </c>
      <c r="AK929">
        <v>43</v>
      </c>
      <c r="AL929" t="s">
        <v>527</v>
      </c>
      <c r="AM929" t="s">
        <v>528</v>
      </c>
      <c r="AN929" t="s">
        <v>529</v>
      </c>
      <c r="AO929" t="s">
        <v>2143</v>
      </c>
      <c r="AP929" t="s">
        <v>2144</v>
      </c>
      <c r="AQ929" t="s">
        <v>74</v>
      </c>
      <c r="AR929" t="s">
        <v>2132</v>
      </c>
      <c r="AS929" t="s">
        <v>2145</v>
      </c>
      <c r="AT929" t="s">
        <v>17551</v>
      </c>
      <c r="AU929">
        <v>2020</v>
      </c>
      <c r="AV929">
        <v>587</v>
      </c>
      <c r="AW929">
        <v>7835</v>
      </c>
      <c r="AX929" t="s">
        <v>74</v>
      </c>
      <c r="AY929" t="s">
        <v>74</v>
      </c>
      <c r="AZ929" t="s">
        <v>74</v>
      </c>
      <c r="BA929" t="s">
        <v>74</v>
      </c>
      <c r="BB929">
        <v>600</v>
      </c>
      <c r="BC929" t="s">
        <v>2146</v>
      </c>
      <c r="BD929" t="s">
        <v>74</v>
      </c>
      <c r="BE929" t="s">
        <v>17585</v>
      </c>
      <c r="BF929" t="str">
        <f>HYPERLINK("http://dx.doi.org/10.1038/s41586-020-2916-2","http://dx.doi.org/10.1038/s41586-020-2916-2")</f>
        <v>http://dx.doi.org/10.1038/s41586-020-2916-2</v>
      </c>
      <c r="BG929" t="s">
        <v>74</v>
      </c>
      <c r="BH929" t="s">
        <v>74</v>
      </c>
      <c r="BI929">
        <v>18</v>
      </c>
      <c r="BJ929" t="s">
        <v>534</v>
      </c>
      <c r="BK929" t="s">
        <v>103</v>
      </c>
      <c r="BL929" t="s">
        <v>535</v>
      </c>
      <c r="BM929" t="s">
        <v>17586</v>
      </c>
      <c r="BN929">
        <v>33239798</v>
      </c>
      <c r="BO929" t="s">
        <v>1220</v>
      </c>
      <c r="BP929" t="s">
        <v>74</v>
      </c>
      <c r="BQ929" t="s">
        <v>74</v>
      </c>
      <c r="BR929" t="s">
        <v>106</v>
      </c>
      <c r="BS929" t="s">
        <v>17587</v>
      </c>
      <c r="BT929" t="str">
        <f>HYPERLINK("https%3A%2F%2Fwww.webofscience.com%2Fwos%2Fwoscc%2Ffull-record%2FWOS:000603059500015","View Full Record in Web of Science")</f>
        <v>View Full Record in Web of Science</v>
      </c>
    </row>
    <row r="930" spans="1:72" x14ac:dyDescent="0.15">
      <c r="A930" t="s">
        <v>72</v>
      </c>
      <c r="B930" t="s">
        <v>17588</v>
      </c>
      <c r="C930" t="s">
        <v>74</v>
      </c>
      <c r="D930" t="s">
        <v>74</v>
      </c>
      <c r="E930" t="s">
        <v>74</v>
      </c>
      <c r="F930" t="s">
        <v>17589</v>
      </c>
      <c r="G930" t="s">
        <v>74</v>
      </c>
      <c r="H930" t="s">
        <v>74</v>
      </c>
      <c r="I930" t="s">
        <v>17590</v>
      </c>
      <c r="J930" t="s">
        <v>1690</v>
      </c>
      <c r="K930" t="s">
        <v>74</v>
      </c>
      <c r="L930" t="s">
        <v>74</v>
      </c>
      <c r="M930" t="s">
        <v>78</v>
      </c>
      <c r="N930" t="s">
        <v>79</v>
      </c>
      <c r="O930" t="s">
        <v>74</v>
      </c>
      <c r="P930" t="s">
        <v>74</v>
      </c>
      <c r="Q930" t="s">
        <v>74</v>
      </c>
      <c r="R930" t="s">
        <v>74</v>
      </c>
      <c r="S930" t="s">
        <v>74</v>
      </c>
      <c r="T930" t="s">
        <v>17591</v>
      </c>
      <c r="U930" t="s">
        <v>17592</v>
      </c>
      <c r="V930" t="s">
        <v>17593</v>
      </c>
      <c r="W930" t="s">
        <v>17594</v>
      </c>
      <c r="X930" t="s">
        <v>17595</v>
      </c>
      <c r="Y930" t="s">
        <v>17596</v>
      </c>
      <c r="Z930" t="s">
        <v>17597</v>
      </c>
      <c r="AA930" t="s">
        <v>17598</v>
      </c>
      <c r="AB930" t="s">
        <v>17599</v>
      </c>
      <c r="AC930" t="s">
        <v>17600</v>
      </c>
      <c r="AD930" t="s">
        <v>17600</v>
      </c>
      <c r="AE930" t="s">
        <v>17601</v>
      </c>
      <c r="AF930" t="s">
        <v>74</v>
      </c>
      <c r="AG930">
        <v>51</v>
      </c>
      <c r="AH930">
        <v>9</v>
      </c>
      <c r="AI930">
        <v>9</v>
      </c>
      <c r="AJ930">
        <v>5</v>
      </c>
      <c r="AK930">
        <v>37</v>
      </c>
      <c r="AL930" t="s">
        <v>207</v>
      </c>
      <c r="AM930" t="s">
        <v>473</v>
      </c>
      <c r="AN930" t="s">
        <v>474</v>
      </c>
      <c r="AO930" t="s">
        <v>1702</v>
      </c>
      <c r="AP930" t="s">
        <v>1703</v>
      </c>
      <c r="AQ930" t="s">
        <v>74</v>
      </c>
      <c r="AR930" t="s">
        <v>1704</v>
      </c>
      <c r="AS930" t="s">
        <v>1705</v>
      </c>
      <c r="AT930" t="s">
        <v>374</v>
      </c>
      <c r="AU930">
        <v>2021</v>
      </c>
      <c r="AV930">
        <v>44</v>
      </c>
      <c r="AW930">
        <v>1</v>
      </c>
      <c r="AX930" t="s">
        <v>74</v>
      </c>
      <c r="AY930" t="s">
        <v>74</v>
      </c>
      <c r="AZ930" t="s">
        <v>74</v>
      </c>
      <c r="BA930" t="s">
        <v>74</v>
      </c>
      <c r="BB930">
        <v>45</v>
      </c>
      <c r="BC930">
        <v>56</v>
      </c>
      <c r="BD930" t="s">
        <v>74</v>
      </c>
      <c r="BE930" t="s">
        <v>17602</v>
      </c>
      <c r="BF930" t="str">
        <f>HYPERLINK("http://dx.doi.org/10.1007/s00300-020-02774-4","http://dx.doi.org/10.1007/s00300-020-02774-4")</f>
        <v>http://dx.doi.org/10.1007/s00300-020-02774-4</v>
      </c>
      <c r="BG930" t="s">
        <v>74</v>
      </c>
      <c r="BH930" t="s">
        <v>17215</v>
      </c>
      <c r="BI930">
        <v>12</v>
      </c>
      <c r="BJ930" t="s">
        <v>1052</v>
      </c>
      <c r="BK930" t="s">
        <v>103</v>
      </c>
      <c r="BL930" t="s">
        <v>1053</v>
      </c>
      <c r="BM930" t="s">
        <v>2655</v>
      </c>
      <c r="BN930" t="s">
        <v>74</v>
      </c>
      <c r="BO930" t="s">
        <v>74</v>
      </c>
      <c r="BP930" t="s">
        <v>74</v>
      </c>
      <c r="BQ930" t="s">
        <v>74</v>
      </c>
      <c r="BR930" t="s">
        <v>106</v>
      </c>
      <c r="BS930" t="s">
        <v>17603</v>
      </c>
      <c r="BT930" t="str">
        <f>HYPERLINK("https%3A%2F%2Fwww.webofscience.com%2Fwos%2Fwoscc%2Ffull-record%2FWOS:000592976600001","View Full Record in Web of Science")</f>
        <v>View Full Record in Web of Science</v>
      </c>
    </row>
    <row r="931" spans="1:72" x14ac:dyDescent="0.15">
      <c r="A931" t="s">
        <v>72</v>
      </c>
      <c r="B931" t="s">
        <v>17604</v>
      </c>
      <c r="C931" t="s">
        <v>74</v>
      </c>
      <c r="D931" t="s">
        <v>74</v>
      </c>
      <c r="E931" t="s">
        <v>74</v>
      </c>
      <c r="F931" t="s">
        <v>17605</v>
      </c>
      <c r="G931" t="s">
        <v>74</v>
      </c>
      <c r="H931" t="s">
        <v>74</v>
      </c>
      <c r="I931" t="s">
        <v>17606</v>
      </c>
      <c r="J931" t="s">
        <v>17607</v>
      </c>
      <c r="K931" t="s">
        <v>74</v>
      </c>
      <c r="L931" t="s">
        <v>74</v>
      </c>
      <c r="M931" t="s">
        <v>78</v>
      </c>
      <c r="N931" t="s">
        <v>79</v>
      </c>
      <c r="O931" t="s">
        <v>74</v>
      </c>
      <c r="P931" t="s">
        <v>74</v>
      </c>
      <c r="Q931" t="s">
        <v>74</v>
      </c>
      <c r="R931" t="s">
        <v>74</v>
      </c>
      <c r="S931" t="s">
        <v>74</v>
      </c>
      <c r="T931" t="s">
        <v>74</v>
      </c>
      <c r="U931" t="s">
        <v>17608</v>
      </c>
      <c r="V931" t="s">
        <v>17609</v>
      </c>
      <c r="W931" t="s">
        <v>17610</v>
      </c>
      <c r="X931" t="s">
        <v>17611</v>
      </c>
      <c r="Y931" t="s">
        <v>17612</v>
      </c>
      <c r="Z931" t="s">
        <v>17613</v>
      </c>
      <c r="AA931" t="s">
        <v>17614</v>
      </c>
      <c r="AB931" t="s">
        <v>17615</v>
      </c>
      <c r="AC931" t="s">
        <v>74</v>
      </c>
      <c r="AD931" t="s">
        <v>74</v>
      </c>
      <c r="AE931" t="s">
        <v>74</v>
      </c>
      <c r="AF931" t="s">
        <v>74</v>
      </c>
      <c r="AG931">
        <v>150</v>
      </c>
      <c r="AH931">
        <v>10</v>
      </c>
      <c r="AI931">
        <v>10</v>
      </c>
      <c r="AJ931">
        <v>0</v>
      </c>
      <c r="AK931">
        <v>13</v>
      </c>
      <c r="AL931" t="s">
        <v>552</v>
      </c>
      <c r="AM931" t="s">
        <v>553</v>
      </c>
      <c r="AN931" t="s">
        <v>554</v>
      </c>
      <c r="AO931" t="s">
        <v>17616</v>
      </c>
      <c r="AP931" t="s">
        <v>17617</v>
      </c>
      <c r="AQ931" t="s">
        <v>74</v>
      </c>
      <c r="AR931" t="s">
        <v>17618</v>
      </c>
      <c r="AS931" t="s">
        <v>17619</v>
      </c>
      <c r="AT931" t="s">
        <v>831</v>
      </c>
      <c r="AU931">
        <v>2021</v>
      </c>
      <c r="AV931">
        <v>23</v>
      </c>
      <c r="AW931">
        <v>7</v>
      </c>
      <c r="AX931" t="s">
        <v>74</v>
      </c>
      <c r="AY931" t="s">
        <v>74</v>
      </c>
      <c r="AZ931" t="s">
        <v>74</v>
      </c>
      <c r="BA931" t="s">
        <v>74</v>
      </c>
      <c r="BB931">
        <v>3665</v>
      </c>
      <c r="BC931">
        <v>3681</v>
      </c>
      <c r="BD931" t="s">
        <v>74</v>
      </c>
      <c r="BE931" t="s">
        <v>17620</v>
      </c>
      <c r="BF931" t="str">
        <f>HYPERLINK("http://dx.doi.org/10.1111/1462-2920.15304","http://dx.doi.org/10.1111/1462-2920.15304")</f>
        <v>http://dx.doi.org/10.1111/1462-2920.15304</v>
      </c>
      <c r="BG931" t="s">
        <v>74</v>
      </c>
      <c r="BH931" t="s">
        <v>17215</v>
      </c>
      <c r="BI931">
        <v>17</v>
      </c>
      <c r="BJ931" t="s">
        <v>3581</v>
      </c>
      <c r="BK931" t="s">
        <v>103</v>
      </c>
      <c r="BL931" t="s">
        <v>3581</v>
      </c>
      <c r="BM931" t="s">
        <v>17621</v>
      </c>
      <c r="BN931">
        <v>33169927</v>
      </c>
      <c r="BO931" t="s">
        <v>3283</v>
      </c>
      <c r="BP931" t="s">
        <v>74</v>
      </c>
      <c r="BQ931" t="s">
        <v>74</v>
      </c>
      <c r="BR931" t="s">
        <v>106</v>
      </c>
      <c r="BS931" t="s">
        <v>17622</v>
      </c>
      <c r="BT931" t="str">
        <f>HYPERLINK("https%3A%2F%2Fwww.webofscience.com%2Fwos%2Fwoscc%2Ffull-record%2FWOS:000592207500001","View Full Record in Web of Science")</f>
        <v>View Full Record in Web of Science</v>
      </c>
    </row>
    <row r="932" spans="1:72" x14ac:dyDescent="0.15">
      <c r="A932" t="s">
        <v>72</v>
      </c>
      <c r="B932" t="s">
        <v>17623</v>
      </c>
      <c r="C932" t="s">
        <v>74</v>
      </c>
      <c r="D932" t="s">
        <v>74</v>
      </c>
      <c r="E932" t="s">
        <v>74</v>
      </c>
      <c r="F932" t="s">
        <v>17624</v>
      </c>
      <c r="G932" t="s">
        <v>74</v>
      </c>
      <c r="H932" t="s">
        <v>74</v>
      </c>
      <c r="I932" t="s">
        <v>17625</v>
      </c>
      <c r="J932" t="s">
        <v>17626</v>
      </c>
      <c r="K932" t="s">
        <v>74</v>
      </c>
      <c r="L932" t="s">
        <v>74</v>
      </c>
      <c r="M932" t="s">
        <v>78</v>
      </c>
      <c r="N932" t="s">
        <v>79</v>
      </c>
      <c r="O932" t="s">
        <v>74</v>
      </c>
      <c r="P932" t="s">
        <v>74</v>
      </c>
      <c r="Q932" t="s">
        <v>74</v>
      </c>
      <c r="R932" t="s">
        <v>74</v>
      </c>
      <c r="S932" t="s">
        <v>74</v>
      </c>
      <c r="T932" t="s">
        <v>17627</v>
      </c>
      <c r="U932" t="s">
        <v>17628</v>
      </c>
      <c r="V932" t="s">
        <v>17629</v>
      </c>
      <c r="W932" t="s">
        <v>17630</v>
      </c>
      <c r="X932" t="s">
        <v>17631</v>
      </c>
      <c r="Y932" t="s">
        <v>17632</v>
      </c>
      <c r="Z932" t="s">
        <v>17633</v>
      </c>
      <c r="AA932" t="s">
        <v>17634</v>
      </c>
      <c r="AB932" t="s">
        <v>17635</v>
      </c>
      <c r="AC932" t="s">
        <v>17636</v>
      </c>
      <c r="AD932" t="s">
        <v>17636</v>
      </c>
      <c r="AE932" t="s">
        <v>17637</v>
      </c>
      <c r="AF932" t="s">
        <v>74</v>
      </c>
      <c r="AG932">
        <v>52</v>
      </c>
      <c r="AH932">
        <v>2</v>
      </c>
      <c r="AI932">
        <v>2</v>
      </c>
      <c r="AJ932">
        <v>2</v>
      </c>
      <c r="AK932">
        <v>7</v>
      </c>
      <c r="AL932" t="s">
        <v>17638</v>
      </c>
      <c r="AM932" t="s">
        <v>17639</v>
      </c>
      <c r="AN932" t="s">
        <v>17640</v>
      </c>
      <c r="AO932" t="s">
        <v>17641</v>
      </c>
      <c r="AP932" t="s">
        <v>17642</v>
      </c>
      <c r="AQ932" t="s">
        <v>74</v>
      </c>
      <c r="AR932" t="s">
        <v>17643</v>
      </c>
      <c r="AS932" t="s">
        <v>17644</v>
      </c>
      <c r="AT932" t="s">
        <v>74</v>
      </c>
      <c r="AU932">
        <v>2021</v>
      </c>
      <c r="AV932">
        <v>72</v>
      </c>
      <c r="AW932">
        <v>5</v>
      </c>
      <c r="AX932" t="s">
        <v>74</v>
      </c>
      <c r="AY932" t="s">
        <v>74</v>
      </c>
      <c r="AZ932" t="s">
        <v>74</v>
      </c>
      <c r="BA932" t="s">
        <v>74</v>
      </c>
      <c r="BB932">
        <v>679</v>
      </c>
      <c r="BC932">
        <v>692</v>
      </c>
      <c r="BD932" t="s">
        <v>74</v>
      </c>
      <c r="BE932" t="s">
        <v>17645</v>
      </c>
      <c r="BF932" t="str">
        <f>HYPERLINK("http://dx.doi.org/10.1071/MF20100","http://dx.doi.org/10.1071/MF20100")</f>
        <v>http://dx.doi.org/10.1071/MF20100</v>
      </c>
      <c r="BG932" t="s">
        <v>74</v>
      </c>
      <c r="BH932" t="s">
        <v>17215</v>
      </c>
      <c r="BI932">
        <v>14</v>
      </c>
      <c r="BJ932" t="s">
        <v>17646</v>
      </c>
      <c r="BK932" t="s">
        <v>103</v>
      </c>
      <c r="BL932" t="s">
        <v>833</v>
      </c>
      <c r="BM932" t="s">
        <v>17647</v>
      </c>
      <c r="BN932" t="s">
        <v>74</v>
      </c>
      <c r="BO932" t="s">
        <v>74</v>
      </c>
      <c r="BP932" t="s">
        <v>74</v>
      </c>
      <c r="BQ932" t="s">
        <v>74</v>
      </c>
      <c r="BR932" t="s">
        <v>106</v>
      </c>
      <c r="BS932" t="s">
        <v>17648</v>
      </c>
      <c r="BT932" t="str">
        <f>HYPERLINK("https%3A%2F%2Fwww.webofscience.com%2Fwos%2Fwoscc%2Ffull-record%2FWOS:000592282400001","View Full Record in Web of Science")</f>
        <v>View Full Record in Web of Science</v>
      </c>
    </row>
    <row r="933" spans="1:72" x14ac:dyDescent="0.15">
      <c r="A933" t="s">
        <v>72</v>
      </c>
      <c r="B933" t="s">
        <v>17649</v>
      </c>
      <c r="C933" t="s">
        <v>74</v>
      </c>
      <c r="D933" t="s">
        <v>74</v>
      </c>
      <c r="E933" t="s">
        <v>74</v>
      </c>
      <c r="F933" t="s">
        <v>17650</v>
      </c>
      <c r="G933" t="s">
        <v>74</v>
      </c>
      <c r="H933" t="s">
        <v>74</v>
      </c>
      <c r="I933" t="s">
        <v>17651</v>
      </c>
      <c r="J933" t="s">
        <v>11587</v>
      </c>
      <c r="K933" t="s">
        <v>74</v>
      </c>
      <c r="L933" t="s">
        <v>74</v>
      </c>
      <c r="M933" t="s">
        <v>78</v>
      </c>
      <c r="N933" t="s">
        <v>79</v>
      </c>
      <c r="O933" t="s">
        <v>74</v>
      </c>
      <c r="P933" t="s">
        <v>74</v>
      </c>
      <c r="Q933" t="s">
        <v>74</v>
      </c>
      <c r="R933" t="s">
        <v>74</v>
      </c>
      <c r="S933" t="s">
        <v>74</v>
      </c>
      <c r="T933" t="s">
        <v>17652</v>
      </c>
      <c r="U933" t="s">
        <v>17653</v>
      </c>
      <c r="V933" t="s">
        <v>17654</v>
      </c>
      <c r="W933" t="s">
        <v>17655</v>
      </c>
      <c r="X933" t="s">
        <v>17656</v>
      </c>
      <c r="Y933" t="s">
        <v>17657</v>
      </c>
      <c r="Z933" t="s">
        <v>17658</v>
      </c>
      <c r="AA933" t="s">
        <v>74</v>
      </c>
      <c r="AB933" t="s">
        <v>74</v>
      </c>
      <c r="AC933" t="s">
        <v>17659</v>
      </c>
      <c r="AD933" t="s">
        <v>17659</v>
      </c>
      <c r="AE933" t="s">
        <v>17660</v>
      </c>
      <c r="AF933" t="s">
        <v>74</v>
      </c>
      <c r="AG933">
        <v>28</v>
      </c>
      <c r="AH933">
        <v>0</v>
      </c>
      <c r="AI933">
        <v>0</v>
      </c>
      <c r="AJ933">
        <v>0</v>
      </c>
      <c r="AK933">
        <v>8</v>
      </c>
      <c r="AL933" t="s">
        <v>11600</v>
      </c>
      <c r="AM933" t="s">
        <v>11601</v>
      </c>
      <c r="AN933" t="s">
        <v>11602</v>
      </c>
      <c r="AO933" t="s">
        <v>11603</v>
      </c>
      <c r="AP933" t="s">
        <v>74</v>
      </c>
      <c r="AQ933" t="s">
        <v>74</v>
      </c>
      <c r="AR933" t="s">
        <v>11604</v>
      </c>
      <c r="AS933" t="s">
        <v>11605</v>
      </c>
      <c r="AT933" t="s">
        <v>17661</v>
      </c>
      <c r="AU933">
        <v>2020</v>
      </c>
      <c r="AV933">
        <v>119</v>
      </c>
      <c r="AW933">
        <v>10</v>
      </c>
      <c r="AX933" t="s">
        <v>74</v>
      </c>
      <c r="AY933" t="s">
        <v>74</v>
      </c>
      <c r="AZ933" t="s">
        <v>74</v>
      </c>
      <c r="BA933" t="s">
        <v>74</v>
      </c>
      <c r="BB933">
        <v>1633</v>
      </c>
      <c r="BC933">
        <v>1640</v>
      </c>
      <c r="BD933" t="s">
        <v>74</v>
      </c>
      <c r="BE933" t="s">
        <v>17662</v>
      </c>
      <c r="BF933" t="str">
        <f>HYPERLINK("http://dx.doi.org/10.18520/cs/v119/i10/1633-1640","http://dx.doi.org/10.18520/cs/v119/i10/1633-1640")</f>
        <v>http://dx.doi.org/10.18520/cs/v119/i10/1633-1640</v>
      </c>
      <c r="BG933" t="s">
        <v>74</v>
      </c>
      <c r="BH933" t="s">
        <v>74</v>
      </c>
      <c r="BI933">
        <v>8</v>
      </c>
      <c r="BJ933" t="s">
        <v>534</v>
      </c>
      <c r="BK933" t="s">
        <v>103</v>
      </c>
      <c r="BL933" t="s">
        <v>535</v>
      </c>
      <c r="BM933" t="s">
        <v>17663</v>
      </c>
      <c r="BN933" t="s">
        <v>74</v>
      </c>
      <c r="BO933" t="s">
        <v>326</v>
      </c>
      <c r="BP933" t="s">
        <v>74</v>
      </c>
      <c r="BQ933" t="s">
        <v>74</v>
      </c>
      <c r="BR933" t="s">
        <v>106</v>
      </c>
      <c r="BS933" t="s">
        <v>17664</v>
      </c>
      <c r="BT933" t="str">
        <f>HYPERLINK("https%3A%2F%2Fwww.webofscience.com%2Fwos%2Fwoscc%2Ffull-record%2FWOS:000592585300019","View Full Record in Web of Science")</f>
        <v>View Full Record in Web of Science</v>
      </c>
    </row>
    <row r="934" spans="1:72" x14ac:dyDescent="0.15">
      <c r="A934" t="s">
        <v>72</v>
      </c>
      <c r="B934" t="s">
        <v>17665</v>
      </c>
      <c r="C934" t="s">
        <v>74</v>
      </c>
      <c r="D934" t="s">
        <v>74</v>
      </c>
      <c r="E934" t="s">
        <v>74</v>
      </c>
      <c r="F934" t="s">
        <v>17666</v>
      </c>
      <c r="G934" t="s">
        <v>74</v>
      </c>
      <c r="H934" t="s">
        <v>74</v>
      </c>
      <c r="I934" t="s">
        <v>17667</v>
      </c>
      <c r="J934" t="s">
        <v>17668</v>
      </c>
      <c r="K934" t="s">
        <v>74</v>
      </c>
      <c r="L934" t="s">
        <v>74</v>
      </c>
      <c r="M934" t="s">
        <v>78</v>
      </c>
      <c r="N934" t="s">
        <v>79</v>
      </c>
      <c r="O934" t="s">
        <v>74</v>
      </c>
      <c r="P934" t="s">
        <v>74</v>
      </c>
      <c r="Q934" t="s">
        <v>74</v>
      </c>
      <c r="R934" t="s">
        <v>74</v>
      </c>
      <c r="S934" t="s">
        <v>74</v>
      </c>
      <c r="T934" t="s">
        <v>17669</v>
      </c>
      <c r="U934" t="s">
        <v>17670</v>
      </c>
      <c r="V934" t="s">
        <v>17671</v>
      </c>
      <c r="W934" t="s">
        <v>17672</v>
      </c>
      <c r="X934" t="s">
        <v>17673</v>
      </c>
      <c r="Y934" t="s">
        <v>17674</v>
      </c>
      <c r="Z934" t="s">
        <v>17675</v>
      </c>
      <c r="AA934" t="s">
        <v>17676</v>
      </c>
      <c r="AB934" t="s">
        <v>17677</v>
      </c>
      <c r="AC934" t="s">
        <v>17678</v>
      </c>
      <c r="AD934" t="s">
        <v>17679</v>
      </c>
      <c r="AE934" t="s">
        <v>17680</v>
      </c>
      <c r="AF934" t="s">
        <v>74</v>
      </c>
      <c r="AG934">
        <v>64</v>
      </c>
      <c r="AH934">
        <v>4</v>
      </c>
      <c r="AI934">
        <v>4</v>
      </c>
      <c r="AJ934">
        <v>0</v>
      </c>
      <c r="AK934">
        <v>8</v>
      </c>
      <c r="AL934" t="s">
        <v>500</v>
      </c>
      <c r="AM934" t="s">
        <v>501</v>
      </c>
      <c r="AN934" t="s">
        <v>502</v>
      </c>
      <c r="AO934" t="s">
        <v>17681</v>
      </c>
      <c r="AP934" t="s">
        <v>74</v>
      </c>
      <c r="AQ934" t="s">
        <v>74</v>
      </c>
      <c r="AR934" t="s">
        <v>17682</v>
      </c>
      <c r="AS934" t="s">
        <v>17683</v>
      </c>
      <c r="AT934" t="s">
        <v>17661</v>
      </c>
      <c r="AU934">
        <v>2020</v>
      </c>
      <c r="AV934">
        <v>11</v>
      </c>
      <c r="AW934" t="s">
        <v>74</v>
      </c>
      <c r="AX934" t="s">
        <v>74</v>
      </c>
      <c r="AY934" t="s">
        <v>74</v>
      </c>
      <c r="AZ934" t="s">
        <v>74</v>
      </c>
      <c r="BA934" t="s">
        <v>74</v>
      </c>
      <c r="BB934" t="s">
        <v>74</v>
      </c>
      <c r="BC934" t="s">
        <v>74</v>
      </c>
      <c r="BD934">
        <v>588005</v>
      </c>
      <c r="BE934" t="s">
        <v>17684</v>
      </c>
      <c r="BF934" t="str">
        <f>HYPERLINK("http://dx.doi.org/10.3389/fpls.2020.588005","http://dx.doi.org/10.3389/fpls.2020.588005")</f>
        <v>http://dx.doi.org/10.3389/fpls.2020.588005</v>
      </c>
      <c r="BG934" t="s">
        <v>74</v>
      </c>
      <c r="BH934" t="s">
        <v>74</v>
      </c>
      <c r="BI934">
        <v>12</v>
      </c>
      <c r="BJ934" t="s">
        <v>7174</v>
      </c>
      <c r="BK934" t="s">
        <v>103</v>
      </c>
      <c r="BL934" t="s">
        <v>7174</v>
      </c>
      <c r="BM934" t="s">
        <v>17685</v>
      </c>
      <c r="BN934">
        <v>33324435</v>
      </c>
      <c r="BO934" t="s">
        <v>246</v>
      </c>
      <c r="BP934" t="s">
        <v>74</v>
      </c>
      <c r="BQ934" t="s">
        <v>74</v>
      </c>
      <c r="BR934" t="s">
        <v>106</v>
      </c>
      <c r="BS934" t="s">
        <v>17686</v>
      </c>
      <c r="BT934" t="str">
        <f>HYPERLINK("https%3A%2F%2Fwww.webofscience.com%2Fwos%2Fwoscc%2Ffull-record%2FWOS:000596554000001","View Full Record in Web of Science")</f>
        <v>View Full Record in Web of Science</v>
      </c>
    </row>
    <row r="935" spans="1:72" x14ac:dyDescent="0.15">
      <c r="A935" t="s">
        <v>72</v>
      </c>
      <c r="B935" t="s">
        <v>17687</v>
      </c>
      <c r="C935" t="s">
        <v>74</v>
      </c>
      <c r="D935" t="s">
        <v>74</v>
      </c>
      <c r="E935" t="s">
        <v>74</v>
      </c>
      <c r="F935" t="s">
        <v>17688</v>
      </c>
      <c r="G935" t="s">
        <v>74</v>
      </c>
      <c r="H935" t="s">
        <v>74</v>
      </c>
      <c r="I935" t="s">
        <v>17689</v>
      </c>
      <c r="J935" t="s">
        <v>17690</v>
      </c>
      <c r="K935" t="s">
        <v>74</v>
      </c>
      <c r="L935" t="s">
        <v>74</v>
      </c>
      <c r="M935" t="s">
        <v>78</v>
      </c>
      <c r="N935" t="s">
        <v>79</v>
      </c>
      <c r="O935" t="s">
        <v>74</v>
      </c>
      <c r="P935" t="s">
        <v>74</v>
      </c>
      <c r="Q935" t="s">
        <v>74</v>
      </c>
      <c r="R935" t="s">
        <v>74</v>
      </c>
      <c r="S935" t="s">
        <v>74</v>
      </c>
      <c r="T935" t="s">
        <v>17691</v>
      </c>
      <c r="U935" t="s">
        <v>74</v>
      </c>
      <c r="V935" t="s">
        <v>17692</v>
      </c>
      <c r="W935" t="s">
        <v>17693</v>
      </c>
      <c r="X935" t="s">
        <v>11124</v>
      </c>
      <c r="Y935" t="s">
        <v>17694</v>
      </c>
      <c r="Z935" t="s">
        <v>17695</v>
      </c>
      <c r="AA935" t="s">
        <v>17696</v>
      </c>
      <c r="AB935" t="s">
        <v>17697</v>
      </c>
      <c r="AC935" t="s">
        <v>17698</v>
      </c>
      <c r="AD935" t="s">
        <v>3377</v>
      </c>
      <c r="AE935" t="s">
        <v>17699</v>
      </c>
      <c r="AF935" t="s">
        <v>74</v>
      </c>
      <c r="AG935">
        <v>24</v>
      </c>
      <c r="AH935">
        <v>3</v>
      </c>
      <c r="AI935">
        <v>3</v>
      </c>
      <c r="AJ935">
        <v>0</v>
      </c>
      <c r="AK935">
        <v>2</v>
      </c>
      <c r="AL935" t="s">
        <v>11744</v>
      </c>
      <c r="AM935" t="s">
        <v>236</v>
      </c>
      <c r="AN935" t="s">
        <v>11745</v>
      </c>
      <c r="AO935" t="s">
        <v>17700</v>
      </c>
      <c r="AP935" t="s">
        <v>17701</v>
      </c>
      <c r="AQ935" t="s">
        <v>74</v>
      </c>
      <c r="AR935" t="s">
        <v>17702</v>
      </c>
      <c r="AS935" t="s">
        <v>17703</v>
      </c>
      <c r="AT935" t="s">
        <v>17661</v>
      </c>
      <c r="AU935">
        <v>2020</v>
      </c>
      <c r="AV935">
        <v>476</v>
      </c>
      <c r="AW935">
        <v>2243</v>
      </c>
      <c r="AX935" t="s">
        <v>74</v>
      </c>
      <c r="AY935" t="s">
        <v>74</v>
      </c>
      <c r="AZ935" t="s">
        <v>74</v>
      </c>
      <c r="BA935" t="s">
        <v>74</v>
      </c>
      <c r="BB935" t="s">
        <v>74</v>
      </c>
      <c r="BC935" t="s">
        <v>74</v>
      </c>
      <c r="BD935">
        <v>20200636</v>
      </c>
      <c r="BE935" t="s">
        <v>17704</v>
      </c>
      <c r="BF935" t="str">
        <f>HYPERLINK("http://dx.doi.org/10.1098/rspa.2020.0636","http://dx.doi.org/10.1098/rspa.2020.0636")</f>
        <v>http://dx.doi.org/10.1098/rspa.2020.0636</v>
      </c>
      <c r="BG935" t="s">
        <v>74</v>
      </c>
      <c r="BH935" t="s">
        <v>74</v>
      </c>
      <c r="BI935">
        <v>17</v>
      </c>
      <c r="BJ935" t="s">
        <v>534</v>
      </c>
      <c r="BK935" t="s">
        <v>103</v>
      </c>
      <c r="BL935" t="s">
        <v>535</v>
      </c>
      <c r="BM935" t="s">
        <v>17705</v>
      </c>
      <c r="BN935">
        <v>33362424</v>
      </c>
      <c r="BO935" t="s">
        <v>586</v>
      </c>
      <c r="BP935" t="s">
        <v>74</v>
      </c>
      <c r="BQ935" t="s">
        <v>74</v>
      </c>
      <c r="BR935" t="s">
        <v>106</v>
      </c>
      <c r="BS935" t="s">
        <v>17706</v>
      </c>
      <c r="BT935" t="str">
        <f>HYPERLINK("https%3A%2F%2Fwww.webofscience.com%2Fwos%2Fwoscc%2Ffull-record%2FWOS:000595763500001","View Full Record in Web of Science")</f>
        <v>View Full Record in Web of Science</v>
      </c>
    </row>
    <row r="936" spans="1:72" x14ac:dyDescent="0.15">
      <c r="A936" t="s">
        <v>72</v>
      </c>
      <c r="B936" t="s">
        <v>17707</v>
      </c>
      <c r="C936" t="s">
        <v>74</v>
      </c>
      <c r="D936" t="s">
        <v>74</v>
      </c>
      <c r="E936" t="s">
        <v>74</v>
      </c>
      <c r="F936" t="s">
        <v>17708</v>
      </c>
      <c r="G936" t="s">
        <v>74</v>
      </c>
      <c r="H936" t="s">
        <v>74</v>
      </c>
      <c r="I936" t="s">
        <v>17709</v>
      </c>
      <c r="J936" t="s">
        <v>140</v>
      </c>
      <c r="K936" t="s">
        <v>74</v>
      </c>
      <c r="L936" t="s">
        <v>74</v>
      </c>
      <c r="M936" t="s">
        <v>78</v>
      </c>
      <c r="N936" t="s">
        <v>79</v>
      </c>
      <c r="O936" t="s">
        <v>74</v>
      </c>
      <c r="P936" t="s">
        <v>74</v>
      </c>
      <c r="Q936" t="s">
        <v>74</v>
      </c>
      <c r="R936" t="s">
        <v>74</v>
      </c>
      <c r="S936" t="s">
        <v>74</v>
      </c>
      <c r="T936" t="s">
        <v>74</v>
      </c>
      <c r="U936" t="s">
        <v>17710</v>
      </c>
      <c r="V936" t="s">
        <v>17711</v>
      </c>
      <c r="W936" t="s">
        <v>17712</v>
      </c>
      <c r="X936" t="s">
        <v>17713</v>
      </c>
      <c r="Y936" t="s">
        <v>17714</v>
      </c>
      <c r="Z936" t="s">
        <v>17715</v>
      </c>
      <c r="AA936" t="s">
        <v>17716</v>
      </c>
      <c r="AB936" t="s">
        <v>17717</v>
      </c>
      <c r="AC936" t="s">
        <v>17718</v>
      </c>
      <c r="AD936" t="s">
        <v>17719</v>
      </c>
      <c r="AE936" t="s">
        <v>17720</v>
      </c>
      <c r="AF936" t="s">
        <v>74</v>
      </c>
      <c r="AG936">
        <v>69</v>
      </c>
      <c r="AH936">
        <v>15</v>
      </c>
      <c r="AI936">
        <v>19</v>
      </c>
      <c r="AJ936">
        <v>2</v>
      </c>
      <c r="AK936">
        <v>12</v>
      </c>
      <c r="AL936" t="s">
        <v>123</v>
      </c>
      <c r="AM936" t="s">
        <v>124</v>
      </c>
      <c r="AN936" t="s">
        <v>125</v>
      </c>
      <c r="AO936" t="s">
        <v>152</v>
      </c>
      <c r="AP936" t="s">
        <v>153</v>
      </c>
      <c r="AQ936" t="s">
        <v>74</v>
      </c>
      <c r="AR936" t="s">
        <v>140</v>
      </c>
      <c r="AS936" t="s">
        <v>154</v>
      </c>
      <c r="AT936" t="s">
        <v>17661</v>
      </c>
      <c r="AU936">
        <v>2020</v>
      </c>
      <c r="AV936">
        <v>14</v>
      </c>
      <c r="AW936">
        <v>11</v>
      </c>
      <c r="AX936" t="s">
        <v>74</v>
      </c>
      <c r="AY936" t="s">
        <v>74</v>
      </c>
      <c r="AZ936" t="s">
        <v>74</v>
      </c>
      <c r="BA936" t="s">
        <v>74</v>
      </c>
      <c r="BB936">
        <v>4181</v>
      </c>
      <c r="BC936">
        <v>4199</v>
      </c>
      <c r="BD936" t="s">
        <v>74</v>
      </c>
      <c r="BE936" t="s">
        <v>17721</v>
      </c>
      <c r="BF936" t="str">
        <f>HYPERLINK("http://dx.doi.org/10.5194/tc-14-4181-2020","http://dx.doi.org/10.5194/tc-14-4181-2020")</f>
        <v>http://dx.doi.org/10.5194/tc-14-4181-2020</v>
      </c>
      <c r="BG936" t="s">
        <v>74</v>
      </c>
      <c r="BH936" t="s">
        <v>74</v>
      </c>
      <c r="BI936">
        <v>19</v>
      </c>
      <c r="BJ936" t="s">
        <v>156</v>
      </c>
      <c r="BK936" t="s">
        <v>103</v>
      </c>
      <c r="BL936" t="s">
        <v>157</v>
      </c>
      <c r="BM936" t="s">
        <v>17722</v>
      </c>
      <c r="BN936" t="s">
        <v>74</v>
      </c>
      <c r="BO936" t="s">
        <v>159</v>
      </c>
      <c r="BP936" t="s">
        <v>74</v>
      </c>
      <c r="BQ936" t="s">
        <v>74</v>
      </c>
      <c r="BR936" t="s">
        <v>106</v>
      </c>
      <c r="BS936" t="s">
        <v>17723</v>
      </c>
      <c r="BT936" t="str">
        <f>HYPERLINK("https%3A%2F%2Fwww.webofscience.com%2Fwos%2Fwoscc%2Ffull-record%2FWOS:000595529500001","View Full Record in Web of Science")</f>
        <v>View Full Record in Web of Science</v>
      </c>
    </row>
    <row r="937" spans="1:72" x14ac:dyDescent="0.15">
      <c r="A937" t="s">
        <v>72</v>
      </c>
      <c r="B937" t="s">
        <v>17724</v>
      </c>
      <c r="C937" t="s">
        <v>74</v>
      </c>
      <c r="D937" t="s">
        <v>74</v>
      </c>
      <c r="E937" t="s">
        <v>74</v>
      </c>
      <c r="F937" t="s">
        <v>17725</v>
      </c>
      <c r="G937" t="s">
        <v>74</v>
      </c>
      <c r="H937" t="s">
        <v>74</v>
      </c>
      <c r="I937" t="s">
        <v>17726</v>
      </c>
      <c r="J937" t="s">
        <v>487</v>
      </c>
      <c r="K937" t="s">
        <v>74</v>
      </c>
      <c r="L937" t="s">
        <v>74</v>
      </c>
      <c r="M937" t="s">
        <v>78</v>
      </c>
      <c r="N937" t="s">
        <v>79</v>
      </c>
      <c r="O937" t="s">
        <v>74</v>
      </c>
      <c r="P937" t="s">
        <v>74</v>
      </c>
      <c r="Q937" t="s">
        <v>74</v>
      </c>
      <c r="R937" t="s">
        <v>74</v>
      </c>
      <c r="S937" t="s">
        <v>74</v>
      </c>
      <c r="T937" t="s">
        <v>17727</v>
      </c>
      <c r="U937" t="s">
        <v>74</v>
      </c>
      <c r="V937" t="s">
        <v>17728</v>
      </c>
      <c r="W937" t="s">
        <v>17729</v>
      </c>
      <c r="X937" t="s">
        <v>17730</v>
      </c>
      <c r="Y937" t="s">
        <v>17731</v>
      </c>
      <c r="Z937" t="s">
        <v>17732</v>
      </c>
      <c r="AA937" t="s">
        <v>17733</v>
      </c>
      <c r="AB937" t="s">
        <v>17734</v>
      </c>
      <c r="AC937" t="s">
        <v>17735</v>
      </c>
      <c r="AD937" t="s">
        <v>17736</v>
      </c>
      <c r="AE937" t="s">
        <v>17737</v>
      </c>
      <c r="AF937" t="s">
        <v>74</v>
      </c>
      <c r="AG937">
        <v>19</v>
      </c>
      <c r="AH937">
        <v>6</v>
      </c>
      <c r="AI937">
        <v>6</v>
      </c>
      <c r="AJ937">
        <v>0</v>
      </c>
      <c r="AK937">
        <v>17</v>
      </c>
      <c r="AL937" t="s">
        <v>500</v>
      </c>
      <c r="AM937" t="s">
        <v>501</v>
      </c>
      <c r="AN937" t="s">
        <v>502</v>
      </c>
      <c r="AO937" t="s">
        <v>74</v>
      </c>
      <c r="AP937" t="s">
        <v>503</v>
      </c>
      <c r="AQ937" t="s">
        <v>74</v>
      </c>
      <c r="AR937" t="s">
        <v>504</v>
      </c>
      <c r="AS937" t="s">
        <v>505</v>
      </c>
      <c r="AT937" t="s">
        <v>17661</v>
      </c>
      <c r="AU937">
        <v>2020</v>
      </c>
      <c r="AV937">
        <v>7</v>
      </c>
      <c r="AW937" t="s">
        <v>74</v>
      </c>
      <c r="AX937" t="s">
        <v>74</v>
      </c>
      <c r="AY937" t="s">
        <v>74</v>
      </c>
      <c r="AZ937" t="s">
        <v>74</v>
      </c>
      <c r="BA937" t="s">
        <v>74</v>
      </c>
      <c r="BB937" t="s">
        <v>74</v>
      </c>
      <c r="BC937" t="s">
        <v>74</v>
      </c>
      <c r="BD937">
        <v>581139</v>
      </c>
      <c r="BE937" t="s">
        <v>17738</v>
      </c>
      <c r="BF937" t="str">
        <f>HYPERLINK("http://dx.doi.org/10.3389/fmars.2020.581139","http://dx.doi.org/10.3389/fmars.2020.581139")</f>
        <v>http://dx.doi.org/10.3389/fmars.2020.581139</v>
      </c>
      <c r="BG937" t="s">
        <v>74</v>
      </c>
      <c r="BH937" t="s">
        <v>74</v>
      </c>
      <c r="BI937">
        <v>17</v>
      </c>
      <c r="BJ937" t="s">
        <v>507</v>
      </c>
      <c r="BK937" t="s">
        <v>103</v>
      </c>
      <c r="BL937" t="s">
        <v>508</v>
      </c>
      <c r="BM937" t="s">
        <v>17739</v>
      </c>
      <c r="BN937" t="s">
        <v>74</v>
      </c>
      <c r="BO937" t="s">
        <v>3137</v>
      </c>
      <c r="BP937" t="s">
        <v>74</v>
      </c>
      <c r="BQ937" t="s">
        <v>74</v>
      </c>
      <c r="BR937" t="s">
        <v>106</v>
      </c>
      <c r="BS937" t="s">
        <v>17740</v>
      </c>
      <c r="BT937" t="str">
        <f>HYPERLINK("https%3A%2F%2Fwww.webofscience.com%2Fwos%2Fwoscc%2Ffull-record%2FWOS:000596567700001","View Full Record in Web of Science")</f>
        <v>View Full Record in Web of Science</v>
      </c>
    </row>
    <row r="938" spans="1:72" x14ac:dyDescent="0.15">
      <c r="A938" t="s">
        <v>72</v>
      </c>
      <c r="B938" t="s">
        <v>17741</v>
      </c>
      <c r="C938" t="s">
        <v>74</v>
      </c>
      <c r="D938" t="s">
        <v>74</v>
      </c>
      <c r="E938" t="s">
        <v>74</v>
      </c>
      <c r="F938" t="s">
        <v>17742</v>
      </c>
      <c r="G938" t="s">
        <v>74</v>
      </c>
      <c r="H938" t="s">
        <v>74</v>
      </c>
      <c r="I938" t="s">
        <v>17743</v>
      </c>
      <c r="J938" t="s">
        <v>77</v>
      </c>
      <c r="K938" t="s">
        <v>74</v>
      </c>
      <c r="L938" t="s">
        <v>74</v>
      </c>
      <c r="M938" t="s">
        <v>78</v>
      </c>
      <c r="N938" t="s">
        <v>79</v>
      </c>
      <c r="O938" t="s">
        <v>74</v>
      </c>
      <c r="P938" t="s">
        <v>74</v>
      </c>
      <c r="Q938" t="s">
        <v>74</v>
      </c>
      <c r="R938" t="s">
        <v>74</v>
      </c>
      <c r="S938" t="s">
        <v>74</v>
      </c>
      <c r="T938" t="s">
        <v>17744</v>
      </c>
      <c r="U938" t="s">
        <v>17745</v>
      </c>
      <c r="V938" t="s">
        <v>17746</v>
      </c>
      <c r="W938" t="s">
        <v>17747</v>
      </c>
      <c r="X938" t="s">
        <v>17748</v>
      </c>
      <c r="Y938" t="s">
        <v>17749</v>
      </c>
      <c r="Z938" t="s">
        <v>17750</v>
      </c>
      <c r="AA938" t="s">
        <v>74</v>
      </c>
      <c r="AB938" t="s">
        <v>17751</v>
      </c>
      <c r="AC938" t="s">
        <v>17752</v>
      </c>
      <c r="AD938" t="s">
        <v>17753</v>
      </c>
      <c r="AE938" t="s">
        <v>17754</v>
      </c>
      <c r="AF938" t="s">
        <v>74</v>
      </c>
      <c r="AG938">
        <v>57</v>
      </c>
      <c r="AH938">
        <v>17</v>
      </c>
      <c r="AI938">
        <v>17</v>
      </c>
      <c r="AJ938">
        <v>6</v>
      </c>
      <c r="AK938">
        <v>60</v>
      </c>
      <c r="AL938" t="s">
        <v>92</v>
      </c>
      <c r="AM938" t="s">
        <v>93</v>
      </c>
      <c r="AN938" t="s">
        <v>94</v>
      </c>
      <c r="AO938" t="s">
        <v>95</v>
      </c>
      <c r="AP938" t="s">
        <v>96</v>
      </c>
      <c r="AQ938" t="s">
        <v>74</v>
      </c>
      <c r="AR938" t="s">
        <v>97</v>
      </c>
      <c r="AS938" t="s">
        <v>98</v>
      </c>
      <c r="AT938" t="s">
        <v>17661</v>
      </c>
      <c r="AU938">
        <v>2020</v>
      </c>
      <c r="AV938">
        <v>745</v>
      </c>
      <c r="AW938" t="s">
        <v>74</v>
      </c>
      <c r="AX938" t="s">
        <v>74</v>
      </c>
      <c r="AY938" t="s">
        <v>74</v>
      </c>
      <c r="AZ938" t="s">
        <v>74</v>
      </c>
      <c r="BA938" t="s">
        <v>74</v>
      </c>
      <c r="BB938" t="s">
        <v>74</v>
      </c>
      <c r="BC938" t="s">
        <v>74</v>
      </c>
      <c r="BD938">
        <v>140773</v>
      </c>
      <c r="BE938" t="s">
        <v>17755</v>
      </c>
      <c r="BF938" t="str">
        <f>HYPERLINK("http://dx.doi.org/10.1016/j.scitotenv.2020.140773","http://dx.doi.org/10.1016/j.scitotenv.2020.140773")</f>
        <v>http://dx.doi.org/10.1016/j.scitotenv.2020.140773</v>
      </c>
      <c r="BG938" t="s">
        <v>74</v>
      </c>
      <c r="BH938" t="s">
        <v>74</v>
      </c>
      <c r="BI938">
        <v>8</v>
      </c>
      <c r="BJ938" t="s">
        <v>102</v>
      </c>
      <c r="BK938" t="s">
        <v>103</v>
      </c>
      <c r="BL938" t="s">
        <v>104</v>
      </c>
      <c r="BM938" t="s">
        <v>17756</v>
      </c>
      <c r="BN938">
        <v>32717597</v>
      </c>
      <c r="BO938" t="s">
        <v>74</v>
      </c>
      <c r="BP938" t="s">
        <v>74</v>
      </c>
      <c r="BQ938" t="s">
        <v>74</v>
      </c>
      <c r="BR938" t="s">
        <v>106</v>
      </c>
      <c r="BS938" t="s">
        <v>17757</v>
      </c>
      <c r="BT938" t="str">
        <f>HYPERLINK("https%3A%2F%2Fwww.webofscience.com%2Fwos%2Fwoscc%2Ffull-record%2FWOS:000579365600024","View Full Record in Web of Science")</f>
        <v>View Full Record in Web of Science</v>
      </c>
    </row>
    <row r="939" spans="1:72" x14ac:dyDescent="0.15">
      <c r="A939" t="s">
        <v>72</v>
      </c>
      <c r="B939" t="s">
        <v>17758</v>
      </c>
      <c r="C939" t="s">
        <v>74</v>
      </c>
      <c r="D939" t="s">
        <v>74</v>
      </c>
      <c r="E939" t="s">
        <v>74</v>
      </c>
      <c r="F939" t="s">
        <v>17759</v>
      </c>
      <c r="G939" t="s">
        <v>74</v>
      </c>
      <c r="H939" t="s">
        <v>74</v>
      </c>
      <c r="I939" t="s">
        <v>17760</v>
      </c>
      <c r="J939" t="s">
        <v>140</v>
      </c>
      <c r="K939" t="s">
        <v>74</v>
      </c>
      <c r="L939" t="s">
        <v>74</v>
      </c>
      <c r="M939" t="s">
        <v>78</v>
      </c>
      <c r="N939" t="s">
        <v>79</v>
      </c>
      <c r="O939" t="s">
        <v>74</v>
      </c>
      <c r="P939" t="s">
        <v>74</v>
      </c>
      <c r="Q939" t="s">
        <v>74</v>
      </c>
      <c r="R939" t="s">
        <v>74</v>
      </c>
      <c r="S939" t="s">
        <v>74</v>
      </c>
      <c r="T939" t="s">
        <v>74</v>
      </c>
      <c r="U939" t="s">
        <v>17761</v>
      </c>
      <c r="V939" t="s">
        <v>17762</v>
      </c>
      <c r="W939" t="s">
        <v>17763</v>
      </c>
      <c r="X939" t="s">
        <v>17764</v>
      </c>
      <c r="Y939" t="s">
        <v>17765</v>
      </c>
      <c r="Z939" t="s">
        <v>17766</v>
      </c>
      <c r="AA939" t="s">
        <v>17767</v>
      </c>
      <c r="AB939" t="s">
        <v>17768</v>
      </c>
      <c r="AC939" t="s">
        <v>17769</v>
      </c>
      <c r="AD939" t="s">
        <v>150</v>
      </c>
      <c r="AE939" t="s">
        <v>17770</v>
      </c>
      <c r="AF939" t="s">
        <v>74</v>
      </c>
      <c r="AG939">
        <v>35</v>
      </c>
      <c r="AH939">
        <v>13</v>
      </c>
      <c r="AI939">
        <v>14</v>
      </c>
      <c r="AJ939">
        <v>1</v>
      </c>
      <c r="AK939">
        <v>3</v>
      </c>
      <c r="AL939" t="s">
        <v>123</v>
      </c>
      <c r="AM939" t="s">
        <v>124</v>
      </c>
      <c r="AN939" t="s">
        <v>125</v>
      </c>
      <c r="AO939" t="s">
        <v>152</v>
      </c>
      <c r="AP939" t="s">
        <v>153</v>
      </c>
      <c r="AQ939" t="s">
        <v>74</v>
      </c>
      <c r="AR939" t="s">
        <v>140</v>
      </c>
      <c r="AS939" t="s">
        <v>154</v>
      </c>
      <c r="AT939" t="s">
        <v>17771</v>
      </c>
      <c r="AU939">
        <v>2020</v>
      </c>
      <c r="AV939">
        <v>14</v>
      </c>
      <c r="AW939">
        <v>11</v>
      </c>
      <c r="AX939" t="s">
        <v>74</v>
      </c>
      <c r="AY939" t="s">
        <v>74</v>
      </c>
      <c r="AZ939" t="s">
        <v>74</v>
      </c>
      <c r="BA939" t="s">
        <v>74</v>
      </c>
      <c r="BB939">
        <v>4165</v>
      </c>
      <c r="BC939">
        <v>4180</v>
      </c>
      <c r="BD939" t="s">
        <v>74</v>
      </c>
      <c r="BE939" t="s">
        <v>17772</v>
      </c>
      <c r="BF939" t="str">
        <f>HYPERLINK("http://dx.doi.org/10.5194/tc-14-4165-2020","http://dx.doi.org/10.5194/tc-14-4165-2020")</f>
        <v>http://dx.doi.org/10.5194/tc-14-4165-2020</v>
      </c>
      <c r="BG939" t="s">
        <v>74</v>
      </c>
      <c r="BH939" t="s">
        <v>74</v>
      </c>
      <c r="BI939">
        <v>16</v>
      </c>
      <c r="BJ939" t="s">
        <v>156</v>
      </c>
      <c r="BK939" t="s">
        <v>103</v>
      </c>
      <c r="BL939" t="s">
        <v>157</v>
      </c>
      <c r="BM939" t="s">
        <v>17773</v>
      </c>
      <c r="BN939" t="s">
        <v>74</v>
      </c>
      <c r="BO939" t="s">
        <v>1122</v>
      </c>
      <c r="BP939" t="s">
        <v>74</v>
      </c>
      <c r="BQ939" t="s">
        <v>74</v>
      </c>
      <c r="BR939" t="s">
        <v>106</v>
      </c>
      <c r="BS939" t="s">
        <v>17774</v>
      </c>
      <c r="BT939" t="str">
        <f>HYPERLINK("https%3A%2F%2Fwww.webofscience.com%2Fwos%2Fwoscc%2Ffull-record%2FWOS:000595510400001","View Full Record in Web of Science")</f>
        <v>View Full Record in Web of Science</v>
      </c>
    </row>
    <row r="940" spans="1:72" x14ac:dyDescent="0.15">
      <c r="A940" t="s">
        <v>72</v>
      </c>
      <c r="B940" t="s">
        <v>17775</v>
      </c>
      <c r="C940" t="s">
        <v>74</v>
      </c>
      <c r="D940" t="s">
        <v>74</v>
      </c>
      <c r="E940" t="s">
        <v>74</v>
      </c>
      <c r="F940" t="s">
        <v>17776</v>
      </c>
      <c r="G940" t="s">
        <v>74</v>
      </c>
      <c r="H940" t="s">
        <v>74</v>
      </c>
      <c r="I940" t="s">
        <v>17777</v>
      </c>
      <c r="J940" t="s">
        <v>12465</v>
      </c>
      <c r="K940" t="s">
        <v>74</v>
      </c>
      <c r="L940" t="s">
        <v>74</v>
      </c>
      <c r="M940" t="s">
        <v>78</v>
      </c>
      <c r="N940" t="s">
        <v>79</v>
      </c>
      <c r="O940" t="s">
        <v>74</v>
      </c>
      <c r="P940" t="s">
        <v>74</v>
      </c>
      <c r="Q940" t="s">
        <v>74</v>
      </c>
      <c r="R940" t="s">
        <v>74</v>
      </c>
      <c r="S940" t="s">
        <v>74</v>
      </c>
      <c r="T940" t="s">
        <v>74</v>
      </c>
      <c r="U940" t="s">
        <v>17778</v>
      </c>
      <c r="V940" t="s">
        <v>17779</v>
      </c>
      <c r="W940" t="s">
        <v>17780</v>
      </c>
      <c r="X940" t="s">
        <v>17781</v>
      </c>
      <c r="Y940" t="s">
        <v>17782</v>
      </c>
      <c r="Z940" t="s">
        <v>17783</v>
      </c>
      <c r="AA940" t="s">
        <v>17784</v>
      </c>
      <c r="AB940" t="s">
        <v>17785</v>
      </c>
      <c r="AC940" t="s">
        <v>17786</v>
      </c>
      <c r="AD940" t="s">
        <v>17787</v>
      </c>
      <c r="AE940" t="s">
        <v>17788</v>
      </c>
      <c r="AF940" t="s">
        <v>74</v>
      </c>
      <c r="AG940">
        <v>131</v>
      </c>
      <c r="AH940">
        <v>8</v>
      </c>
      <c r="AI940">
        <v>8</v>
      </c>
      <c r="AJ940">
        <v>0</v>
      </c>
      <c r="AK940">
        <v>3</v>
      </c>
      <c r="AL940" t="s">
        <v>552</v>
      </c>
      <c r="AM940" t="s">
        <v>553</v>
      </c>
      <c r="AN940" t="s">
        <v>554</v>
      </c>
      <c r="AO940" t="s">
        <v>12477</v>
      </c>
      <c r="AP940" t="s">
        <v>12478</v>
      </c>
      <c r="AQ940" t="s">
        <v>74</v>
      </c>
      <c r="AR940" t="s">
        <v>12479</v>
      </c>
      <c r="AS940" t="s">
        <v>12480</v>
      </c>
      <c r="AT940" t="s">
        <v>12678</v>
      </c>
      <c r="AU940">
        <v>2020</v>
      </c>
      <c r="AV940">
        <v>55</v>
      </c>
      <c r="AW940">
        <v>12</v>
      </c>
      <c r="AX940" t="s">
        <v>74</v>
      </c>
      <c r="AY940" t="s">
        <v>74</v>
      </c>
      <c r="AZ940" t="s">
        <v>74</v>
      </c>
      <c r="BA940" t="s">
        <v>74</v>
      </c>
      <c r="BB940">
        <v>2703</v>
      </c>
      <c r="BC940">
        <v>2726</v>
      </c>
      <c r="BD940" t="s">
        <v>74</v>
      </c>
      <c r="BE940" t="s">
        <v>17789</v>
      </c>
      <c r="BF940" t="str">
        <f>HYPERLINK("http://dx.doi.org/10.1111/maps.13599","http://dx.doi.org/10.1111/maps.13599")</f>
        <v>http://dx.doi.org/10.1111/maps.13599</v>
      </c>
      <c r="BG940" t="s">
        <v>74</v>
      </c>
      <c r="BH940" t="s">
        <v>17215</v>
      </c>
      <c r="BI940">
        <v>24</v>
      </c>
      <c r="BJ940" t="s">
        <v>426</v>
      </c>
      <c r="BK940" t="s">
        <v>103</v>
      </c>
      <c r="BL940" t="s">
        <v>426</v>
      </c>
      <c r="BM940" t="s">
        <v>12680</v>
      </c>
      <c r="BN940" t="s">
        <v>74</v>
      </c>
      <c r="BO940" t="s">
        <v>2149</v>
      </c>
      <c r="BP940" t="s">
        <v>74</v>
      </c>
      <c r="BQ940" t="s">
        <v>74</v>
      </c>
      <c r="BR940" t="s">
        <v>106</v>
      </c>
      <c r="BS940" t="s">
        <v>17790</v>
      </c>
      <c r="BT940" t="str">
        <f>HYPERLINK("https%3A%2F%2Fwww.webofscience.com%2Fwos%2Fwoscc%2Ffull-record%2FWOS:000591660900001","View Full Record in Web of Science")</f>
        <v>View Full Record in Web of Science</v>
      </c>
    </row>
    <row r="941" spans="1:72" x14ac:dyDescent="0.15">
      <c r="A941" t="s">
        <v>72</v>
      </c>
      <c r="B941" t="s">
        <v>17791</v>
      </c>
      <c r="C941" t="s">
        <v>74</v>
      </c>
      <c r="D941" t="s">
        <v>74</v>
      </c>
      <c r="E941" t="s">
        <v>74</v>
      </c>
      <c r="F941" t="s">
        <v>17792</v>
      </c>
      <c r="G941" t="s">
        <v>74</v>
      </c>
      <c r="H941" t="s">
        <v>74</v>
      </c>
      <c r="I941" t="s">
        <v>17793</v>
      </c>
      <c r="J941" t="s">
        <v>17794</v>
      </c>
      <c r="K941" t="s">
        <v>74</v>
      </c>
      <c r="L941" t="s">
        <v>74</v>
      </c>
      <c r="M941" t="s">
        <v>78</v>
      </c>
      <c r="N941" t="s">
        <v>79</v>
      </c>
      <c r="O941" t="s">
        <v>74</v>
      </c>
      <c r="P941" t="s">
        <v>74</v>
      </c>
      <c r="Q941" t="s">
        <v>74</v>
      </c>
      <c r="R941" t="s">
        <v>74</v>
      </c>
      <c r="S941" t="s">
        <v>74</v>
      </c>
      <c r="T941" t="s">
        <v>17795</v>
      </c>
      <c r="U941" t="s">
        <v>74</v>
      </c>
      <c r="V941" t="s">
        <v>17796</v>
      </c>
      <c r="W941" t="s">
        <v>17797</v>
      </c>
      <c r="X941" t="s">
        <v>17798</v>
      </c>
      <c r="Y941" t="s">
        <v>17799</v>
      </c>
      <c r="Z941" t="s">
        <v>17800</v>
      </c>
      <c r="AA941" t="s">
        <v>74</v>
      </c>
      <c r="AB941" t="s">
        <v>17801</v>
      </c>
      <c r="AC941" t="s">
        <v>17802</v>
      </c>
      <c r="AD941" t="s">
        <v>17802</v>
      </c>
      <c r="AE941" t="s">
        <v>17803</v>
      </c>
      <c r="AF941" t="s">
        <v>74</v>
      </c>
      <c r="AG941">
        <v>90</v>
      </c>
      <c r="AH941">
        <v>3</v>
      </c>
      <c r="AI941">
        <v>4</v>
      </c>
      <c r="AJ941">
        <v>0</v>
      </c>
      <c r="AK941">
        <v>11</v>
      </c>
      <c r="AL941" t="s">
        <v>2630</v>
      </c>
      <c r="AM941" t="s">
        <v>2631</v>
      </c>
      <c r="AN941" t="s">
        <v>2632</v>
      </c>
      <c r="AO941" t="s">
        <v>17804</v>
      </c>
      <c r="AP941" t="s">
        <v>17805</v>
      </c>
      <c r="AQ941" t="s">
        <v>74</v>
      </c>
      <c r="AR941" t="s">
        <v>17806</v>
      </c>
      <c r="AS941" t="s">
        <v>17807</v>
      </c>
      <c r="AT941" t="s">
        <v>17808</v>
      </c>
      <c r="AU941">
        <v>2022</v>
      </c>
      <c r="AV941">
        <v>19</v>
      </c>
      <c r="AW941">
        <v>2</v>
      </c>
      <c r="AX941" t="s">
        <v>74</v>
      </c>
      <c r="AY941" t="s">
        <v>74</v>
      </c>
      <c r="AZ941" t="s">
        <v>74</v>
      </c>
      <c r="BA941" t="s">
        <v>74</v>
      </c>
      <c r="BB941">
        <v>184</v>
      </c>
      <c r="BC941">
        <v>211</v>
      </c>
      <c r="BD941" t="s">
        <v>74</v>
      </c>
      <c r="BE941" t="s">
        <v>17809</v>
      </c>
      <c r="BF941" t="str">
        <f>HYPERLINK("http://dx.doi.org/10.1080/19390211.2020.1853649","http://dx.doi.org/10.1080/19390211.2020.1853649")</f>
        <v>http://dx.doi.org/10.1080/19390211.2020.1853649</v>
      </c>
      <c r="BG941" t="s">
        <v>74</v>
      </c>
      <c r="BH941" t="s">
        <v>17215</v>
      </c>
      <c r="BI941">
        <v>28</v>
      </c>
      <c r="BJ941" t="s">
        <v>17810</v>
      </c>
      <c r="BK941" t="s">
        <v>3050</v>
      </c>
      <c r="BL941" t="s">
        <v>17810</v>
      </c>
      <c r="BM941" t="s">
        <v>17811</v>
      </c>
      <c r="BN941">
        <v>33292022</v>
      </c>
      <c r="BO941" t="s">
        <v>74</v>
      </c>
      <c r="BP941" t="s">
        <v>74</v>
      </c>
      <c r="BQ941" t="s">
        <v>74</v>
      </c>
      <c r="BR941" t="s">
        <v>106</v>
      </c>
      <c r="BS941" t="s">
        <v>17812</v>
      </c>
      <c r="BT941" t="str">
        <f>HYPERLINK("https%3A%2F%2Fwww.webofscience.com%2Fwos%2Fwoscc%2Ffull-record%2FWOS:000597020900001","View Full Record in Web of Science")</f>
        <v>View Full Record in Web of Science</v>
      </c>
    </row>
    <row r="942" spans="1:72" x14ac:dyDescent="0.15">
      <c r="A942" t="s">
        <v>72</v>
      </c>
      <c r="B942" t="s">
        <v>17813</v>
      </c>
      <c r="C942" t="s">
        <v>74</v>
      </c>
      <c r="D942" t="s">
        <v>74</v>
      </c>
      <c r="E942" t="s">
        <v>74</v>
      </c>
      <c r="F942" t="s">
        <v>17814</v>
      </c>
      <c r="G942" t="s">
        <v>74</v>
      </c>
      <c r="H942" t="s">
        <v>74</v>
      </c>
      <c r="I942" t="s">
        <v>17815</v>
      </c>
      <c r="J942" t="s">
        <v>17816</v>
      </c>
      <c r="K942" t="s">
        <v>74</v>
      </c>
      <c r="L942" t="s">
        <v>74</v>
      </c>
      <c r="M942" t="s">
        <v>78</v>
      </c>
      <c r="N942" t="s">
        <v>79</v>
      </c>
      <c r="O942" t="s">
        <v>74</v>
      </c>
      <c r="P942" t="s">
        <v>74</v>
      </c>
      <c r="Q942" t="s">
        <v>74</v>
      </c>
      <c r="R942" t="s">
        <v>74</v>
      </c>
      <c r="S942" t="s">
        <v>74</v>
      </c>
      <c r="T942" t="s">
        <v>74</v>
      </c>
      <c r="U942" t="s">
        <v>17817</v>
      </c>
      <c r="V942" t="s">
        <v>17818</v>
      </c>
      <c r="W942" t="s">
        <v>17819</v>
      </c>
      <c r="X942" t="s">
        <v>17820</v>
      </c>
      <c r="Y942" t="s">
        <v>17821</v>
      </c>
      <c r="Z942" t="s">
        <v>17822</v>
      </c>
      <c r="AA942" t="s">
        <v>17823</v>
      </c>
      <c r="AB942" t="s">
        <v>17824</v>
      </c>
      <c r="AC942" t="s">
        <v>17825</v>
      </c>
      <c r="AD942" t="s">
        <v>17826</v>
      </c>
      <c r="AE942" t="s">
        <v>17827</v>
      </c>
      <c r="AF942" t="s">
        <v>74</v>
      </c>
      <c r="AG942">
        <v>95</v>
      </c>
      <c r="AH942">
        <v>4</v>
      </c>
      <c r="AI942">
        <v>4</v>
      </c>
      <c r="AJ942">
        <v>1</v>
      </c>
      <c r="AK942">
        <v>20</v>
      </c>
      <c r="AL942" t="s">
        <v>552</v>
      </c>
      <c r="AM942" t="s">
        <v>553</v>
      </c>
      <c r="AN942" t="s">
        <v>554</v>
      </c>
      <c r="AO942" t="s">
        <v>17828</v>
      </c>
      <c r="AP942" t="s">
        <v>17829</v>
      </c>
      <c r="AQ942" t="s">
        <v>74</v>
      </c>
      <c r="AR942" t="s">
        <v>17830</v>
      </c>
      <c r="AS942" t="s">
        <v>17831</v>
      </c>
      <c r="AT942" t="s">
        <v>184</v>
      </c>
      <c r="AU942">
        <v>2021</v>
      </c>
      <c r="AV942">
        <v>98</v>
      </c>
      <c r="AW942">
        <v>2</v>
      </c>
      <c r="AX942" t="s">
        <v>74</v>
      </c>
      <c r="AY942" t="s">
        <v>74</v>
      </c>
      <c r="AZ942" t="s">
        <v>582</v>
      </c>
      <c r="BA942" t="s">
        <v>74</v>
      </c>
      <c r="BB942">
        <v>526</v>
      </c>
      <c r="BC942">
        <v>536</v>
      </c>
      <c r="BD942" t="s">
        <v>74</v>
      </c>
      <c r="BE942" t="s">
        <v>17832</v>
      </c>
      <c r="BF942" t="str">
        <f>HYPERLINK("http://dx.doi.org/10.1111/jfb.14596","http://dx.doi.org/10.1111/jfb.14596")</f>
        <v>http://dx.doi.org/10.1111/jfb.14596</v>
      </c>
      <c r="BG942" t="s">
        <v>74</v>
      </c>
      <c r="BH942" t="s">
        <v>17215</v>
      </c>
      <c r="BI942">
        <v>11</v>
      </c>
      <c r="BJ942" t="s">
        <v>584</v>
      </c>
      <c r="BK942" t="s">
        <v>103</v>
      </c>
      <c r="BL942" t="s">
        <v>584</v>
      </c>
      <c r="BM942" t="s">
        <v>17833</v>
      </c>
      <c r="BN942">
        <v>33085087</v>
      </c>
      <c r="BO942" t="s">
        <v>74</v>
      </c>
      <c r="BP942" t="s">
        <v>74</v>
      </c>
      <c r="BQ942" t="s">
        <v>74</v>
      </c>
      <c r="BR942" t="s">
        <v>106</v>
      </c>
      <c r="BS942" t="s">
        <v>17834</v>
      </c>
      <c r="BT942" t="str">
        <f>HYPERLINK("https%3A%2F%2Fwww.webofscience.com%2Fwos%2Fwoscc%2Ffull-record%2FWOS:000591685300001","View Full Record in Web of Science")</f>
        <v>View Full Record in Web of Science</v>
      </c>
    </row>
    <row r="943" spans="1:72" x14ac:dyDescent="0.15">
      <c r="A943" t="s">
        <v>72</v>
      </c>
      <c r="B943" t="s">
        <v>17835</v>
      </c>
      <c r="C943" t="s">
        <v>74</v>
      </c>
      <c r="D943" t="s">
        <v>74</v>
      </c>
      <c r="E943" t="s">
        <v>74</v>
      </c>
      <c r="F943" t="s">
        <v>17836</v>
      </c>
      <c r="G943" t="s">
        <v>74</v>
      </c>
      <c r="H943" t="s">
        <v>74</v>
      </c>
      <c r="I943" t="s">
        <v>17837</v>
      </c>
      <c r="J943" t="s">
        <v>17838</v>
      </c>
      <c r="K943" t="s">
        <v>74</v>
      </c>
      <c r="L943" t="s">
        <v>74</v>
      </c>
      <c r="M943" t="s">
        <v>78</v>
      </c>
      <c r="N943" t="s">
        <v>79</v>
      </c>
      <c r="O943" t="s">
        <v>74</v>
      </c>
      <c r="P943" t="s">
        <v>74</v>
      </c>
      <c r="Q943" t="s">
        <v>74</v>
      </c>
      <c r="R943" t="s">
        <v>74</v>
      </c>
      <c r="S943" t="s">
        <v>74</v>
      </c>
      <c r="T943" t="s">
        <v>17839</v>
      </c>
      <c r="U943" t="s">
        <v>17840</v>
      </c>
      <c r="V943" t="s">
        <v>17841</v>
      </c>
      <c r="W943" t="s">
        <v>17842</v>
      </c>
      <c r="X943" t="s">
        <v>17843</v>
      </c>
      <c r="Y943" t="s">
        <v>17844</v>
      </c>
      <c r="Z943" t="s">
        <v>17845</v>
      </c>
      <c r="AA943" t="s">
        <v>17846</v>
      </c>
      <c r="AB943" t="s">
        <v>17847</v>
      </c>
      <c r="AC943" t="s">
        <v>17848</v>
      </c>
      <c r="AD943" t="s">
        <v>17849</v>
      </c>
      <c r="AE943" t="s">
        <v>17850</v>
      </c>
      <c r="AF943" t="s">
        <v>74</v>
      </c>
      <c r="AG943">
        <v>110</v>
      </c>
      <c r="AH943">
        <v>10</v>
      </c>
      <c r="AI943">
        <v>14</v>
      </c>
      <c r="AJ943">
        <v>2</v>
      </c>
      <c r="AK943">
        <v>12</v>
      </c>
      <c r="AL943" t="s">
        <v>500</v>
      </c>
      <c r="AM943" t="s">
        <v>501</v>
      </c>
      <c r="AN943" t="s">
        <v>502</v>
      </c>
      <c r="AO943" t="s">
        <v>74</v>
      </c>
      <c r="AP943" t="s">
        <v>17851</v>
      </c>
      <c r="AQ943" t="s">
        <v>74</v>
      </c>
      <c r="AR943" t="s">
        <v>17852</v>
      </c>
      <c r="AS943" t="s">
        <v>17853</v>
      </c>
      <c r="AT943" t="s">
        <v>17854</v>
      </c>
      <c r="AU943">
        <v>2020</v>
      </c>
      <c r="AV943">
        <v>2</v>
      </c>
      <c r="AW943" t="s">
        <v>74</v>
      </c>
      <c r="AX943" t="s">
        <v>74</v>
      </c>
      <c r="AY943" t="s">
        <v>74</v>
      </c>
      <c r="AZ943" t="s">
        <v>74</v>
      </c>
      <c r="BA943" t="s">
        <v>74</v>
      </c>
      <c r="BB943" t="s">
        <v>74</v>
      </c>
      <c r="BC943" t="s">
        <v>74</v>
      </c>
      <c r="BD943">
        <v>578602</v>
      </c>
      <c r="BE943" t="s">
        <v>17855</v>
      </c>
      <c r="BF943" t="str">
        <f>HYPERLINK("http://dx.doi.org/10.3389/frwa.2020.578602","http://dx.doi.org/10.3389/frwa.2020.578602")</f>
        <v>http://dx.doi.org/10.3389/frwa.2020.578602</v>
      </c>
      <c r="BG943" t="s">
        <v>74</v>
      </c>
      <c r="BH943" t="s">
        <v>74</v>
      </c>
      <c r="BI943">
        <v>17</v>
      </c>
      <c r="BJ943" t="s">
        <v>17216</v>
      </c>
      <c r="BK943" t="s">
        <v>3050</v>
      </c>
      <c r="BL943" t="s">
        <v>17216</v>
      </c>
      <c r="BM943" t="s">
        <v>17856</v>
      </c>
      <c r="BN943" t="s">
        <v>74</v>
      </c>
      <c r="BO943" t="s">
        <v>326</v>
      </c>
      <c r="BP943" t="s">
        <v>74</v>
      </c>
      <c r="BQ943" t="s">
        <v>74</v>
      </c>
      <c r="BR943" t="s">
        <v>106</v>
      </c>
      <c r="BS943" t="s">
        <v>17857</v>
      </c>
      <c r="BT943" t="str">
        <f>HYPERLINK("https%3A%2F%2Fwww.webofscience.com%2Fwos%2Fwoscc%2Ffull-record%2FWOS:000659419400001","View Full Record in Web of Science")</f>
        <v>View Full Record in Web of Science</v>
      </c>
    </row>
    <row r="944" spans="1:72" x14ac:dyDescent="0.15">
      <c r="A944" t="s">
        <v>72</v>
      </c>
      <c r="B944" t="s">
        <v>17858</v>
      </c>
      <c r="C944" t="s">
        <v>74</v>
      </c>
      <c r="D944" t="s">
        <v>74</v>
      </c>
      <c r="E944" t="s">
        <v>74</v>
      </c>
      <c r="F944" t="s">
        <v>17859</v>
      </c>
      <c r="G944" t="s">
        <v>74</v>
      </c>
      <c r="H944" t="s">
        <v>74</v>
      </c>
      <c r="I944" t="s">
        <v>17860</v>
      </c>
      <c r="J944" t="s">
        <v>2075</v>
      </c>
      <c r="K944" t="s">
        <v>74</v>
      </c>
      <c r="L944" t="s">
        <v>74</v>
      </c>
      <c r="M944" t="s">
        <v>78</v>
      </c>
      <c r="N944" t="s">
        <v>79</v>
      </c>
      <c r="O944" t="s">
        <v>74</v>
      </c>
      <c r="P944" t="s">
        <v>74</v>
      </c>
      <c r="Q944" t="s">
        <v>74</v>
      </c>
      <c r="R944" t="s">
        <v>74</v>
      </c>
      <c r="S944" t="s">
        <v>74</v>
      </c>
      <c r="T944" t="s">
        <v>74</v>
      </c>
      <c r="U944" t="s">
        <v>17861</v>
      </c>
      <c r="V944" t="s">
        <v>17862</v>
      </c>
      <c r="W944" t="s">
        <v>17863</v>
      </c>
      <c r="X944" t="s">
        <v>17864</v>
      </c>
      <c r="Y944" t="s">
        <v>17865</v>
      </c>
      <c r="Z944" t="s">
        <v>17866</v>
      </c>
      <c r="AA944" t="s">
        <v>17867</v>
      </c>
      <c r="AB944" t="s">
        <v>17868</v>
      </c>
      <c r="AC944" t="s">
        <v>17869</v>
      </c>
      <c r="AD944" t="s">
        <v>17870</v>
      </c>
      <c r="AE944" t="s">
        <v>17871</v>
      </c>
      <c r="AF944" t="s">
        <v>74</v>
      </c>
      <c r="AG944">
        <v>28</v>
      </c>
      <c r="AH944">
        <v>12</v>
      </c>
      <c r="AI944">
        <v>14</v>
      </c>
      <c r="AJ944">
        <v>0</v>
      </c>
      <c r="AK944">
        <v>11</v>
      </c>
      <c r="AL944" t="s">
        <v>955</v>
      </c>
      <c r="AM944" t="s">
        <v>528</v>
      </c>
      <c r="AN944" t="s">
        <v>529</v>
      </c>
      <c r="AO944" t="s">
        <v>2085</v>
      </c>
      <c r="AP944" t="s">
        <v>74</v>
      </c>
      <c r="AQ944" t="s">
        <v>74</v>
      </c>
      <c r="AR944" t="s">
        <v>2086</v>
      </c>
      <c r="AS944" t="s">
        <v>2087</v>
      </c>
      <c r="AT944" t="s">
        <v>17854</v>
      </c>
      <c r="AU944">
        <v>2020</v>
      </c>
      <c r="AV944">
        <v>10</v>
      </c>
      <c r="AW944">
        <v>1</v>
      </c>
      <c r="AX944" t="s">
        <v>74</v>
      </c>
      <c r="AY944" t="s">
        <v>74</v>
      </c>
      <c r="AZ944" t="s">
        <v>74</v>
      </c>
      <c r="BA944" t="s">
        <v>74</v>
      </c>
      <c r="BB944" t="s">
        <v>74</v>
      </c>
      <c r="BC944" t="s">
        <v>74</v>
      </c>
      <c r="BD944">
        <v>20366</v>
      </c>
      <c r="BE944" t="s">
        <v>17872</v>
      </c>
      <c r="BF944" t="str">
        <f>HYPERLINK("http://dx.doi.org/10.1038/s41598-020-77403-5","http://dx.doi.org/10.1038/s41598-020-77403-5")</f>
        <v>http://dx.doi.org/10.1038/s41598-020-77403-5</v>
      </c>
      <c r="BG944" t="s">
        <v>74</v>
      </c>
      <c r="BH944" t="s">
        <v>74</v>
      </c>
      <c r="BI944">
        <v>9</v>
      </c>
      <c r="BJ944" t="s">
        <v>534</v>
      </c>
      <c r="BK944" t="s">
        <v>103</v>
      </c>
      <c r="BL944" t="s">
        <v>535</v>
      </c>
      <c r="BM944" t="s">
        <v>17873</v>
      </c>
      <c r="BN944">
        <v>33230242</v>
      </c>
      <c r="BO944" t="s">
        <v>246</v>
      </c>
      <c r="BP944" t="s">
        <v>74</v>
      </c>
      <c r="BQ944" t="s">
        <v>74</v>
      </c>
      <c r="BR944" t="s">
        <v>106</v>
      </c>
      <c r="BS944" t="s">
        <v>17874</v>
      </c>
      <c r="BT944" t="str">
        <f>HYPERLINK("https%3A%2F%2Fwww.webofscience.com%2Fwos%2Fwoscc%2Ffull-record%2FWOS:000595845100009","View Full Record in Web of Science")</f>
        <v>View Full Record in Web of Science</v>
      </c>
    </row>
    <row r="945" spans="1:72" x14ac:dyDescent="0.15">
      <c r="A945" t="s">
        <v>72</v>
      </c>
      <c r="B945" t="s">
        <v>17875</v>
      </c>
      <c r="C945" t="s">
        <v>74</v>
      </c>
      <c r="D945" t="s">
        <v>74</v>
      </c>
      <c r="E945" t="s">
        <v>74</v>
      </c>
      <c r="F945" t="s">
        <v>17876</v>
      </c>
      <c r="G945" t="s">
        <v>74</v>
      </c>
      <c r="H945" t="s">
        <v>74</v>
      </c>
      <c r="I945" t="s">
        <v>17877</v>
      </c>
      <c r="J945" t="s">
        <v>17878</v>
      </c>
      <c r="K945" t="s">
        <v>74</v>
      </c>
      <c r="L945" t="s">
        <v>74</v>
      </c>
      <c r="M945" t="s">
        <v>78</v>
      </c>
      <c r="N945" t="s">
        <v>79</v>
      </c>
      <c r="O945" t="s">
        <v>74</v>
      </c>
      <c r="P945" t="s">
        <v>74</v>
      </c>
      <c r="Q945" t="s">
        <v>74</v>
      </c>
      <c r="R945" t="s">
        <v>74</v>
      </c>
      <c r="S945" t="s">
        <v>74</v>
      </c>
      <c r="T945" t="s">
        <v>17879</v>
      </c>
      <c r="U945" t="s">
        <v>17880</v>
      </c>
      <c r="V945" t="s">
        <v>17881</v>
      </c>
      <c r="W945" t="s">
        <v>17882</v>
      </c>
      <c r="X945" t="s">
        <v>17883</v>
      </c>
      <c r="Y945" t="s">
        <v>17884</v>
      </c>
      <c r="Z945" t="s">
        <v>17885</v>
      </c>
      <c r="AA945" t="s">
        <v>74</v>
      </c>
      <c r="AB945" t="s">
        <v>17886</v>
      </c>
      <c r="AC945" t="s">
        <v>17887</v>
      </c>
      <c r="AD945" t="s">
        <v>17888</v>
      </c>
      <c r="AE945" t="s">
        <v>17889</v>
      </c>
      <c r="AF945" t="s">
        <v>74</v>
      </c>
      <c r="AG945">
        <v>32</v>
      </c>
      <c r="AH945">
        <v>4</v>
      </c>
      <c r="AI945">
        <v>4</v>
      </c>
      <c r="AJ945">
        <v>2</v>
      </c>
      <c r="AK945">
        <v>10</v>
      </c>
      <c r="AL945" t="s">
        <v>552</v>
      </c>
      <c r="AM945" t="s">
        <v>553</v>
      </c>
      <c r="AN945" t="s">
        <v>554</v>
      </c>
      <c r="AO945" t="s">
        <v>17890</v>
      </c>
      <c r="AP945" t="s">
        <v>74</v>
      </c>
      <c r="AQ945" t="s">
        <v>74</v>
      </c>
      <c r="AR945" t="s">
        <v>17891</v>
      </c>
      <c r="AS945" t="s">
        <v>17892</v>
      </c>
      <c r="AT945" t="s">
        <v>347</v>
      </c>
      <c r="AU945">
        <v>2021</v>
      </c>
      <c r="AV945">
        <v>22</v>
      </c>
      <c r="AW945">
        <v>3</v>
      </c>
      <c r="AX945" t="s">
        <v>74</v>
      </c>
      <c r="AY945" t="s">
        <v>74</v>
      </c>
      <c r="AZ945" t="s">
        <v>74</v>
      </c>
      <c r="BA945" t="s">
        <v>74</v>
      </c>
      <c r="BB945" t="s">
        <v>74</v>
      </c>
      <c r="BC945" t="s">
        <v>74</v>
      </c>
      <c r="BD945" t="s">
        <v>17893</v>
      </c>
      <c r="BE945" t="s">
        <v>17894</v>
      </c>
      <c r="BF945" t="str">
        <f>HYPERLINK("http://dx.doi.org/10.1002/asl.1018","http://dx.doi.org/10.1002/asl.1018")</f>
        <v>http://dx.doi.org/10.1002/asl.1018</v>
      </c>
      <c r="BG945" t="s">
        <v>74</v>
      </c>
      <c r="BH945" t="s">
        <v>17215</v>
      </c>
      <c r="BI945">
        <v>12</v>
      </c>
      <c r="BJ945" t="s">
        <v>2840</v>
      </c>
      <c r="BK945" t="s">
        <v>103</v>
      </c>
      <c r="BL945" t="s">
        <v>2840</v>
      </c>
      <c r="BM945" t="s">
        <v>17895</v>
      </c>
      <c r="BN945" t="s">
        <v>74</v>
      </c>
      <c r="BO945" t="s">
        <v>11791</v>
      </c>
      <c r="BP945" t="s">
        <v>74</v>
      </c>
      <c r="BQ945" t="s">
        <v>74</v>
      </c>
      <c r="BR945" t="s">
        <v>106</v>
      </c>
      <c r="BS945" t="s">
        <v>17896</v>
      </c>
      <c r="BT945" t="str">
        <f>HYPERLINK("https%3A%2F%2Fwww.webofscience.com%2Fwos%2Fwoscc%2Ffull-record%2FWOS:000591219200001","View Full Record in Web of Science")</f>
        <v>View Full Record in Web of Science</v>
      </c>
    </row>
    <row r="946" spans="1:72" x14ac:dyDescent="0.15">
      <c r="A946" t="s">
        <v>72</v>
      </c>
      <c r="B946" t="s">
        <v>17897</v>
      </c>
      <c r="C946" t="s">
        <v>74</v>
      </c>
      <c r="D946" t="s">
        <v>74</v>
      </c>
      <c r="E946" t="s">
        <v>74</v>
      </c>
      <c r="F946" t="s">
        <v>17898</v>
      </c>
      <c r="G946" t="s">
        <v>74</v>
      </c>
      <c r="H946" t="s">
        <v>74</v>
      </c>
      <c r="I946" t="s">
        <v>17899</v>
      </c>
      <c r="J946" t="s">
        <v>17900</v>
      </c>
      <c r="K946" t="s">
        <v>74</v>
      </c>
      <c r="L946" t="s">
        <v>74</v>
      </c>
      <c r="M946" t="s">
        <v>78</v>
      </c>
      <c r="N946" t="s">
        <v>141</v>
      </c>
      <c r="O946" t="s">
        <v>74</v>
      </c>
      <c r="P946" t="s">
        <v>74</v>
      </c>
      <c r="Q946" t="s">
        <v>74</v>
      </c>
      <c r="R946" t="s">
        <v>74</v>
      </c>
      <c r="S946" t="s">
        <v>74</v>
      </c>
      <c r="T946" t="s">
        <v>17901</v>
      </c>
      <c r="U946" t="s">
        <v>17902</v>
      </c>
      <c r="V946" t="s">
        <v>17903</v>
      </c>
      <c r="W946" t="s">
        <v>17904</v>
      </c>
      <c r="X946" t="s">
        <v>17905</v>
      </c>
      <c r="Y946" t="s">
        <v>17906</v>
      </c>
      <c r="Z946" t="s">
        <v>17907</v>
      </c>
      <c r="AA946" t="s">
        <v>17908</v>
      </c>
      <c r="AB946" t="s">
        <v>17909</v>
      </c>
      <c r="AC946" t="s">
        <v>17910</v>
      </c>
      <c r="AD946" t="s">
        <v>17911</v>
      </c>
      <c r="AE946" t="s">
        <v>17912</v>
      </c>
      <c r="AF946" t="s">
        <v>74</v>
      </c>
      <c r="AG946">
        <v>193</v>
      </c>
      <c r="AH946">
        <v>40</v>
      </c>
      <c r="AI946">
        <v>45</v>
      </c>
      <c r="AJ946">
        <v>1</v>
      </c>
      <c r="AK946">
        <v>26</v>
      </c>
      <c r="AL946" t="s">
        <v>1183</v>
      </c>
      <c r="AM946" t="s">
        <v>1184</v>
      </c>
      <c r="AN946" t="s">
        <v>1185</v>
      </c>
      <c r="AO946" t="s">
        <v>17913</v>
      </c>
      <c r="AP946" t="s">
        <v>17914</v>
      </c>
      <c r="AQ946" t="s">
        <v>74</v>
      </c>
      <c r="AR946" t="s">
        <v>17900</v>
      </c>
      <c r="AS946" t="s">
        <v>17915</v>
      </c>
      <c r="AT946" t="s">
        <v>3896</v>
      </c>
      <c r="AU946">
        <v>2021</v>
      </c>
      <c r="AV946">
        <v>113</v>
      </c>
      <c r="AW946">
        <v>1</v>
      </c>
      <c r="AX946" t="s">
        <v>74</v>
      </c>
      <c r="AY946" t="s">
        <v>74</v>
      </c>
      <c r="AZ946" t="s">
        <v>74</v>
      </c>
      <c r="BA946" t="s">
        <v>74</v>
      </c>
      <c r="BB946">
        <v>108</v>
      </c>
      <c r="BC946">
        <v>133</v>
      </c>
      <c r="BD946" t="s">
        <v>74</v>
      </c>
      <c r="BE946" t="s">
        <v>17916</v>
      </c>
      <c r="BF946" t="str">
        <f>HYPERLINK("http://dx.doi.org/10.1080/00275514.2020.1816761","http://dx.doi.org/10.1080/00275514.2020.1816761")</f>
        <v>http://dx.doi.org/10.1080/00275514.2020.1816761</v>
      </c>
      <c r="BG946" t="s">
        <v>74</v>
      </c>
      <c r="BH946" t="s">
        <v>17215</v>
      </c>
      <c r="BI946">
        <v>26</v>
      </c>
      <c r="BJ946" t="s">
        <v>5416</v>
      </c>
      <c r="BK946" t="s">
        <v>103</v>
      </c>
      <c r="BL946" t="s">
        <v>5416</v>
      </c>
      <c r="BM946" t="s">
        <v>17917</v>
      </c>
      <c r="BN946">
        <v>33232202</v>
      </c>
      <c r="BO946" t="s">
        <v>1708</v>
      </c>
      <c r="BP946" t="s">
        <v>74</v>
      </c>
      <c r="BQ946" t="s">
        <v>74</v>
      </c>
      <c r="BR946" t="s">
        <v>106</v>
      </c>
      <c r="BS946" t="s">
        <v>17918</v>
      </c>
      <c r="BT946" t="str">
        <f>HYPERLINK("https%3A%2F%2Fwww.webofscience.com%2Fwos%2Fwoscc%2Ffull-record%2FWOS:000592028800001","View Full Record in Web of Science")</f>
        <v>View Full Record in Web of Science</v>
      </c>
    </row>
    <row r="947" spans="1:72" x14ac:dyDescent="0.15">
      <c r="A947" t="s">
        <v>72</v>
      </c>
      <c r="B947" t="s">
        <v>17919</v>
      </c>
      <c r="C947" t="s">
        <v>74</v>
      </c>
      <c r="D947" t="s">
        <v>74</v>
      </c>
      <c r="E947" t="s">
        <v>74</v>
      </c>
      <c r="F947" t="s">
        <v>17920</v>
      </c>
      <c r="G947" t="s">
        <v>74</v>
      </c>
      <c r="H947" t="s">
        <v>74</v>
      </c>
      <c r="I947" t="s">
        <v>17921</v>
      </c>
      <c r="J947" t="s">
        <v>17922</v>
      </c>
      <c r="K947" t="s">
        <v>74</v>
      </c>
      <c r="L947" t="s">
        <v>74</v>
      </c>
      <c r="M947" t="s">
        <v>78</v>
      </c>
      <c r="N947" t="s">
        <v>79</v>
      </c>
      <c r="O947" t="s">
        <v>74</v>
      </c>
      <c r="P947" t="s">
        <v>74</v>
      </c>
      <c r="Q947" t="s">
        <v>74</v>
      </c>
      <c r="R947" t="s">
        <v>74</v>
      </c>
      <c r="S947" t="s">
        <v>74</v>
      </c>
      <c r="T947" t="s">
        <v>17923</v>
      </c>
      <c r="U947" t="s">
        <v>74</v>
      </c>
      <c r="V947" t="s">
        <v>17924</v>
      </c>
      <c r="W947" t="s">
        <v>17925</v>
      </c>
      <c r="X947" t="s">
        <v>17926</v>
      </c>
      <c r="Y947" t="s">
        <v>17927</v>
      </c>
      <c r="Z947" t="s">
        <v>17928</v>
      </c>
      <c r="AA947" t="s">
        <v>17929</v>
      </c>
      <c r="AB947" t="s">
        <v>17930</v>
      </c>
      <c r="AC947" t="s">
        <v>74</v>
      </c>
      <c r="AD947" t="s">
        <v>74</v>
      </c>
      <c r="AE947" t="s">
        <v>74</v>
      </c>
      <c r="AF947" t="s">
        <v>74</v>
      </c>
      <c r="AG947">
        <v>14</v>
      </c>
      <c r="AH947">
        <v>0</v>
      </c>
      <c r="AI947">
        <v>0</v>
      </c>
      <c r="AJ947">
        <v>0</v>
      </c>
      <c r="AK947">
        <v>4</v>
      </c>
      <c r="AL947" t="s">
        <v>207</v>
      </c>
      <c r="AM947" t="s">
        <v>208</v>
      </c>
      <c r="AN947" t="s">
        <v>209</v>
      </c>
      <c r="AO947" t="s">
        <v>17931</v>
      </c>
      <c r="AP947" t="s">
        <v>17932</v>
      </c>
      <c r="AQ947" t="s">
        <v>74</v>
      </c>
      <c r="AR947" t="s">
        <v>17922</v>
      </c>
      <c r="AS947" t="s">
        <v>17933</v>
      </c>
      <c r="AT947" t="s">
        <v>374</v>
      </c>
      <c r="AU947">
        <v>2021</v>
      </c>
      <c r="AV947">
        <v>50</v>
      </c>
      <c r="AW947">
        <v>1</v>
      </c>
      <c r="AX947" t="s">
        <v>74</v>
      </c>
      <c r="AY947" t="s">
        <v>74</v>
      </c>
      <c r="AZ947" t="s">
        <v>582</v>
      </c>
      <c r="BA947" t="s">
        <v>74</v>
      </c>
      <c r="BB947">
        <v>40</v>
      </c>
      <c r="BC947">
        <v>43</v>
      </c>
      <c r="BD947" t="s">
        <v>74</v>
      </c>
      <c r="BE947" t="s">
        <v>17934</v>
      </c>
      <c r="BF947" t="str">
        <f>HYPERLINK("http://dx.doi.org/10.1007/s13280-020-01425-6","http://dx.doi.org/10.1007/s13280-020-01425-6")</f>
        <v>http://dx.doi.org/10.1007/s13280-020-01425-6</v>
      </c>
      <c r="BG947" t="s">
        <v>74</v>
      </c>
      <c r="BH947" t="s">
        <v>17215</v>
      </c>
      <c r="BI947">
        <v>4</v>
      </c>
      <c r="BJ947" t="s">
        <v>2195</v>
      </c>
      <c r="BK947" t="s">
        <v>103</v>
      </c>
      <c r="BL947" t="s">
        <v>2196</v>
      </c>
      <c r="BM947" t="s">
        <v>17935</v>
      </c>
      <c r="BN947">
        <v>33219940</v>
      </c>
      <c r="BO947" t="s">
        <v>561</v>
      </c>
      <c r="BP947" t="s">
        <v>74</v>
      </c>
      <c r="BQ947" t="s">
        <v>74</v>
      </c>
      <c r="BR947" t="s">
        <v>106</v>
      </c>
      <c r="BS947" t="s">
        <v>17936</v>
      </c>
      <c r="BT947" t="str">
        <f>HYPERLINK("https%3A%2F%2Fwww.webofscience.com%2Fwos%2Fwoscc%2Ffull-record%2FWOS:000591257200005","View Full Record in Web of Science")</f>
        <v>View Full Record in Web of Science</v>
      </c>
    </row>
    <row r="948" spans="1:72" x14ac:dyDescent="0.15">
      <c r="A948" t="s">
        <v>72</v>
      </c>
      <c r="B948" t="s">
        <v>17937</v>
      </c>
      <c r="C948" t="s">
        <v>74</v>
      </c>
      <c r="D948" t="s">
        <v>74</v>
      </c>
      <c r="E948" t="s">
        <v>74</v>
      </c>
      <c r="F948" t="s">
        <v>17938</v>
      </c>
      <c r="G948" t="s">
        <v>74</v>
      </c>
      <c r="H948" t="s">
        <v>74</v>
      </c>
      <c r="I948" t="s">
        <v>17939</v>
      </c>
      <c r="J948" t="s">
        <v>1446</v>
      </c>
      <c r="K948" t="s">
        <v>74</v>
      </c>
      <c r="L948" t="s">
        <v>74</v>
      </c>
      <c r="M948" t="s">
        <v>78</v>
      </c>
      <c r="N948" t="s">
        <v>79</v>
      </c>
      <c r="O948" t="s">
        <v>74</v>
      </c>
      <c r="P948" t="s">
        <v>74</v>
      </c>
      <c r="Q948" t="s">
        <v>74</v>
      </c>
      <c r="R948" t="s">
        <v>74</v>
      </c>
      <c r="S948" t="s">
        <v>74</v>
      </c>
      <c r="T948" t="s">
        <v>17940</v>
      </c>
      <c r="U948" t="s">
        <v>17941</v>
      </c>
      <c r="V948" t="s">
        <v>17942</v>
      </c>
      <c r="W948" t="s">
        <v>17943</v>
      </c>
      <c r="X948" t="s">
        <v>17944</v>
      </c>
      <c r="Y948" t="s">
        <v>17945</v>
      </c>
      <c r="Z948" t="s">
        <v>17946</v>
      </c>
      <c r="AA948" t="s">
        <v>17947</v>
      </c>
      <c r="AB948" t="s">
        <v>17948</v>
      </c>
      <c r="AC948" t="s">
        <v>17949</v>
      </c>
      <c r="AD948" t="s">
        <v>17950</v>
      </c>
      <c r="AE948" t="s">
        <v>17951</v>
      </c>
      <c r="AF948" t="s">
        <v>74</v>
      </c>
      <c r="AG948">
        <v>60</v>
      </c>
      <c r="AH948">
        <v>9</v>
      </c>
      <c r="AI948">
        <v>9</v>
      </c>
      <c r="AJ948">
        <v>3</v>
      </c>
      <c r="AK948">
        <v>27</v>
      </c>
      <c r="AL948" t="s">
        <v>552</v>
      </c>
      <c r="AM948" t="s">
        <v>553</v>
      </c>
      <c r="AN948" t="s">
        <v>554</v>
      </c>
      <c r="AO948" t="s">
        <v>1459</v>
      </c>
      <c r="AP948" t="s">
        <v>1460</v>
      </c>
      <c r="AQ948" t="s">
        <v>74</v>
      </c>
      <c r="AR948" t="s">
        <v>1461</v>
      </c>
      <c r="AS948" t="s">
        <v>1462</v>
      </c>
      <c r="AT948" t="s">
        <v>184</v>
      </c>
      <c r="AU948">
        <v>2021</v>
      </c>
      <c r="AV948">
        <v>27</v>
      </c>
      <c r="AW948">
        <v>3</v>
      </c>
      <c r="AX948" t="s">
        <v>74</v>
      </c>
      <c r="AY948" t="s">
        <v>74</v>
      </c>
      <c r="AZ948" t="s">
        <v>74</v>
      </c>
      <c r="BA948" t="s">
        <v>74</v>
      </c>
      <c r="BB948">
        <v>624</v>
      </c>
      <c r="BC948">
        <v>639</v>
      </c>
      <c r="BD948" t="s">
        <v>74</v>
      </c>
      <c r="BE948" t="s">
        <v>17952</v>
      </c>
      <c r="BF948" t="str">
        <f>HYPERLINK("http://dx.doi.org/10.1111/gcb.15417","http://dx.doi.org/10.1111/gcb.15417")</f>
        <v>http://dx.doi.org/10.1111/gcb.15417</v>
      </c>
      <c r="BG948" t="s">
        <v>74</v>
      </c>
      <c r="BH948" t="s">
        <v>17215</v>
      </c>
      <c r="BI948">
        <v>16</v>
      </c>
      <c r="BJ948" t="s">
        <v>1272</v>
      </c>
      <c r="BK948" t="s">
        <v>103</v>
      </c>
      <c r="BL948" t="s">
        <v>1053</v>
      </c>
      <c r="BM948" t="s">
        <v>17953</v>
      </c>
      <c r="BN948">
        <v>33112464</v>
      </c>
      <c r="BO948" t="s">
        <v>985</v>
      </c>
      <c r="BP948" t="s">
        <v>74</v>
      </c>
      <c r="BQ948" t="s">
        <v>74</v>
      </c>
      <c r="BR948" t="s">
        <v>106</v>
      </c>
      <c r="BS948" t="s">
        <v>17954</v>
      </c>
      <c r="BT948" t="str">
        <f>HYPERLINK("https%3A%2F%2Fwww.webofscience.com%2Fwos%2Fwoscc%2Ffull-record%2FWOS:000591075300001","View Full Record in Web of Science")</f>
        <v>View Full Record in Web of Science</v>
      </c>
    </row>
    <row r="949" spans="1:72" x14ac:dyDescent="0.15">
      <c r="A949" t="s">
        <v>72</v>
      </c>
      <c r="B949" t="s">
        <v>17955</v>
      </c>
      <c r="C949" t="s">
        <v>74</v>
      </c>
      <c r="D949" t="s">
        <v>74</v>
      </c>
      <c r="E949" t="s">
        <v>74</v>
      </c>
      <c r="F949" t="s">
        <v>17956</v>
      </c>
      <c r="G949" t="s">
        <v>74</v>
      </c>
      <c r="H949" t="s">
        <v>74</v>
      </c>
      <c r="I949" t="s">
        <v>17957</v>
      </c>
      <c r="J949" t="s">
        <v>17607</v>
      </c>
      <c r="K949" t="s">
        <v>74</v>
      </c>
      <c r="L949" t="s">
        <v>74</v>
      </c>
      <c r="M949" t="s">
        <v>78</v>
      </c>
      <c r="N949" t="s">
        <v>79</v>
      </c>
      <c r="O949" t="s">
        <v>74</v>
      </c>
      <c r="P949" t="s">
        <v>74</v>
      </c>
      <c r="Q949" t="s">
        <v>74</v>
      </c>
      <c r="R949" t="s">
        <v>74</v>
      </c>
      <c r="S949" t="s">
        <v>74</v>
      </c>
      <c r="T949" t="s">
        <v>74</v>
      </c>
      <c r="U949" t="s">
        <v>17958</v>
      </c>
      <c r="V949" t="s">
        <v>17959</v>
      </c>
      <c r="W949" t="s">
        <v>17960</v>
      </c>
      <c r="X949" t="s">
        <v>17961</v>
      </c>
      <c r="Y949" t="s">
        <v>17962</v>
      </c>
      <c r="Z949" t="s">
        <v>17963</v>
      </c>
      <c r="AA949" t="s">
        <v>17964</v>
      </c>
      <c r="AB949" t="s">
        <v>17965</v>
      </c>
      <c r="AC949" t="s">
        <v>17966</v>
      </c>
      <c r="AD949" t="s">
        <v>17967</v>
      </c>
      <c r="AE949" t="s">
        <v>17968</v>
      </c>
      <c r="AF949" t="s">
        <v>74</v>
      </c>
      <c r="AG949">
        <v>49</v>
      </c>
      <c r="AH949">
        <v>6</v>
      </c>
      <c r="AI949">
        <v>9</v>
      </c>
      <c r="AJ949">
        <v>0</v>
      </c>
      <c r="AK949">
        <v>33</v>
      </c>
      <c r="AL949" t="s">
        <v>552</v>
      </c>
      <c r="AM949" t="s">
        <v>553</v>
      </c>
      <c r="AN949" t="s">
        <v>554</v>
      </c>
      <c r="AO949" t="s">
        <v>17616</v>
      </c>
      <c r="AP949" t="s">
        <v>17617</v>
      </c>
      <c r="AQ949" t="s">
        <v>74</v>
      </c>
      <c r="AR949" t="s">
        <v>17618</v>
      </c>
      <c r="AS949" t="s">
        <v>17619</v>
      </c>
      <c r="AT949" t="s">
        <v>184</v>
      </c>
      <c r="AU949">
        <v>2021</v>
      </c>
      <c r="AV949">
        <v>23</v>
      </c>
      <c r="AW949">
        <v>2</v>
      </c>
      <c r="AX949" t="s">
        <v>74</v>
      </c>
      <c r="AY949" t="s">
        <v>74</v>
      </c>
      <c r="AZ949" t="s">
        <v>74</v>
      </c>
      <c r="BA949" t="s">
        <v>74</v>
      </c>
      <c r="BB949">
        <v>1162</v>
      </c>
      <c r="BC949">
        <v>1173</v>
      </c>
      <c r="BD949" t="s">
        <v>74</v>
      </c>
      <c r="BE949" t="s">
        <v>17969</v>
      </c>
      <c r="BF949" t="str">
        <f>HYPERLINK("http://dx.doi.org/10.1111/1462-2920.15321","http://dx.doi.org/10.1111/1462-2920.15321")</f>
        <v>http://dx.doi.org/10.1111/1462-2920.15321</v>
      </c>
      <c r="BG949" t="s">
        <v>74</v>
      </c>
      <c r="BH949" t="s">
        <v>17215</v>
      </c>
      <c r="BI949">
        <v>12</v>
      </c>
      <c r="BJ949" t="s">
        <v>3581</v>
      </c>
      <c r="BK949" t="s">
        <v>103</v>
      </c>
      <c r="BL949" t="s">
        <v>3581</v>
      </c>
      <c r="BM949" t="s">
        <v>17970</v>
      </c>
      <c r="BN949">
        <v>33185972</v>
      </c>
      <c r="BO949" t="s">
        <v>74</v>
      </c>
      <c r="BP949" t="s">
        <v>74</v>
      </c>
      <c r="BQ949" t="s">
        <v>74</v>
      </c>
      <c r="BR949" t="s">
        <v>106</v>
      </c>
      <c r="BS949" t="s">
        <v>17971</v>
      </c>
      <c r="BT949" t="str">
        <f>HYPERLINK("https%3A%2F%2Fwww.webofscience.com%2Fwos%2Fwoscc%2Ffull-record%2FWOS:000590847800001","View Full Record in Web of Science")</f>
        <v>View Full Record in Web of Science</v>
      </c>
    </row>
    <row r="950" spans="1:72" x14ac:dyDescent="0.15">
      <c r="A950" t="s">
        <v>72</v>
      </c>
      <c r="B950" t="s">
        <v>17972</v>
      </c>
      <c r="C950" t="s">
        <v>74</v>
      </c>
      <c r="D950" t="s">
        <v>74</v>
      </c>
      <c r="E950" t="s">
        <v>74</v>
      </c>
      <c r="F950" t="s">
        <v>17973</v>
      </c>
      <c r="G950" t="s">
        <v>74</v>
      </c>
      <c r="H950" t="s">
        <v>74</v>
      </c>
      <c r="I950" t="s">
        <v>17974</v>
      </c>
      <c r="J950" t="s">
        <v>251</v>
      </c>
      <c r="K950" t="s">
        <v>74</v>
      </c>
      <c r="L950" t="s">
        <v>74</v>
      </c>
      <c r="M950" t="s">
        <v>78</v>
      </c>
      <c r="N950" t="s">
        <v>79</v>
      </c>
      <c r="O950" t="s">
        <v>74</v>
      </c>
      <c r="P950" t="s">
        <v>74</v>
      </c>
      <c r="Q950" t="s">
        <v>74</v>
      </c>
      <c r="R950" t="s">
        <v>74</v>
      </c>
      <c r="S950" t="s">
        <v>74</v>
      </c>
      <c r="T950" t="s">
        <v>74</v>
      </c>
      <c r="U950" t="s">
        <v>17975</v>
      </c>
      <c r="V950" t="s">
        <v>17976</v>
      </c>
      <c r="W950" t="s">
        <v>17977</v>
      </c>
      <c r="X950" t="s">
        <v>17978</v>
      </c>
      <c r="Y950" t="s">
        <v>14432</v>
      </c>
      <c r="Z950" t="s">
        <v>14433</v>
      </c>
      <c r="AA950" t="s">
        <v>17979</v>
      </c>
      <c r="AB950" t="s">
        <v>17980</v>
      </c>
      <c r="AC950" t="s">
        <v>74</v>
      </c>
      <c r="AD950" t="s">
        <v>74</v>
      </c>
      <c r="AE950" t="s">
        <v>74</v>
      </c>
      <c r="AF950" t="s">
        <v>74</v>
      </c>
      <c r="AG950">
        <v>73</v>
      </c>
      <c r="AH950">
        <v>5</v>
      </c>
      <c r="AI950">
        <v>6</v>
      </c>
      <c r="AJ950">
        <v>1</v>
      </c>
      <c r="AK950">
        <v>10</v>
      </c>
      <c r="AL950" t="s">
        <v>263</v>
      </c>
      <c r="AM950" t="s">
        <v>264</v>
      </c>
      <c r="AN950" t="s">
        <v>265</v>
      </c>
      <c r="AO950" t="s">
        <v>266</v>
      </c>
      <c r="AP950" t="s">
        <v>267</v>
      </c>
      <c r="AQ950" t="s">
        <v>74</v>
      </c>
      <c r="AR950" t="s">
        <v>251</v>
      </c>
      <c r="AS950" t="s">
        <v>268</v>
      </c>
      <c r="AT950" t="s">
        <v>17981</v>
      </c>
      <c r="AU950">
        <v>2020</v>
      </c>
      <c r="AV950">
        <v>3</v>
      </c>
      <c r="AW950">
        <v>5</v>
      </c>
      <c r="AX950" t="s">
        <v>74</v>
      </c>
      <c r="AY950" t="s">
        <v>74</v>
      </c>
      <c r="AZ950" t="s">
        <v>74</v>
      </c>
      <c r="BA950" t="s">
        <v>74</v>
      </c>
      <c r="BB950">
        <v>631</v>
      </c>
      <c r="BC950">
        <v>644</v>
      </c>
      <c r="BD950" t="s">
        <v>74</v>
      </c>
      <c r="BE950" t="s">
        <v>17982</v>
      </c>
      <c r="BF950" t="str">
        <f>HYPERLINK("http://dx.doi.org/10.1016/j.oneear.2020.10.015","http://dx.doi.org/10.1016/j.oneear.2020.10.015")</f>
        <v>http://dx.doi.org/10.1016/j.oneear.2020.10.015</v>
      </c>
      <c r="BG950" t="s">
        <v>74</v>
      </c>
      <c r="BH950" t="s">
        <v>74</v>
      </c>
      <c r="BI950">
        <v>14</v>
      </c>
      <c r="BJ950" t="s">
        <v>270</v>
      </c>
      <c r="BK950" t="s">
        <v>271</v>
      </c>
      <c r="BL950" t="s">
        <v>272</v>
      </c>
      <c r="BM950" t="s">
        <v>17983</v>
      </c>
      <c r="BN950" t="s">
        <v>74</v>
      </c>
      <c r="BO950" t="s">
        <v>218</v>
      </c>
      <c r="BP950" t="s">
        <v>74</v>
      </c>
      <c r="BQ950" t="s">
        <v>74</v>
      </c>
      <c r="BR950" t="s">
        <v>106</v>
      </c>
      <c r="BS950" t="s">
        <v>17984</v>
      </c>
      <c r="BT950" t="str">
        <f>HYPERLINK("https%3A%2F%2Fwww.webofscience.com%2Fwos%2Fwoscc%2Ffull-record%2FWOS:000646432300019","View Full Record in Web of Science")</f>
        <v>View Full Record in Web of Science</v>
      </c>
    </row>
    <row r="951" spans="1:72" x14ac:dyDescent="0.15">
      <c r="A951" t="s">
        <v>72</v>
      </c>
      <c r="B951" t="s">
        <v>17985</v>
      </c>
      <c r="C951" t="s">
        <v>74</v>
      </c>
      <c r="D951" t="s">
        <v>74</v>
      </c>
      <c r="E951" t="s">
        <v>74</v>
      </c>
      <c r="F951" t="s">
        <v>17986</v>
      </c>
      <c r="G951" t="s">
        <v>74</v>
      </c>
      <c r="H951" t="s">
        <v>74</v>
      </c>
      <c r="I951" t="s">
        <v>17987</v>
      </c>
      <c r="J951" t="s">
        <v>1516</v>
      </c>
      <c r="K951" t="s">
        <v>74</v>
      </c>
      <c r="L951" t="s">
        <v>74</v>
      </c>
      <c r="M951" t="s">
        <v>78</v>
      </c>
      <c r="N951" t="s">
        <v>79</v>
      </c>
      <c r="O951" t="s">
        <v>74</v>
      </c>
      <c r="P951" t="s">
        <v>74</v>
      </c>
      <c r="Q951" t="s">
        <v>74</v>
      </c>
      <c r="R951" t="s">
        <v>74</v>
      </c>
      <c r="S951" t="s">
        <v>74</v>
      </c>
      <c r="T951" t="s">
        <v>17988</v>
      </c>
      <c r="U951" t="s">
        <v>17989</v>
      </c>
      <c r="V951" t="s">
        <v>17990</v>
      </c>
      <c r="W951" t="s">
        <v>17991</v>
      </c>
      <c r="X951" t="s">
        <v>17992</v>
      </c>
      <c r="Y951" t="s">
        <v>17993</v>
      </c>
      <c r="Z951" t="s">
        <v>17994</v>
      </c>
      <c r="AA951" t="s">
        <v>17995</v>
      </c>
      <c r="AB951" t="s">
        <v>17996</v>
      </c>
      <c r="AC951" t="s">
        <v>17997</v>
      </c>
      <c r="AD951" t="s">
        <v>17998</v>
      </c>
      <c r="AE951" t="s">
        <v>17999</v>
      </c>
      <c r="AF951" t="s">
        <v>74</v>
      </c>
      <c r="AG951">
        <v>39</v>
      </c>
      <c r="AH951">
        <v>4</v>
      </c>
      <c r="AI951">
        <v>4</v>
      </c>
      <c r="AJ951">
        <v>3</v>
      </c>
      <c r="AK951">
        <v>9</v>
      </c>
      <c r="AL951" t="s">
        <v>418</v>
      </c>
      <c r="AM951" t="s">
        <v>178</v>
      </c>
      <c r="AN951" t="s">
        <v>419</v>
      </c>
      <c r="AO951" t="s">
        <v>1529</v>
      </c>
      <c r="AP951" t="s">
        <v>1530</v>
      </c>
      <c r="AQ951" t="s">
        <v>74</v>
      </c>
      <c r="AR951" t="s">
        <v>1531</v>
      </c>
      <c r="AS951" t="s">
        <v>1532</v>
      </c>
      <c r="AT951" t="s">
        <v>17981</v>
      </c>
      <c r="AU951">
        <v>2020</v>
      </c>
      <c r="AV951" t="s">
        <v>18000</v>
      </c>
      <c r="AW951" t="s">
        <v>74</v>
      </c>
      <c r="AX951" t="s">
        <v>74</v>
      </c>
      <c r="AY951" t="s">
        <v>74</v>
      </c>
      <c r="AZ951" t="s">
        <v>74</v>
      </c>
      <c r="BA951" t="s">
        <v>74</v>
      </c>
      <c r="BB951">
        <v>6</v>
      </c>
      <c r="BC951">
        <v>15</v>
      </c>
      <c r="BD951" t="s">
        <v>74</v>
      </c>
      <c r="BE951" t="s">
        <v>18001</v>
      </c>
      <c r="BF951" t="str">
        <f>HYPERLINK("http://dx.doi.org/10.1016/j.quaint.2020.07.011","http://dx.doi.org/10.1016/j.quaint.2020.07.011")</f>
        <v>http://dx.doi.org/10.1016/j.quaint.2020.07.011</v>
      </c>
      <c r="BG951" t="s">
        <v>74</v>
      </c>
      <c r="BH951" t="s">
        <v>74</v>
      </c>
      <c r="BI951">
        <v>10</v>
      </c>
      <c r="BJ951" t="s">
        <v>156</v>
      </c>
      <c r="BK951" t="s">
        <v>103</v>
      </c>
      <c r="BL951" t="s">
        <v>157</v>
      </c>
      <c r="BM951" t="s">
        <v>18002</v>
      </c>
      <c r="BN951" t="s">
        <v>74</v>
      </c>
      <c r="BO951" t="s">
        <v>189</v>
      </c>
      <c r="BP951" t="s">
        <v>74</v>
      </c>
      <c r="BQ951" t="s">
        <v>74</v>
      </c>
      <c r="BR951" t="s">
        <v>106</v>
      </c>
      <c r="BS951" t="s">
        <v>18003</v>
      </c>
      <c r="BT951" t="str">
        <f>HYPERLINK("https%3A%2F%2Fwww.webofscience.com%2Fwos%2Fwoscc%2Ffull-record%2FWOS:000600314600002","View Full Record in Web of Science")</f>
        <v>View Full Record in Web of Science</v>
      </c>
    </row>
    <row r="952" spans="1:72" x14ac:dyDescent="0.15">
      <c r="A952" t="s">
        <v>72</v>
      </c>
      <c r="B952" t="s">
        <v>18004</v>
      </c>
      <c r="C952" t="s">
        <v>74</v>
      </c>
      <c r="D952" t="s">
        <v>74</v>
      </c>
      <c r="E952" t="s">
        <v>74</v>
      </c>
      <c r="F952" t="s">
        <v>18005</v>
      </c>
      <c r="G952" t="s">
        <v>74</v>
      </c>
      <c r="H952" t="s">
        <v>74</v>
      </c>
      <c r="I952" t="s">
        <v>18006</v>
      </c>
      <c r="J952" t="s">
        <v>1516</v>
      </c>
      <c r="K952" t="s">
        <v>74</v>
      </c>
      <c r="L952" t="s">
        <v>74</v>
      </c>
      <c r="M952" t="s">
        <v>78</v>
      </c>
      <c r="N952" t="s">
        <v>79</v>
      </c>
      <c r="O952" t="s">
        <v>74</v>
      </c>
      <c r="P952" t="s">
        <v>74</v>
      </c>
      <c r="Q952" t="s">
        <v>74</v>
      </c>
      <c r="R952" t="s">
        <v>74</v>
      </c>
      <c r="S952" t="s">
        <v>74</v>
      </c>
      <c r="T952" t="s">
        <v>18007</v>
      </c>
      <c r="U952" t="s">
        <v>18008</v>
      </c>
      <c r="V952" t="s">
        <v>18009</v>
      </c>
      <c r="W952" t="s">
        <v>18010</v>
      </c>
      <c r="X952" t="s">
        <v>18011</v>
      </c>
      <c r="Y952" t="s">
        <v>18012</v>
      </c>
      <c r="Z952" t="s">
        <v>18013</v>
      </c>
      <c r="AA952" t="s">
        <v>18014</v>
      </c>
      <c r="AB952" t="s">
        <v>18015</v>
      </c>
      <c r="AC952" t="s">
        <v>18016</v>
      </c>
      <c r="AD952" t="s">
        <v>18017</v>
      </c>
      <c r="AE952" t="s">
        <v>18018</v>
      </c>
      <c r="AF952" t="s">
        <v>74</v>
      </c>
      <c r="AG952">
        <v>84</v>
      </c>
      <c r="AH952">
        <v>6</v>
      </c>
      <c r="AI952">
        <v>6</v>
      </c>
      <c r="AJ952">
        <v>1</v>
      </c>
      <c r="AK952">
        <v>5</v>
      </c>
      <c r="AL952" t="s">
        <v>418</v>
      </c>
      <c r="AM952" t="s">
        <v>178</v>
      </c>
      <c r="AN952" t="s">
        <v>419</v>
      </c>
      <c r="AO952" t="s">
        <v>1529</v>
      </c>
      <c r="AP952" t="s">
        <v>1530</v>
      </c>
      <c r="AQ952" t="s">
        <v>74</v>
      </c>
      <c r="AR952" t="s">
        <v>1531</v>
      </c>
      <c r="AS952" t="s">
        <v>1532</v>
      </c>
      <c r="AT952" t="s">
        <v>17981</v>
      </c>
      <c r="AU952">
        <v>2020</v>
      </c>
      <c r="AV952" t="s">
        <v>18000</v>
      </c>
      <c r="AW952" t="s">
        <v>74</v>
      </c>
      <c r="AX952" t="s">
        <v>74</v>
      </c>
      <c r="AY952" t="s">
        <v>74</v>
      </c>
      <c r="AZ952" t="s">
        <v>74</v>
      </c>
      <c r="BA952" t="s">
        <v>74</v>
      </c>
      <c r="BB952">
        <v>24</v>
      </c>
      <c r="BC952">
        <v>38</v>
      </c>
      <c r="BD952" t="s">
        <v>74</v>
      </c>
      <c r="BE952" t="s">
        <v>18019</v>
      </c>
      <c r="BF952" t="str">
        <f>HYPERLINK("http://dx.doi.org/10.1016/j.quaint.2020.07.045","http://dx.doi.org/10.1016/j.quaint.2020.07.045")</f>
        <v>http://dx.doi.org/10.1016/j.quaint.2020.07.045</v>
      </c>
      <c r="BG952" t="s">
        <v>74</v>
      </c>
      <c r="BH952" t="s">
        <v>74</v>
      </c>
      <c r="BI952">
        <v>15</v>
      </c>
      <c r="BJ952" t="s">
        <v>156</v>
      </c>
      <c r="BK952" t="s">
        <v>103</v>
      </c>
      <c r="BL952" t="s">
        <v>157</v>
      </c>
      <c r="BM952" t="s">
        <v>18002</v>
      </c>
      <c r="BN952" t="s">
        <v>74</v>
      </c>
      <c r="BO952" t="s">
        <v>74</v>
      </c>
      <c r="BP952" t="s">
        <v>74</v>
      </c>
      <c r="BQ952" t="s">
        <v>74</v>
      </c>
      <c r="BR952" t="s">
        <v>106</v>
      </c>
      <c r="BS952" t="s">
        <v>18020</v>
      </c>
      <c r="BT952" t="str">
        <f>HYPERLINK("https%3A%2F%2Fwww.webofscience.com%2Fwos%2Fwoscc%2Ffull-record%2FWOS:000600314600004","View Full Record in Web of Science")</f>
        <v>View Full Record in Web of Science</v>
      </c>
    </row>
    <row r="953" spans="1:72" x14ac:dyDescent="0.15">
      <c r="A953" t="s">
        <v>72</v>
      </c>
      <c r="B953" t="s">
        <v>18021</v>
      </c>
      <c r="C953" t="s">
        <v>74</v>
      </c>
      <c r="D953" t="s">
        <v>74</v>
      </c>
      <c r="E953" t="s">
        <v>74</v>
      </c>
      <c r="F953" t="s">
        <v>18022</v>
      </c>
      <c r="G953" t="s">
        <v>74</v>
      </c>
      <c r="H953" t="s">
        <v>74</v>
      </c>
      <c r="I953" t="s">
        <v>18023</v>
      </c>
      <c r="J953" t="s">
        <v>487</v>
      </c>
      <c r="K953" t="s">
        <v>74</v>
      </c>
      <c r="L953" t="s">
        <v>74</v>
      </c>
      <c r="M953" t="s">
        <v>78</v>
      </c>
      <c r="N953" t="s">
        <v>1260</v>
      </c>
      <c r="O953" t="s">
        <v>74</v>
      </c>
      <c r="P953" t="s">
        <v>74</v>
      </c>
      <c r="Q953" t="s">
        <v>74</v>
      </c>
      <c r="R953" t="s">
        <v>74</v>
      </c>
      <c r="S953" t="s">
        <v>74</v>
      </c>
      <c r="T953" t="s">
        <v>18024</v>
      </c>
      <c r="U953" t="s">
        <v>74</v>
      </c>
      <c r="V953" t="s">
        <v>74</v>
      </c>
      <c r="W953" t="s">
        <v>18025</v>
      </c>
      <c r="X953" t="s">
        <v>18026</v>
      </c>
      <c r="Y953" t="s">
        <v>18027</v>
      </c>
      <c r="Z953" t="s">
        <v>18028</v>
      </c>
      <c r="AA953" t="s">
        <v>18029</v>
      </c>
      <c r="AB953" t="s">
        <v>18030</v>
      </c>
      <c r="AC953" t="s">
        <v>74</v>
      </c>
      <c r="AD953" t="s">
        <v>74</v>
      </c>
      <c r="AE953" t="s">
        <v>74</v>
      </c>
      <c r="AF953" t="s">
        <v>74</v>
      </c>
      <c r="AG953">
        <v>1</v>
      </c>
      <c r="AH953">
        <v>0</v>
      </c>
      <c r="AI953">
        <v>0</v>
      </c>
      <c r="AJ953">
        <v>0</v>
      </c>
      <c r="AK953">
        <v>1</v>
      </c>
      <c r="AL953" t="s">
        <v>500</v>
      </c>
      <c r="AM953" t="s">
        <v>501</v>
      </c>
      <c r="AN953" t="s">
        <v>502</v>
      </c>
      <c r="AO953" t="s">
        <v>74</v>
      </c>
      <c r="AP953" t="s">
        <v>503</v>
      </c>
      <c r="AQ953" t="s">
        <v>74</v>
      </c>
      <c r="AR953" t="s">
        <v>504</v>
      </c>
      <c r="AS953" t="s">
        <v>505</v>
      </c>
      <c r="AT953" t="s">
        <v>17981</v>
      </c>
      <c r="AU953">
        <v>2020</v>
      </c>
      <c r="AV953">
        <v>7</v>
      </c>
      <c r="AW953" t="s">
        <v>74</v>
      </c>
      <c r="AX953" t="s">
        <v>74</v>
      </c>
      <c r="AY953" t="s">
        <v>74</v>
      </c>
      <c r="AZ953" t="s">
        <v>74</v>
      </c>
      <c r="BA953" t="s">
        <v>74</v>
      </c>
      <c r="BB953" t="s">
        <v>74</v>
      </c>
      <c r="BC953" t="s">
        <v>74</v>
      </c>
      <c r="BD953">
        <v>622416</v>
      </c>
      <c r="BE953" t="s">
        <v>18031</v>
      </c>
      <c r="BF953" t="str">
        <f>HYPERLINK("http://dx.doi.org/10.3389/fmars.2020.622416","http://dx.doi.org/10.3389/fmars.2020.622416")</f>
        <v>http://dx.doi.org/10.3389/fmars.2020.622416</v>
      </c>
      <c r="BG953" t="s">
        <v>74</v>
      </c>
      <c r="BH953" t="s">
        <v>74</v>
      </c>
      <c r="BI953">
        <v>1</v>
      </c>
      <c r="BJ953" t="s">
        <v>507</v>
      </c>
      <c r="BK953" t="s">
        <v>103</v>
      </c>
      <c r="BL953" t="s">
        <v>508</v>
      </c>
      <c r="BM953" t="s">
        <v>18032</v>
      </c>
      <c r="BN953" t="s">
        <v>74</v>
      </c>
      <c r="BO953" t="s">
        <v>1105</v>
      </c>
      <c r="BP953" t="s">
        <v>74</v>
      </c>
      <c r="BQ953" t="s">
        <v>74</v>
      </c>
      <c r="BR953" t="s">
        <v>106</v>
      </c>
      <c r="BS953" t="s">
        <v>18033</v>
      </c>
      <c r="BT953" t="str">
        <f>HYPERLINK("https%3A%2F%2Fwww.webofscience.com%2Fwos%2Fwoscc%2Ffull-record%2FWOS:000595317100001","View Full Record in Web of Science")</f>
        <v>View Full Record in Web of Science</v>
      </c>
    </row>
    <row r="954" spans="1:72" x14ac:dyDescent="0.15">
      <c r="A954" t="s">
        <v>72</v>
      </c>
      <c r="B954" t="s">
        <v>18034</v>
      </c>
      <c r="C954" t="s">
        <v>74</v>
      </c>
      <c r="D954" t="s">
        <v>74</v>
      </c>
      <c r="E954" t="s">
        <v>74</v>
      </c>
      <c r="F954" t="s">
        <v>18035</v>
      </c>
      <c r="G954" t="s">
        <v>74</v>
      </c>
      <c r="H954" t="s">
        <v>74</v>
      </c>
      <c r="I954" t="s">
        <v>18036</v>
      </c>
      <c r="J954" t="s">
        <v>487</v>
      </c>
      <c r="K954" t="s">
        <v>74</v>
      </c>
      <c r="L954" t="s">
        <v>74</v>
      </c>
      <c r="M954" t="s">
        <v>78</v>
      </c>
      <c r="N954" t="s">
        <v>79</v>
      </c>
      <c r="O954" t="s">
        <v>74</v>
      </c>
      <c r="P954" t="s">
        <v>74</v>
      </c>
      <c r="Q954" t="s">
        <v>74</v>
      </c>
      <c r="R954" t="s">
        <v>74</v>
      </c>
      <c r="S954" t="s">
        <v>74</v>
      </c>
      <c r="T954" t="s">
        <v>18037</v>
      </c>
      <c r="U954" t="s">
        <v>18038</v>
      </c>
      <c r="V954" t="s">
        <v>18039</v>
      </c>
      <c r="W954" t="s">
        <v>18040</v>
      </c>
      <c r="X954" t="s">
        <v>18041</v>
      </c>
      <c r="Y954" t="s">
        <v>18042</v>
      </c>
      <c r="Z954" t="s">
        <v>18043</v>
      </c>
      <c r="AA954" t="s">
        <v>18044</v>
      </c>
      <c r="AB954" t="s">
        <v>18045</v>
      </c>
      <c r="AC954" t="s">
        <v>18046</v>
      </c>
      <c r="AD954" t="s">
        <v>18047</v>
      </c>
      <c r="AE954" t="s">
        <v>18048</v>
      </c>
      <c r="AF954" t="s">
        <v>74</v>
      </c>
      <c r="AG954">
        <v>38</v>
      </c>
      <c r="AH954">
        <v>3</v>
      </c>
      <c r="AI954">
        <v>3</v>
      </c>
      <c r="AJ954">
        <v>1</v>
      </c>
      <c r="AK954">
        <v>11</v>
      </c>
      <c r="AL954" t="s">
        <v>500</v>
      </c>
      <c r="AM954" t="s">
        <v>501</v>
      </c>
      <c r="AN954" t="s">
        <v>502</v>
      </c>
      <c r="AO954" t="s">
        <v>74</v>
      </c>
      <c r="AP954" t="s">
        <v>503</v>
      </c>
      <c r="AQ954" t="s">
        <v>74</v>
      </c>
      <c r="AR954" t="s">
        <v>504</v>
      </c>
      <c r="AS954" t="s">
        <v>505</v>
      </c>
      <c r="AT954" t="s">
        <v>17981</v>
      </c>
      <c r="AU954">
        <v>2020</v>
      </c>
      <c r="AV954">
        <v>7</v>
      </c>
      <c r="AW954" t="s">
        <v>74</v>
      </c>
      <c r="AX954" t="s">
        <v>74</v>
      </c>
      <c r="AY954" t="s">
        <v>74</v>
      </c>
      <c r="AZ954" t="s">
        <v>74</v>
      </c>
      <c r="BA954" t="s">
        <v>74</v>
      </c>
      <c r="BB954" t="s">
        <v>74</v>
      </c>
      <c r="BC954" t="s">
        <v>74</v>
      </c>
      <c r="BD954">
        <v>561125</v>
      </c>
      <c r="BE954" t="s">
        <v>18049</v>
      </c>
      <c r="BF954" t="str">
        <f>HYPERLINK("http://dx.doi.org/10.3389/fmars.2020.561125","http://dx.doi.org/10.3389/fmars.2020.561125")</f>
        <v>http://dx.doi.org/10.3389/fmars.2020.561125</v>
      </c>
      <c r="BG954" t="s">
        <v>74</v>
      </c>
      <c r="BH954" t="s">
        <v>74</v>
      </c>
      <c r="BI954">
        <v>6</v>
      </c>
      <c r="BJ954" t="s">
        <v>507</v>
      </c>
      <c r="BK954" t="s">
        <v>103</v>
      </c>
      <c r="BL954" t="s">
        <v>508</v>
      </c>
      <c r="BM954" t="s">
        <v>18050</v>
      </c>
      <c r="BN954" t="s">
        <v>74</v>
      </c>
      <c r="BO954" t="s">
        <v>660</v>
      </c>
      <c r="BP954" t="s">
        <v>74</v>
      </c>
      <c r="BQ954" t="s">
        <v>74</v>
      </c>
      <c r="BR954" t="s">
        <v>106</v>
      </c>
      <c r="BS954" t="s">
        <v>18051</v>
      </c>
      <c r="BT954" t="str">
        <f>HYPERLINK("https%3A%2F%2Fwww.webofscience.com%2Fwos%2Fwoscc%2Ffull-record%2FWOS:000595315000001","View Full Record in Web of Science")</f>
        <v>View Full Record in Web of Science</v>
      </c>
    </row>
    <row r="955" spans="1:72" x14ac:dyDescent="0.15">
      <c r="A955" t="s">
        <v>72</v>
      </c>
      <c r="B955" t="s">
        <v>18052</v>
      </c>
      <c r="C955" t="s">
        <v>74</v>
      </c>
      <c r="D955" t="s">
        <v>74</v>
      </c>
      <c r="E955" t="s">
        <v>74</v>
      </c>
      <c r="F955" t="s">
        <v>18053</v>
      </c>
      <c r="G955" t="s">
        <v>74</v>
      </c>
      <c r="H955" t="s">
        <v>74</v>
      </c>
      <c r="I955" t="s">
        <v>18054</v>
      </c>
      <c r="J955" t="s">
        <v>2272</v>
      </c>
      <c r="K955" t="s">
        <v>74</v>
      </c>
      <c r="L955" t="s">
        <v>74</v>
      </c>
      <c r="M955" t="s">
        <v>78</v>
      </c>
      <c r="N955" t="s">
        <v>1145</v>
      </c>
      <c r="O955" t="s">
        <v>74</v>
      </c>
      <c r="P955" t="s">
        <v>74</v>
      </c>
      <c r="Q955" t="s">
        <v>74</v>
      </c>
      <c r="R955" t="s">
        <v>74</v>
      </c>
      <c r="S955" t="s">
        <v>74</v>
      </c>
      <c r="T955" t="s">
        <v>74</v>
      </c>
      <c r="U955" t="s">
        <v>18055</v>
      </c>
      <c r="V955" t="s">
        <v>18056</v>
      </c>
      <c r="W955" t="s">
        <v>18057</v>
      </c>
      <c r="X955" t="s">
        <v>18058</v>
      </c>
      <c r="Y955" t="s">
        <v>18059</v>
      </c>
      <c r="Z955" t="s">
        <v>18060</v>
      </c>
      <c r="AA955" t="s">
        <v>18061</v>
      </c>
      <c r="AB955" t="s">
        <v>18062</v>
      </c>
      <c r="AC955" t="s">
        <v>18063</v>
      </c>
      <c r="AD955" t="s">
        <v>18064</v>
      </c>
      <c r="AE955" t="s">
        <v>18065</v>
      </c>
      <c r="AF955" t="s">
        <v>74</v>
      </c>
      <c r="AG955">
        <v>35</v>
      </c>
      <c r="AH955">
        <v>36</v>
      </c>
      <c r="AI955">
        <v>36</v>
      </c>
      <c r="AJ955">
        <v>2</v>
      </c>
      <c r="AK955">
        <v>7</v>
      </c>
      <c r="AL955" t="s">
        <v>123</v>
      </c>
      <c r="AM955" t="s">
        <v>124</v>
      </c>
      <c r="AN955" t="s">
        <v>125</v>
      </c>
      <c r="AO955" t="s">
        <v>2282</v>
      </c>
      <c r="AP955" t="s">
        <v>2283</v>
      </c>
      <c r="AQ955" t="s">
        <v>74</v>
      </c>
      <c r="AR955" t="s">
        <v>2284</v>
      </c>
      <c r="AS955" t="s">
        <v>2285</v>
      </c>
      <c r="AT955" t="s">
        <v>17981</v>
      </c>
      <c r="AU955">
        <v>2020</v>
      </c>
      <c r="AV955">
        <v>12</v>
      </c>
      <c r="AW955">
        <v>4</v>
      </c>
      <c r="AX955" t="s">
        <v>74</v>
      </c>
      <c r="AY955" t="s">
        <v>74</v>
      </c>
      <c r="AZ955" t="s">
        <v>74</v>
      </c>
      <c r="BA955" t="s">
        <v>74</v>
      </c>
      <c r="BB955">
        <v>2987</v>
      </c>
      <c r="BC955">
        <v>2999</v>
      </c>
      <c r="BD955" t="s">
        <v>74</v>
      </c>
      <c r="BE955" t="s">
        <v>18066</v>
      </c>
      <c r="BF955" t="str">
        <f>HYPERLINK("http://dx.doi.org/10.5194/essd-12-2987-2020","http://dx.doi.org/10.5194/essd-12-2987-2020")</f>
        <v>http://dx.doi.org/10.5194/essd-12-2987-2020</v>
      </c>
      <c r="BG955" t="s">
        <v>74</v>
      </c>
      <c r="BH955" t="s">
        <v>74</v>
      </c>
      <c r="BI955">
        <v>13</v>
      </c>
      <c r="BJ955" t="s">
        <v>1570</v>
      </c>
      <c r="BK955" t="s">
        <v>103</v>
      </c>
      <c r="BL955" t="s">
        <v>1571</v>
      </c>
      <c r="BM955" t="s">
        <v>18067</v>
      </c>
      <c r="BN955" t="s">
        <v>74</v>
      </c>
      <c r="BO955" t="s">
        <v>2597</v>
      </c>
      <c r="BP955" t="s">
        <v>74</v>
      </c>
      <c r="BQ955" t="s">
        <v>74</v>
      </c>
      <c r="BR955" t="s">
        <v>106</v>
      </c>
      <c r="BS955" t="s">
        <v>18068</v>
      </c>
      <c r="BT955" t="str">
        <f>HYPERLINK("https%3A%2F%2Fwww.webofscience.com%2Fwos%2Fwoscc%2Ffull-record%2FWOS:000592947300002","View Full Record in Web of Science")</f>
        <v>View Full Record in Web of Science</v>
      </c>
    </row>
    <row r="956" spans="1:72" x14ac:dyDescent="0.15">
      <c r="A956" t="s">
        <v>72</v>
      </c>
      <c r="B956" t="s">
        <v>18069</v>
      </c>
      <c r="C956" t="s">
        <v>74</v>
      </c>
      <c r="D956" t="s">
        <v>74</v>
      </c>
      <c r="E956" t="s">
        <v>74</v>
      </c>
      <c r="F956" t="s">
        <v>18070</v>
      </c>
      <c r="G956" t="s">
        <v>74</v>
      </c>
      <c r="H956" t="s">
        <v>74</v>
      </c>
      <c r="I956" t="s">
        <v>18071</v>
      </c>
      <c r="J956" t="s">
        <v>111</v>
      </c>
      <c r="K956" t="s">
        <v>74</v>
      </c>
      <c r="L956" t="s">
        <v>74</v>
      </c>
      <c r="M956" t="s">
        <v>78</v>
      </c>
      <c r="N956" t="s">
        <v>79</v>
      </c>
      <c r="O956" t="s">
        <v>74</v>
      </c>
      <c r="P956" t="s">
        <v>74</v>
      </c>
      <c r="Q956" t="s">
        <v>74</v>
      </c>
      <c r="R956" t="s">
        <v>74</v>
      </c>
      <c r="S956" t="s">
        <v>74</v>
      </c>
      <c r="T956" t="s">
        <v>74</v>
      </c>
      <c r="U956" t="s">
        <v>18072</v>
      </c>
      <c r="V956" t="s">
        <v>18073</v>
      </c>
      <c r="W956" t="s">
        <v>18074</v>
      </c>
      <c r="X956" t="s">
        <v>18075</v>
      </c>
      <c r="Y956" t="s">
        <v>18076</v>
      </c>
      <c r="Z956" t="s">
        <v>18077</v>
      </c>
      <c r="AA956" t="s">
        <v>18078</v>
      </c>
      <c r="AB956" t="s">
        <v>18079</v>
      </c>
      <c r="AC956" t="s">
        <v>74</v>
      </c>
      <c r="AD956" t="s">
        <v>74</v>
      </c>
      <c r="AE956" t="s">
        <v>74</v>
      </c>
      <c r="AF956" t="s">
        <v>74</v>
      </c>
      <c r="AG956">
        <v>72</v>
      </c>
      <c r="AH956">
        <v>10</v>
      </c>
      <c r="AI956">
        <v>10</v>
      </c>
      <c r="AJ956">
        <v>0</v>
      </c>
      <c r="AK956">
        <v>8</v>
      </c>
      <c r="AL956" t="s">
        <v>123</v>
      </c>
      <c r="AM956" t="s">
        <v>124</v>
      </c>
      <c r="AN956" t="s">
        <v>125</v>
      </c>
      <c r="AO956" t="s">
        <v>126</v>
      </c>
      <c r="AP956" t="s">
        <v>127</v>
      </c>
      <c r="AQ956" t="s">
        <v>74</v>
      </c>
      <c r="AR956" t="s">
        <v>128</v>
      </c>
      <c r="AS956" t="s">
        <v>129</v>
      </c>
      <c r="AT956" t="s">
        <v>17981</v>
      </c>
      <c r="AU956">
        <v>2020</v>
      </c>
      <c r="AV956">
        <v>20</v>
      </c>
      <c r="AW956">
        <v>22</v>
      </c>
      <c r="AX956" t="s">
        <v>74</v>
      </c>
      <c r="AY956" t="s">
        <v>74</v>
      </c>
      <c r="AZ956" t="s">
        <v>74</v>
      </c>
      <c r="BA956" t="s">
        <v>74</v>
      </c>
      <c r="BB956">
        <v>14043</v>
      </c>
      <c r="BC956">
        <v>14061</v>
      </c>
      <c r="BD956" t="s">
        <v>74</v>
      </c>
      <c r="BE956" t="s">
        <v>18080</v>
      </c>
      <c r="BF956" t="str">
        <f>HYPERLINK("http://dx.doi.org/10.5194/acp-20-14043-2020","http://dx.doi.org/10.5194/acp-20-14043-2020")</f>
        <v>http://dx.doi.org/10.5194/acp-20-14043-2020</v>
      </c>
      <c r="BG956" t="s">
        <v>74</v>
      </c>
      <c r="BH956" t="s">
        <v>74</v>
      </c>
      <c r="BI956">
        <v>19</v>
      </c>
      <c r="BJ956" t="s">
        <v>132</v>
      </c>
      <c r="BK956" t="s">
        <v>103</v>
      </c>
      <c r="BL956" t="s">
        <v>133</v>
      </c>
      <c r="BM956" t="s">
        <v>18081</v>
      </c>
      <c r="BN956" t="s">
        <v>74</v>
      </c>
      <c r="BO956" t="s">
        <v>13469</v>
      </c>
      <c r="BP956" t="s">
        <v>74</v>
      </c>
      <c r="BQ956" t="s">
        <v>74</v>
      </c>
      <c r="BR956" t="s">
        <v>106</v>
      </c>
      <c r="BS956" t="s">
        <v>18082</v>
      </c>
      <c r="BT956" t="str">
        <f>HYPERLINK("https%3A%2F%2Fwww.webofscience.com%2Fwos%2Fwoscc%2Ffull-record%2FWOS:000591198000001","View Full Record in Web of Science")</f>
        <v>View Full Record in Web of Science</v>
      </c>
    </row>
    <row r="957" spans="1:72" x14ac:dyDescent="0.15">
      <c r="A957" t="s">
        <v>72</v>
      </c>
      <c r="B957" t="s">
        <v>18083</v>
      </c>
      <c r="C957" t="s">
        <v>74</v>
      </c>
      <c r="D957" t="s">
        <v>74</v>
      </c>
      <c r="E957" t="s">
        <v>74</v>
      </c>
      <c r="F957" t="s">
        <v>18084</v>
      </c>
      <c r="G957" t="s">
        <v>74</v>
      </c>
      <c r="H957" t="s">
        <v>74</v>
      </c>
      <c r="I957" t="s">
        <v>18085</v>
      </c>
      <c r="J957" t="s">
        <v>18086</v>
      </c>
      <c r="K957" t="s">
        <v>74</v>
      </c>
      <c r="L957" t="s">
        <v>74</v>
      </c>
      <c r="M957" t="s">
        <v>78</v>
      </c>
      <c r="N957" t="s">
        <v>79</v>
      </c>
      <c r="O957" t="s">
        <v>74</v>
      </c>
      <c r="P957" t="s">
        <v>74</v>
      </c>
      <c r="Q957" t="s">
        <v>74</v>
      </c>
      <c r="R957" t="s">
        <v>74</v>
      </c>
      <c r="S957" t="s">
        <v>74</v>
      </c>
      <c r="T957" t="s">
        <v>74</v>
      </c>
      <c r="U957" t="s">
        <v>18087</v>
      </c>
      <c r="V957" t="s">
        <v>18088</v>
      </c>
      <c r="W957" t="s">
        <v>18089</v>
      </c>
      <c r="X957" t="s">
        <v>18090</v>
      </c>
      <c r="Y957" t="s">
        <v>18091</v>
      </c>
      <c r="Z957" t="s">
        <v>18092</v>
      </c>
      <c r="AA957" t="s">
        <v>74</v>
      </c>
      <c r="AB957" t="s">
        <v>18093</v>
      </c>
      <c r="AC957" t="s">
        <v>18094</v>
      </c>
      <c r="AD957" t="s">
        <v>18095</v>
      </c>
      <c r="AE957" t="s">
        <v>18096</v>
      </c>
      <c r="AF957" t="s">
        <v>74</v>
      </c>
      <c r="AG957">
        <v>96</v>
      </c>
      <c r="AH957">
        <v>11</v>
      </c>
      <c r="AI957">
        <v>11</v>
      </c>
      <c r="AJ957">
        <v>0</v>
      </c>
      <c r="AK957">
        <v>4</v>
      </c>
      <c r="AL957" t="s">
        <v>552</v>
      </c>
      <c r="AM957" t="s">
        <v>553</v>
      </c>
      <c r="AN957" t="s">
        <v>554</v>
      </c>
      <c r="AO957" t="s">
        <v>18097</v>
      </c>
      <c r="AP957" t="s">
        <v>18098</v>
      </c>
      <c r="AQ957" t="s">
        <v>74</v>
      </c>
      <c r="AR957" t="s">
        <v>18086</v>
      </c>
      <c r="AS957" t="s">
        <v>18099</v>
      </c>
      <c r="AT957" t="s">
        <v>374</v>
      </c>
      <c r="AU957">
        <v>2021</v>
      </c>
      <c r="AV957">
        <v>50</v>
      </c>
      <c r="AW957">
        <v>1</v>
      </c>
      <c r="AX957" t="s">
        <v>74</v>
      </c>
      <c r="AY957" t="s">
        <v>74</v>
      </c>
      <c r="AZ957" t="s">
        <v>74</v>
      </c>
      <c r="BA957" t="s">
        <v>74</v>
      </c>
      <c r="BB957">
        <v>29</v>
      </c>
      <c r="BC957">
        <v>50</v>
      </c>
      <c r="BD957" t="s">
        <v>74</v>
      </c>
      <c r="BE957" t="s">
        <v>18100</v>
      </c>
      <c r="BF957" t="str">
        <f>HYPERLINK("http://dx.doi.org/10.1111/bor.12488","http://dx.doi.org/10.1111/bor.12488")</f>
        <v>http://dx.doi.org/10.1111/bor.12488</v>
      </c>
      <c r="BG957" t="s">
        <v>74</v>
      </c>
      <c r="BH957" t="s">
        <v>17215</v>
      </c>
      <c r="BI957">
        <v>22</v>
      </c>
      <c r="BJ957" t="s">
        <v>156</v>
      </c>
      <c r="BK957" t="s">
        <v>103</v>
      </c>
      <c r="BL957" t="s">
        <v>157</v>
      </c>
      <c r="BM957" t="s">
        <v>18101</v>
      </c>
      <c r="BN957" t="s">
        <v>74</v>
      </c>
      <c r="BO957" t="s">
        <v>74</v>
      </c>
      <c r="BP957" t="s">
        <v>74</v>
      </c>
      <c r="BQ957" t="s">
        <v>74</v>
      </c>
      <c r="BR957" t="s">
        <v>106</v>
      </c>
      <c r="BS957" t="s">
        <v>18102</v>
      </c>
      <c r="BT957" t="str">
        <f>HYPERLINK("https%3A%2F%2Fwww.webofscience.com%2Fwos%2Fwoscc%2Ffull-record%2FWOS:000591184000001","View Full Record in Web of Science")</f>
        <v>View Full Record in Web of Science</v>
      </c>
    </row>
    <row r="958" spans="1:72" x14ac:dyDescent="0.15">
      <c r="A958" t="s">
        <v>72</v>
      </c>
      <c r="B958" t="s">
        <v>18103</v>
      </c>
      <c r="C958" t="s">
        <v>74</v>
      </c>
      <c r="D958" t="s">
        <v>74</v>
      </c>
      <c r="E958" t="s">
        <v>74</v>
      </c>
      <c r="F958" t="s">
        <v>18104</v>
      </c>
      <c r="G958" t="s">
        <v>74</v>
      </c>
      <c r="H958" t="s">
        <v>74</v>
      </c>
      <c r="I958" t="s">
        <v>18105</v>
      </c>
      <c r="J958" t="s">
        <v>487</v>
      </c>
      <c r="K958" t="s">
        <v>74</v>
      </c>
      <c r="L958" t="s">
        <v>74</v>
      </c>
      <c r="M958" t="s">
        <v>78</v>
      </c>
      <c r="N958" t="s">
        <v>141</v>
      </c>
      <c r="O958" t="s">
        <v>74</v>
      </c>
      <c r="P958" t="s">
        <v>74</v>
      </c>
      <c r="Q958" t="s">
        <v>74</v>
      </c>
      <c r="R958" t="s">
        <v>74</v>
      </c>
      <c r="S958" t="s">
        <v>74</v>
      </c>
      <c r="T958" t="s">
        <v>18106</v>
      </c>
      <c r="U958" t="s">
        <v>18107</v>
      </c>
      <c r="V958" t="s">
        <v>18108</v>
      </c>
      <c r="W958" t="s">
        <v>18109</v>
      </c>
      <c r="X958" t="s">
        <v>18110</v>
      </c>
      <c r="Y958" t="s">
        <v>18111</v>
      </c>
      <c r="Z958" t="s">
        <v>18112</v>
      </c>
      <c r="AA958" t="s">
        <v>18113</v>
      </c>
      <c r="AB958" t="s">
        <v>18114</v>
      </c>
      <c r="AC958" t="s">
        <v>18115</v>
      </c>
      <c r="AD958" t="s">
        <v>18116</v>
      </c>
      <c r="AE958" t="s">
        <v>18117</v>
      </c>
      <c r="AF958" t="s">
        <v>74</v>
      </c>
      <c r="AG958">
        <v>247</v>
      </c>
      <c r="AH958">
        <v>37</v>
      </c>
      <c r="AI958">
        <v>41</v>
      </c>
      <c r="AJ958">
        <v>2</v>
      </c>
      <c r="AK958">
        <v>28</v>
      </c>
      <c r="AL958" t="s">
        <v>500</v>
      </c>
      <c r="AM958" t="s">
        <v>501</v>
      </c>
      <c r="AN958" t="s">
        <v>502</v>
      </c>
      <c r="AO958" t="s">
        <v>74</v>
      </c>
      <c r="AP958" t="s">
        <v>503</v>
      </c>
      <c r="AQ958" t="s">
        <v>74</v>
      </c>
      <c r="AR958" t="s">
        <v>504</v>
      </c>
      <c r="AS958" t="s">
        <v>505</v>
      </c>
      <c r="AT958" t="s">
        <v>17981</v>
      </c>
      <c r="AU958">
        <v>2020</v>
      </c>
      <c r="AV958">
        <v>7</v>
      </c>
      <c r="AW958" t="s">
        <v>74</v>
      </c>
      <c r="AX958" t="s">
        <v>74</v>
      </c>
      <c r="AY958" t="s">
        <v>74</v>
      </c>
      <c r="AZ958" t="s">
        <v>74</v>
      </c>
      <c r="BA958" t="s">
        <v>74</v>
      </c>
      <c r="BB958" t="s">
        <v>74</v>
      </c>
      <c r="BC958" t="s">
        <v>74</v>
      </c>
      <c r="BD958">
        <v>544386</v>
      </c>
      <c r="BE958" t="s">
        <v>18118</v>
      </c>
      <c r="BF958" t="str">
        <f>HYPERLINK("http://dx.doi.org/10.3389/fmars.2020.544386","http://dx.doi.org/10.3389/fmars.2020.544386")</f>
        <v>http://dx.doi.org/10.3389/fmars.2020.544386</v>
      </c>
      <c r="BG958" t="s">
        <v>74</v>
      </c>
      <c r="BH958" t="s">
        <v>74</v>
      </c>
      <c r="BI958">
        <v>25</v>
      </c>
      <c r="BJ958" t="s">
        <v>507</v>
      </c>
      <c r="BK958" t="s">
        <v>103</v>
      </c>
      <c r="BL958" t="s">
        <v>508</v>
      </c>
      <c r="BM958" t="s">
        <v>18119</v>
      </c>
      <c r="BN958" t="s">
        <v>74</v>
      </c>
      <c r="BO958" t="s">
        <v>11791</v>
      </c>
      <c r="BP958" t="s">
        <v>74</v>
      </c>
      <c r="BQ958" t="s">
        <v>74</v>
      </c>
      <c r="BR958" t="s">
        <v>106</v>
      </c>
      <c r="BS958" t="s">
        <v>18120</v>
      </c>
      <c r="BT958" t="str">
        <f>HYPERLINK("https%3A%2F%2Fwww.webofscience.com%2Fwos%2Fwoscc%2Ffull-record%2FWOS:000595318000001","View Full Record in Web of Science")</f>
        <v>View Full Record in Web of Science</v>
      </c>
    </row>
    <row r="959" spans="1:72" x14ac:dyDescent="0.15">
      <c r="A959" t="s">
        <v>72</v>
      </c>
      <c r="B959" t="s">
        <v>18121</v>
      </c>
      <c r="C959" t="s">
        <v>74</v>
      </c>
      <c r="D959" t="s">
        <v>74</v>
      </c>
      <c r="E959" t="s">
        <v>74</v>
      </c>
      <c r="F959" t="s">
        <v>18122</v>
      </c>
      <c r="G959" t="s">
        <v>74</v>
      </c>
      <c r="H959" t="s">
        <v>74</v>
      </c>
      <c r="I959" t="s">
        <v>18123</v>
      </c>
      <c r="J959" t="s">
        <v>18124</v>
      </c>
      <c r="K959" t="s">
        <v>74</v>
      </c>
      <c r="L959" t="s">
        <v>74</v>
      </c>
      <c r="M959" t="s">
        <v>78</v>
      </c>
      <c r="N959" t="s">
        <v>79</v>
      </c>
      <c r="O959" t="s">
        <v>74</v>
      </c>
      <c r="P959" t="s">
        <v>74</v>
      </c>
      <c r="Q959" t="s">
        <v>74</v>
      </c>
      <c r="R959" t="s">
        <v>74</v>
      </c>
      <c r="S959" t="s">
        <v>74</v>
      </c>
      <c r="T959" t="s">
        <v>18125</v>
      </c>
      <c r="U959" t="s">
        <v>18126</v>
      </c>
      <c r="V959" t="s">
        <v>18127</v>
      </c>
      <c r="W959" t="s">
        <v>18128</v>
      </c>
      <c r="X959" t="s">
        <v>18129</v>
      </c>
      <c r="Y959" t="s">
        <v>18130</v>
      </c>
      <c r="Z959" t="s">
        <v>18131</v>
      </c>
      <c r="AA959" t="s">
        <v>18132</v>
      </c>
      <c r="AB959" t="s">
        <v>18133</v>
      </c>
      <c r="AC959" t="s">
        <v>18134</v>
      </c>
      <c r="AD959" t="s">
        <v>18135</v>
      </c>
      <c r="AE959" t="s">
        <v>18136</v>
      </c>
      <c r="AF959" t="s">
        <v>74</v>
      </c>
      <c r="AG959">
        <v>65</v>
      </c>
      <c r="AH959">
        <v>47</v>
      </c>
      <c r="AI959">
        <v>50</v>
      </c>
      <c r="AJ959">
        <v>1</v>
      </c>
      <c r="AK959">
        <v>15</v>
      </c>
      <c r="AL959" t="s">
        <v>552</v>
      </c>
      <c r="AM959" t="s">
        <v>553</v>
      </c>
      <c r="AN959" t="s">
        <v>554</v>
      </c>
      <c r="AO959" t="s">
        <v>18137</v>
      </c>
      <c r="AP959" t="s">
        <v>18138</v>
      </c>
      <c r="AQ959" t="s">
        <v>74</v>
      </c>
      <c r="AR959" t="s">
        <v>18139</v>
      </c>
      <c r="AS959" t="s">
        <v>18140</v>
      </c>
      <c r="AT959" t="s">
        <v>374</v>
      </c>
      <c r="AU959">
        <v>2021</v>
      </c>
      <c r="AV959">
        <v>147</v>
      </c>
      <c r="AW959">
        <v>734</v>
      </c>
      <c r="AX959" t="s">
        <v>74</v>
      </c>
      <c r="AY959" t="s">
        <v>74</v>
      </c>
      <c r="AZ959" t="s">
        <v>74</v>
      </c>
      <c r="BA959" t="s">
        <v>74</v>
      </c>
      <c r="BB959">
        <v>691</v>
      </c>
      <c r="BC959">
        <v>712</v>
      </c>
      <c r="BD959" t="s">
        <v>74</v>
      </c>
      <c r="BE959" t="s">
        <v>18141</v>
      </c>
      <c r="BF959" t="str">
        <f>HYPERLINK("http://dx.doi.org/10.1002/qj.3941","http://dx.doi.org/10.1002/qj.3941")</f>
        <v>http://dx.doi.org/10.1002/qj.3941</v>
      </c>
      <c r="BG959" t="s">
        <v>74</v>
      </c>
      <c r="BH959" t="s">
        <v>17215</v>
      </c>
      <c r="BI959">
        <v>22</v>
      </c>
      <c r="BJ959" t="s">
        <v>687</v>
      </c>
      <c r="BK959" t="s">
        <v>103</v>
      </c>
      <c r="BL959" t="s">
        <v>687</v>
      </c>
      <c r="BM959" t="s">
        <v>18142</v>
      </c>
      <c r="BN959" t="s">
        <v>74</v>
      </c>
      <c r="BO959" t="s">
        <v>8164</v>
      </c>
      <c r="BP959" t="s">
        <v>74</v>
      </c>
      <c r="BQ959" t="s">
        <v>74</v>
      </c>
      <c r="BR959" t="s">
        <v>106</v>
      </c>
      <c r="BS959" t="s">
        <v>18143</v>
      </c>
      <c r="BT959" t="str">
        <f>HYPERLINK("https%3A%2F%2Fwww.webofscience.com%2Fwos%2Fwoscc%2Ffull-record%2FWOS:000590614000001","View Full Record in Web of Science")</f>
        <v>View Full Record in Web of Science</v>
      </c>
    </row>
    <row r="960" spans="1:72" x14ac:dyDescent="0.15">
      <c r="A960" t="s">
        <v>72</v>
      </c>
      <c r="B960" t="s">
        <v>18144</v>
      </c>
      <c r="C960" t="s">
        <v>74</v>
      </c>
      <c r="D960" t="s">
        <v>74</v>
      </c>
      <c r="E960" t="s">
        <v>74</v>
      </c>
      <c r="F960" t="s">
        <v>18145</v>
      </c>
      <c r="G960" t="s">
        <v>74</v>
      </c>
      <c r="H960" t="s">
        <v>74</v>
      </c>
      <c r="I960" t="s">
        <v>18146</v>
      </c>
      <c r="J960" t="s">
        <v>18147</v>
      </c>
      <c r="K960" t="s">
        <v>74</v>
      </c>
      <c r="L960" t="s">
        <v>74</v>
      </c>
      <c r="M960" t="s">
        <v>78</v>
      </c>
      <c r="N960" t="s">
        <v>79</v>
      </c>
      <c r="O960" t="s">
        <v>74</v>
      </c>
      <c r="P960" t="s">
        <v>74</v>
      </c>
      <c r="Q960" t="s">
        <v>74</v>
      </c>
      <c r="R960" t="s">
        <v>74</v>
      </c>
      <c r="S960" t="s">
        <v>74</v>
      </c>
      <c r="T960" t="s">
        <v>18148</v>
      </c>
      <c r="U960" t="s">
        <v>18149</v>
      </c>
      <c r="V960" t="s">
        <v>18150</v>
      </c>
      <c r="W960" t="s">
        <v>18151</v>
      </c>
      <c r="X960" t="s">
        <v>18152</v>
      </c>
      <c r="Y960" t="s">
        <v>18153</v>
      </c>
      <c r="Z960" t="s">
        <v>18154</v>
      </c>
      <c r="AA960" t="s">
        <v>18155</v>
      </c>
      <c r="AB960" t="s">
        <v>18156</v>
      </c>
      <c r="AC960" t="s">
        <v>18157</v>
      </c>
      <c r="AD960" t="s">
        <v>18158</v>
      </c>
      <c r="AE960" t="s">
        <v>18159</v>
      </c>
      <c r="AF960" t="s">
        <v>74</v>
      </c>
      <c r="AG960">
        <v>63</v>
      </c>
      <c r="AH960">
        <v>31</v>
      </c>
      <c r="AI960">
        <v>31</v>
      </c>
      <c r="AJ960">
        <v>5</v>
      </c>
      <c r="AK960">
        <v>33</v>
      </c>
      <c r="AL960" t="s">
        <v>628</v>
      </c>
      <c r="AM960" t="s">
        <v>629</v>
      </c>
      <c r="AN960" t="s">
        <v>630</v>
      </c>
      <c r="AO960" t="s">
        <v>18160</v>
      </c>
      <c r="AP960" t="s">
        <v>74</v>
      </c>
      <c r="AQ960" t="s">
        <v>74</v>
      </c>
      <c r="AR960" t="s">
        <v>18161</v>
      </c>
      <c r="AS960" t="s">
        <v>18162</v>
      </c>
      <c r="AT960" t="s">
        <v>18163</v>
      </c>
      <c r="AU960">
        <v>2020</v>
      </c>
      <c r="AV960">
        <v>4</v>
      </c>
      <c r="AW960">
        <v>11</v>
      </c>
      <c r="AX960" t="s">
        <v>74</v>
      </c>
      <c r="AY960" t="s">
        <v>74</v>
      </c>
      <c r="AZ960" t="s">
        <v>74</v>
      </c>
      <c r="BA960" t="s">
        <v>74</v>
      </c>
      <c r="BB960">
        <v>2073</v>
      </c>
      <c r="BC960">
        <v>2081</v>
      </c>
      <c r="BD960" t="s">
        <v>74</v>
      </c>
      <c r="BE960" t="s">
        <v>18164</v>
      </c>
      <c r="BF960" t="str">
        <f>HYPERLINK("http://dx.doi.org/10.1021/acsearthspacechem.0c00220","http://dx.doi.org/10.1021/acsearthspacechem.0c00220")</f>
        <v>http://dx.doi.org/10.1021/acsearthspacechem.0c00220</v>
      </c>
      <c r="BG960" t="s">
        <v>74</v>
      </c>
      <c r="BH960" t="s">
        <v>74</v>
      </c>
      <c r="BI960">
        <v>9</v>
      </c>
      <c r="BJ960" t="s">
        <v>18165</v>
      </c>
      <c r="BK960" t="s">
        <v>103</v>
      </c>
      <c r="BL960" t="s">
        <v>18166</v>
      </c>
      <c r="BM960" t="s">
        <v>18167</v>
      </c>
      <c r="BN960" t="s">
        <v>74</v>
      </c>
      <c r="BO960" t="s">
        <v>18168</v>
      </c>
      <c r="BP960" t="s">
        <v>74</v>
      </c>
      <c r="BQ960" t="s">
        <v>74</v>
      </c>
      <c r="BR960" t="s">
        <v>106</v>
      </c>
      <c r="BS960" t="s">
        <v>18169</v>
      </c>
      <c r="BT960" t="str">
        <f>HYPERLINK("https%3A%2F%2Fwww.webofscience.com%2Fwos%2Fwoscc%2Ffull-record%2FWOS:000592964500017","View Full Record in Web of Science")</f>
        <v>View Full Record in Web of Science</v>
      </c>
    </row>
    <row r="961" spans="1:72" x14ac:dyDescent="0.15">
      <c r="A961" t="s">
        <v>72</v>
      </c>
      <c r="B961" t="s">
        <v>18170</v>
      </c>
      <c r="C961" t="s">
        <v>74</v>
      </c>
      <c r="D961" t="s">
        <v>74</v>
      </c>
      <c r="E961" t="s">
        <v>74</v>
      </c>
      <c r="F961" t="s">
        <v>18171</v>
      </c>
      <c r="G961" t="s">
        <v>74</v>
      </c>
      <c r="H961" t="s">
        <v>74</v>
      </c>
      <c r="I961" t="s">
        <v>18172</v>
      </c>
      <c r="J961" t="s">
        <v>18147</v>
      </c>
      <c r="K961" t="s">
        <v>74</v>
      </c>
      <c r="L961" t="s">
        <v>74</v>
      </c>
      <c r="M961" t="s">
        <v>78</v>
      </c>
      <c r="N961" t="s">
        <v>79</v>
      </c>
      <c r="O961" t="s">
        <v>74</v>
      </c>
      <c r="P961" t="s">
        <v>74</v>
      </c>
      <c r="Q961" t="s">
        <v>74</v>
      </c>
      <c r="R961" t="s">
        <v>74</v>
      </c>
      <c r="S961" t="s">
        <v>74</v>
      </c>
      <c r="T961" t="s">
        <v>18173</v>
      </c>
      <c r="U961" t="s">
        <v>18174</v>
      </c>
      <c r="V961" t="s">
        <v>18175</v>
      </c>
      <c r="W961" t="s">
        <v>18176</v>
      </c>
      <c r="X961" t="s">
        <v>18177</v>
      </c>
      <c r="Y961" t="s">
        <v>18178</v>
      </c>
      <c r="Z961" t="s">
        <v>18179</v>
      </c>
      <c r="AA961" t="s">
        <v>18180</v>
      </c>
      <c r="AB961" t="s">
        <v>18181</v>
      </c>
      <c r="AC961" t="s">
        <v>18182</v>
      </c>
      <c r="AD961" t="s">
        <v>18182</v>
      </c>
      <c r="AE961" t="s">
        <v>18183</v>
      </c>
      <c r="AF961" t="s">
        <v>74</v>
      </c>
      <c r="AG961">
        <v>58</v>
      </c>
      <c r="AH961">
        <v>2</v>
      </c>
      <c r="AI961">
        <v>2</v>
      </c>
      <c r="AJ961">
        <v>3</v>
      </c>
      <c r="AK961">
        <v>17</v>
      </c>
      <c r="AL961" t="s">
        <v>628</v>
      </c>
      <c r="AM961" t="s">
        <v>629</v>
      </c>
      <c r="AN961" t="s">
        <v>630</v>
      </c>
      <c r="AO961" t="s">
        <v>18160</v>
      </c>
      <c r="AP961" t="s">
        <v>74</v>
      </c>
      <c r="AQ961" t="s">
        <v>74</v>
      </c>
      <c r="AR961" t="s">
        <v>18161</v>
      </c>
      <c r="AS961" t="s">
        <v>18162</v>
      </c>
      <c r="AT961" t="s">
        <v>18163</v>
      </c>
      <c r="AU961">
        <v>2020</v>
      </c>
      <c r="AV961">
        <v>4</v>
      </c>
      <c r="AW961">
        <v>11</v>
      </c>
      <c r="AX961" t="s">
        <v>74</v>
      </c>
      <c r="AY961" t="s">
        <v>74</v>
      </c>
      <c r="AZ961" t="s">
        <v>74</v>
      </c>
      <c r="BA961" t="s">
        <v>74</v>
      </c>
      <c r="BB961">
        <v>2096</v>
      </c>
      <c r="BC961">
        <v>2104</v>
      </c>
      <c r="BD961" t="s">
        <v>74</v>
      </c>
      <c r="BE961" t="s">
        <v>18184</v>
      </c>
      <c r="BF961" t="str">
        <f>HYPERLINK("http://dx.doi.org/10.1021/acsearthspacechem.0c00227","http://dx.doi.org/10.1021/acsearthspacechem.0c00227")</f>
        <v>http://dx.doi.org/10.1021/acsearthspacechem.0c00227</v>
      </c>
      <c r="BG961" t="s">
        <v>74</v>
      </c>
      <c r="BH961" t="s">
        <v>74</v>
      </c>
      <c r="BI961">
        <v>9</v>
      </c>
      <c r="BJ961" t="s">
        <v>18165</v>
      </c>
      <c r="BK961" t="s">
        <v>103</v>
      </c>
      <c r="BL961" t="s">
        <v>18166</v>
      </c>
      <c r="BM961" t="s">
        <v>18167</v>
      </c>
      <c r="BN961" t="s">
        <v>74</v>
      </c>
      <c r="BO961" t="s">
        <v>74</v>
      </c>
      <c r="BP961" t="s">
        <v>74</v>
      </c>
      <c r="BQ961" t="s">
        <v>74</v>
      </c>
      <c r="BR961" t="s">
        <v>106</v>
      </c>
      <c r="BS961" t="s">
        <v>18185</v>
      </c>
      <c r="BT961" t="str">
        <f>HYPERLINK("https%3A%2F%2Fwww.webofscience.com%2Fwos%2Fwoscc%2Ffull-record%2FWOS:000592964500019","View Full Record in Web of Science")</f>
        <v>View Full Record in Web of Science</v>
      </c>
    </row>
    <row r="962" spans="1:72" x14ac:dyDescent="0.15">
      <c r="A962" t="s">
        <v>72</v>
      </c>
      <c r="B962" t="s">
        <v>18186</v>
      </c>
      <c r="C962" t="s">
        <v>74</v>
      </c>
      <c r="D962" t="s">
        <v>74</v>
      </c>
      <c r="E962" t="s">
        <v>74</v>
      </c>
      <c r="F962" t="s">
        <v>18187</v>
      </c>
      <c r="G962" t="s">
        <v>74</v>
      </c>
      <c r="H962" t="s">
        <v>74</v>
      </c>
      <c r="I962" t="s">
        <v>18188</v>
      </c>
      <c r="J962" t="s">
        <v>18189</v>
      </c>
      <c r="K962" t="s">
        <v>74</v>
      </c>
      <c r="L962" t="s">
        <v>74</v>
      </c>
      <c r="M962" t="s">
        <v>78</v>
      </c>
      <c r="N962" t="s">
        <v>79</v>
      </c>
      <c r="O962" t="s">
        <v>74</v>
      </c>
      <c r="P962" t="s">
        <v>74</v>
      </c>
      <c r="Q962" t="s">
        <v>74</v>
      </c>
      <c r="R962" t="s">
        <v>74</v>
      </c>
      <c r="S962" t="s">
        <v>74</v>
      </c>
      <c r="T962" t="s">
        <v>18190</v>
      </c>
      <c r="U962" t="s">
        <v>18191</v>
      </c>
      <c r="V962" t="s">
        <v>18192</v>
      </c>
      <c r="W962" t="s">
        <v>18193</v>
      </c>
      <c r="X962" t="s">
        <v>18194</v>
      </c>
      <c r="Y962" t="s">
        <v>18195</v>
      </c>
      <c r="Z962" t="s">
        <v>18196</v>
      </c>
      <c r="AA962" t="s">
        <v>74</v>
      </c>
      <c r="AB962" t="s">
        <v>74</v>
      </c>
      <c r="AC962" t="s">
        <v>74</v>
      </c>
      <c r="AD962" t="s">
        <v>74</v>
      </c>
      <c r="AE962" t="s">
        <v>74</v>
      </c>
      <c r="AF962" t="s">
        <v>74</v>
      </c>
      <c r="AG962">
        <v>19</v>
      </c>
      <c r="AH962">
        <v>3</v>
      </c>
      <c r="AI962">
        <v>3</v>
      </c>
      <c r="AJ962">
        <v>0</v>
      </c>
      <c r="AK962">
        <v>2</v>
      </c>
      <c r="AL962" t="s">
        <v>17638</v>
      </c>
      <c r="AM962" t="s">
        <v>17639</v>
      </c>
      <c r="AN962" t="s">
        <v>17640</v>
      </c>
      <c r="AO962" t="s">
        <v>74</v>
      </c>
      <c r="AP962" t="s">
        <v>18197</v>
      </c>
      <c r="AQ962" t="s">
        <v>74</v>
      </c>
      <c r="AR962" t="s">
        <v>18198</v>
      </c>
      <c r="AS962" t="s">
        <v>18199</v>
      </c>
      <c r="AT962" t="s">
        <v>74</v>
      </c>
      <c r="AU962">
        <v>2020</v>
      </c>
      <c r="AV962">
        <v>70</v>
      </c>
      <c r="AW962">
        <v>1</v>
      </c>
      <c r="AX962" t="s">
        <v>74</v>
      </c>
      <c r="AY962" t="s">
        <v>74</v>
      </c>
      <c r="AZ962" t="s">
        <v>74</v>
      </c>
      <c r="BA962" t="s">
        <v>74</v>
      </c>
      <c r="BB962">
        <v>328</v>
      </c>
      <c r="BC962">
        <v>352</v>
      </c>
      <c r="BD962" t="s">
        <v>74</v>
      </c>
      <c r="BE962" t="s">
        <v>18200</v>
      </c>
      <c r="BF962" t="str">
        <f>HYPERLINK("http://dx.doi.org/10.1071/ES19039","http://dx.doi.org/10.1071/ES19039")</f>
        <v>http://dx.doi.org/10.1071/ES19039</v>
      </c>
      <c r="BG962" t="s">
        <v>74</v>
      </c>
      <c r="BH962" t="s">
        <v>17215</v>
      </c>
      <c r="BI962">
        <v>25</v>
      </c>
      <c r="BJ962" t="s">
        <v>938</v>
      </c>
      <c r="BK962" t="s">
        <v>103</v>
      </c>
      <c r="BL962" t="s">
        <v>938</v>
      </c>
      <c r="BM962" t="s">
        <v>18201</v>
      </c>
      <c r="BN962" t="s">
        <v>74</v>
      </c>
      <c r="BO962" t="s">
        <v>326</v>
      </c>
      <c r="BP962" t="s">
        <v>74</v>
      </c>
      <c r="BQ962" t="s">
        <v>74</v>
      </c>
      <c r="BR962" t="s">
        <v>106</v>
      </c>
      <c r="BS962" t="s">
        <v>18202</v>
      </c>
      <c r="BT962" t="str">
        <f>HYPERLINK("https%3A%2F%2Fwww.webofscience.com%2Fwos%2Fwoscc%2Ffull-record%2FWOS:000598036600001","View Full Record in Web of Science")</f>
        <v>View Full Record in Web of Science</v>
      </c>
    </row>
    <row r="963" spans="1:72" x14ac:dyDescent="0.15">
      <c r="A963" t="s">
        <v>72</v>
      </c>
      <c r="B963" t="s">
        <v>18203</v>
      </c>
      <c r="C963" t="s">
        <v>74</v>
      </c>
      <c r="D963" t="s">
        <v>74</v>
      </c>
      <c r="E963" t="s">
        <v>74</v>
      </c>
      <c r="F963" t="s">
        <v>18204</v>
      </c>
      <c r="G963" t="s">
        <v>74</v>
      </c>
      <c r="H963" t="s">
        <v>74</v>
      </c>
      <c r="I963" t="s">
        <v>18205</v>
      </c>
      <c r="J963" t="s">
        <v>140</v>
      </c>
      <c r="K963" t="s">
        <v>74</v>
      </c>
      <c r="L963" t="s">
        <v>74</v>
      </c>
      <c r="M963" t="s">
        <v>78</v>
      </c>
      <c r="N963" t="s">
        <v>79</v>
      </c>
      <c r="O963" t="s">
        <v>74</v>
      </c>
      <c r="P963" t="s">
        <v>74</v>
      </c>
      <c r="Q963" t="s">
        <v>74</v>
      </c>
      <c r="R963" t="s">
        <v>74</v>
      </c>
      <c r="S963" t="s">
        <v>74</v>
      </c>
      <c r="T963" t="s">
        <v>74</v>
      </c>
      <c r="U963" t="s">
        <v>18206</v>
      </c>
      <c r="V963" t="s">
        <v>18207</v>
      </c>
      <c r="W963" t="s">
        <v>18208</v>
      </c>
      <c r="X963" t="s">
        <v>18209</v>
      </c>
      <c r="Y963" t="s">
        <v>18210</v>
      </c>
      <c r="Z963" t="s">
        <v>18211</v>
      </c>
      <c r="AA963" t="s">
        <v>74</v>
      </c>
      <c r="AB963" t="s">
        <v>18212</v>
      </c>
      <c r="AC963" t="s">
        <v>18213</v>
      </c>
      <c r="AD963" t="s">
        <v>4605</v>
      </c>
      <c r="AE963" t="s">
        <v>18214</v>
      </c>
      <c r="AF963" t="s">
        <v>74</v>
      </c>
      <c r="AG963">
        <v>39</v>
      </c>
      <c r="AH963">
        <v>3</v>
      </c>
      <c r="AI963">
        <v>5</v>
      </c>
      <c r="AJ963">
        <v>0</v>
      </c>
      <c r="AK963">
        <v>1</v>
      </c>
      <c r="AL963" t="s">
        <v>123</v>
      </c>
      <c r="AM963" t="s">
        <v>124</v>
      </c>
      <c r="AN963" t="s">
        <v>125</v>
      </c>
      <c r="AO963" t="s">
        <v>152</v>
      </c>
      <c r="AP963" t="s">
        <v>153</v>
      </c>
      <c r="AQ963" t="s">
        <v>74</v>
      </c>
      <c r="AR963" t="s">
        <v>140</v>
      </c>
      <c r="AS963" t="s">
        <v>154</v>
      </c>
      <c r="AT963" t="s">
        <v>18163</v>
      </c>
      <c r="AU963">
        <v>2020</v>
      </c>
      <c r="AV963">
        <v>14</v>
      </c>
      <c r="AW963">
        <v>11</v>
      </c>
      <c r="AX963" t="s">
        <v>74</v>
      </c>
      <c r="AY963" t="s">
        <v>74</v>
      </c>
      <c r="AZ963" t="s">
        <v>74</v>
      </c>
      <c r="BA963" t="s">
        <v>74</v>
      </c>
      <c r="BB963">
        <v>4135</v>
      </c>
      <c r="BC963">
        <v>4144</v>
      </c>
      <c r="BD963" t="s">
        <v>74</v>
      </c>
      <c r="BE963" t="s">
        <v>18215</v>
      </c>
      <c r="BF963" t="str">
        <f>HYPERLINK("http://dx.doi.org/10.5194/tc-14-4135-2020","http://dx.doi.org/10.5194/tc-14-4135-2020")</f>
        <v>http://dx.doi.org/10.5194/tc-14-4135-2020</v>
      </c>
      <c r="BG963" t="s">
        <v>74</v>
      </c>
      <c r="BH963" t="s">
        <v>74</v>
      </c>
      <c r="BI963">
        <v>10</v>
      </c>
      <c r="BJ963" t="s">
        <v>156</v>
      </c>
      <c r="BK963" t="s">
        <v>103</v>
      </c>
      <c r="BL963" t="s">
        <v>157</v>
      </c>
      <c r="BM963" t="s">
        <v>18216</v>
      </c>
      <c r="BN963" t="s">
        <v>74</v>
      </c>
      <c r="BO963" t="s">
        <v>159</v>
      </c>
      <c r="BP963" t="s">
        <v>74</v>
      </c>
      <c r="BQ963" t="s">
        <v>74</v>
      </c>
      <c r="BR963" t="s">
        <v>106</v>
      </c>
      <c r="BS963" t="s">
        <v>18217</v>
      </c>
      <c r="BT963" t="str">
        <f>HYPERLINK("https%3A%2F%2Fwww.webofscience.com%2Fwos%2Fwoscc%2Ffull-record%2FWOS:000592927700001","View Full Record in Web of Science")</f>
        <v>View Full Record in Web of Science</v>
      </c>
    </row>
    <row r="964" spans="1:72" x14ac:dyDescent="0.15">
      <c r="A964" t="s">
        <v>72</v>
      </c>
      <c r="B964" t="s">
        <v>18218</v>
      </c>
      <c r="C964" t="s">
        <v>74</v>
      </c>
      <c r="D964" t="s">
        <v>74</v>
      </c>
      <c r="E964" t="s">
        <v>74</v>
      </c>
      <c r="F964" t="s">
        <v>18219</v>
      </c>
      <c r="G964" t="s">
        <v>74</v>
      </c>
      <c r="H964" t="s">
        <v>74</v>
      </c>
      <c r="I964" t="s">
        <v>18220</v>
      </c>
      <c r="J964" t="s">
        <v>140</v>
      </c>
      <c r="K964" t="s">
        <v>74</v>
      </c>
      <c r="L964" t="s">
        <v>74</v>
      </c>
      <c r="M964" t="s">
        <v>78</v>
      </c>
      <c r="N964" t="s">
        <v>79</v>
      </c>
      <c r="O964" t="s">
        <v>74</v>
      </c>
      <c r="P964" t="s">
        <v>74</v>
      </c>
      <c r="Q964" t="s">
        <v>74</v>
      </c>
      <c r="R964" t="s">
        <v>74</v>
      </c>
      <c r="S964" t="s">
        <v>74</v>
      </c>
      <c r="T964" t="s">
        <v>74</v>
      </c>
      <c r="U964" t="s">
        <v>18221</v>
      </c>
      <c r="V964" t="s">
        <v>18222</v>
      </c>
      <c r="W964" t="s">
        <v>18223</v>
      </c>
      <c r="X964" t="s">
        <v>18224</v>
      </c>
      <c r="Y964" t="s">
        <v>18225</v>
      </c>
      <c r="Z964" t="s">
        <v>18226</v>
      </c>
      <c r="AA964" t="s">
        <v>18227</v>
      </c>
      <c r="AB964" t="s">
        <v>18228</v>
      </c>
      <c r="AC964" t="s">
        <v>18229</v>
      </c>
      <c r="AD964" t="s">
        <v>18230</v>
      </c>
      <c r="AE964" t="s">
        <v>18231</v>
      </c>
      <c r="AF964" t="s">
        <v>74</v>
      </c>
      <c r="AG964">
        <v>79</v>
      </c>
      <c r="AH964">
        <v>8</v>
      </c>
      <c r="AI964">
        <v>8</v>
      </c>
      <c r="AJ964">
        <v>1</v>
      </c>
      <c r="AK964">
        <v>6</v>
      </c>
      <c r="AL964" t="s">
        <v>123</v>
      </c>
      <c r="AM964" t="s">
        <v>124</v>
      </c>
      <c r="AN964" t="s">
        <v>125</v>
      </c>
      <c r="AO964" t="s">
        <v>152</v>
      </c>
      <c r="AP964" t="s">
        <v>153</v>
      </c>
      <c r="AQ964" t="s">
        <v>74</v>
      </c>
      <c r="AR964" t="s">
        <v>140</v>
      </c>
      <c r="AS964" t="s">
        <v>154</v>
      </c>
      <c r="AT964" t="s">
        <v>18232</v>
      </c>
      <c r="AU964">
        <v>2020</v>
      </c>
      <c r="AV964">
        <v>14</v>
      </c>
      <c r="AW964">
        <v>11</v>
      </c>
      <c r="AX964" t="s">
        <v>74</v>
      </c>
      <c r="AY964" t="s">
        <v>74</v>
      </c>
      <c r="AZ964" t="s">
        <v>74</v>
      </c>
      <c r="BA964" t="s">
        <v>74</v>
      </c>
      <c r="BB964">
        <v>4083</v>
      </c>
      <c r="BC964">
        <v>4102</v>
      </c>
      <c r="BD964" t="s">
        <v>74</v>
      </c>
      <c r="BE964" t="s">
        <v>18233</v>
      </c>
      <c r="BF964" t="str">
        <f>HYPERLINK("http://dx.doi.org/10.5194/tc-14-4083-2020","http://dx.doi.org/10.5194/tc-14-4083-2020")</f>
        <v>http://dx.doi.org/10.5194/tc-14-4083-2020</v>
      </c>
      <c r="BG964" t="s">
        <v>74</v>
      </c>
      <c r="BH964" t="s">
        <v>74</v>
      </c>
      <c r="BI964">
        <v>20</v>
      </c>
      <c r="BJ964" t="s">
        <v>156</v>
      </c>
      <c r="BK964" t="s">
        <v>103</v>
      </c>
      <c r="BL964" t="s">
        <v>157</v>
      </c>
      <c r="BM964" t="s">
        <v>18234</v>
      </c>
      <c r="BN964" t="s">
        <v>74</v>
      </c>
      <c r="BO964" t="s">
        <v>899</v>
      </c>
      <c r="BP964" t="s">
        <v>74</v>
      </c>
      <c r="BQ964" t="s">
        <v>74</v>
      </c>
      <c r="BR964" t="s">
        <v>106</v>
      </c>
      <c r="BS964" t="s">
        <v>18235</v>
      </c>
      <c r="BT964" t="str">
        <f>HYPERLINK("https%3A%2F%2Fwww.webofscience.com%2Fwos%2Fwoscc%2Ffull-record%2FWOS:000592860800001","View Full Record in Web of Science")</f>
        <v>View Full Record in Web of Science</v>
      </c>
    </row>
    <row r="965" spans="1:72" x14ac:dyDescent="0.15">
      <c r="A965" t="s">
        <v>72</v>
      </c>
      <c r="B965" t="s">
        <v>18236</v>
      </c>
      <c r="C965" t="s">
        <v>74</v>
      </c>
      <c r="D965" t="s">
        <v>74</v>
      </c>
      <c r="E965" t="s">
        <v>74</v>
      </c>
      <c r="F965" t="s">
        <v>18237</v>
      </c>
      <c r="G965" t="s">
        <v>74</v>
      </c>
      <c r="H965" t="s">
        <v>74</v>
      </c>
      <c r="I965" t="s">
        <v>18238</v>
      </c>
      <c r="J965" t="s">
        <v>140</v>
      </c>
      <c r="K965" t="s">
        <v>74</v>
      </c>
      <c r="L965" t="s">
        <v>74</v>
      </c>
      <c r="M965" t="s">
        <v>78</v>
      </c>
      <c r="N965" t="s">
        <v>79</v>
      </c>
      <c r="O965" t="s">
        <v>74</v>
      </c>
      <c r="P965" t="s">
        <v>74</v>
      </c>
      <c r="Q965" t="s">
        <v>74</v>
      </c>
      <c r="R965" t="s">
        <v>74</v>
      </c>
      <c r="S965" t="s">
        <v>74</v>
      </c>
      <c r="T965" t="s">
        <v>74</v>
      </c>
      <c r="U965" t="s">
        <v>18239</v>
      </c>
      <c r="V965" t="s">
        <v>18240</v>
      </c>
      <c r="W965" t="s">
        <v>18241</v>
      </c>
      <c r="X965" t="s">
        <v>18242</v>
      </c>
      <c r="Y965" t="s">
        <v>18243</v>
      </c>
      <c r="Z965" t="s">
        <v>18244</v>
      </c>
      <c r="AA965" t="s">
        <v>18245</v>
      </c>
      <c r="AB965" t="s">
        <v>18246</v>
      </c>
      <c r="AC965" t="s">
        <v>18247</v>
      </c>
      <c r="AD965" t="s">
        <v>150</v>
      </c>
      <c r="AE965" t="s">
        <v>18248</v>
      </c>
      <c r="AF965" t="s">
        <v>74</v>
      </c>
      <c r="AG965">
        <v>84</v>
      </c>
      <c r="AH965">
        <v>30</v>
      </c>
      <c r="AI965">
        <v>34</v>
      </c>
      <c r="AJ965">
        <v>0</v>
      </c>
      <c r="AK965">
        <v>14</v>
      </c>
      <c r="AL965" t="s">
        <v>123</v>
      </c>
      <c r="AM965" t="s">
        <v>124</v>
      </c>
      <c r="AN965" t="s">
        <v>125</v>
      </c>
      <c r="AO965" t="s">
        <v>152</v>
      </c>
      <c r="AP965" t="s">
        <v>153</v>
      </c>
      <c r="AQ965" t="s">
        <v>74</v>
      </c>
      <c r="AR965" t="s">
        <v>140</v>
      </c>
      <c r="AS965" t="s">
        <v>154</v>
      </c>
      <c r="AT965" t="s">
        <v>18232</v>
      </c>
      <c r="AU965">
        <v>2020</v>
      </c>
      <c r="AV965">
        <v>14</v>
      </c>
      <c r="AW965">
        <v>11</v>
      </c>
      <c r="AX965" t="s">
        <v>74</v>
      </c>
      <c r="AY965" t="s">
        <v>74</v>
      </c>
      <c r="AZ965" t="s">
        <v>74</v>
      </c>
      <c r="BA965" t="s">
        <v>74</v>
      </c>
      <c r="BB965">
        <v>4103</v>
      </c>
      <c r="BC965">
        <v>4120</v>
      </c>
      <c r="BD965" t="s">
        <v>74</v>
      </c>
      <c r="BE965" t="s">
        <v>18249</v>
      </c>
      <c r="BF965" t="str">
        <f>HYPERLINK("http://dx.doi.org/10.5194/tc-14-4103-2020","http://dx.doi.org/10.5194/tc-14-4103-2020")</f>
        <v>http://dx.doi.org/10.5194/tc-14-4103-2020</v>
      </c>
      <c r="BG965" t="s">
        <v>74</v>
      </c>
      <c r="BH965" t="s">
        <v>74</v>
      </c>
      <c r="BI965">
        <v>18</v>
      </c>
      <c r="BJ965" t="s">
        <v>156</v>
      </c>
      <c r="BK965" t="s">
        <v>103</v>
      </c>
      <c r="BL965" t="s">
        <v>157</v>
      </c>
      <c r="BM965" t="s">
        <v>18234</v>
      </c>
      <c r="BN965" t="s">
        <v>74</v>
      </c>
      <c r="BO965" t="s">
        <v>18250</v>
      </c>
      <c r="BP965" t="s">
        <v>74</v>
      </c>
      <c r="BQ965" t="s">
        <v>74</v>
      </c>
      <c r="BR965" t="s">
        <v>106</v>
      </c>
      <c r="BS965" t="s">
        <v>18251</v>
      </c>
      <c r="BT965" t="str">
        <f>HYPERLINK("https%3A%2F%2Fwww.webofscience.com%2Fwos%2Fwoscc%2Ffull-record%2FWOS:000592860800002","View Full Record in Web of Science")</f>
        <v>View Full Record in Web of Science</v>
      </c>
    </row>
    <row r="966" spans="1:72" x14ac:dyDescent="0.15">
      <c r="A966" t="s">
        <v>72</v>
      </c>
      <c r="B966" t="s">
        <v>18252</v>
      </c>
      <c r="C966" t="s">
        <v>74</v>
      </c>
      <c r="D966" t="s">
        <v>74</v>
      </c>
      <c r="E966" t="s">
        <v>74</v>
      </c>
      <c r="F966" t="s">
        <v>18253</v>
      </c>
      <c r="G966" t="s">
        <v>74</v>
      </c>
      <c r="H966" t="s">
        <v>74</v>
      </c>
      <c r="I966" t="s">
        <v>18254</v>
      </c>
      <c r="J966" t="s">
        <v>2272</v>
      </c>
      <c r="K966" t="s">
        <v>74</v>
      </c>
      <c r="L966" t="s">
        <v>74</v>
      </c>
      <c r="M966" t="s">
        <v>78</v>
      </c>
      <c r="N966" t="s">
        <v>1145</v>
      </c>
      <c r="O966" t="s">
        <v>74</v>
      </c>
      <c r="P966" t="s">
        <v>74</v>
      </c>
      <c r="Q966" t="s">
        <v>74</v>
      </c>
      <c r="R966" t="s">
        <v>74</v>
      </c>
      <c r="S966" t="s">
        <v>74</v>
      </c>
      <c r="T966" t="s">
        <v>74</v>
      </c>
      <c r="U966" t="s">
        <v>74</v>
      </c>
      <c r="V966" t="s">
        <v>18255</v>
      </c>
      <c r="W966" t="s">
        <v>18256</v>
      </c>
      <c r="X966" t="s">
        <v>18257</v>
      </c>
      <c r="Y966" t="s">
        <v>18258</v>
      </c>
      <c r="Z966" t="s">
        <v>18259</v>
      </c>
      <c r="AA966" t="s">
        <v>18260</v>
      </c>
      <c r="AB966" t="s">
        <v>18261</v>
      </c>
      <c r="AC966" t="s">
        <v>18262</v>
      </c>
      <c r="AD966" t="s">
        <v>18263</v>
      </c>
      <c r="AE966" t="s">
        <v>18264</v>
      </c>
      <c r="AF966" t="s">
        <v>74</v>
      </c>
      <c r="AG966">
        <v>32</v>
      </c>
      <c r="AH966">
        <v>207</v>
      </c>
      <c r="AI966">
        <v>210</v>
      </c>
      <c r="AJ966">
        <v>8</v>
      </c>
      <c r="AK966">
        <v>77</v>
      </c>
      <c r="AL966" t="s">
        <v>123</v>
      </c>
      <c r="AM966" t="s">
        <v>124</v>
      </c>
      <c r="AN966" t="s">
        <v>125</v>
      </c>
      <c r="AO966" t="s">
        <v>2282</v>
      </c>
      <c r="AP966" t="s">
        <v>2283</v>
      </c>
      <c r="AQ966" t="s">
        <v>74</v>
      </c>
      <c r="AR966" t="s">
        <v>2284</v>
      </c>
      <c r="AS966" t="s">
        <v>2285</v>
      </c>
      <c r="AT966" t="s">
        <v>18232</v>
      </c>
      <c r="AU966">
        <v>2020</v>
      </c>
      <c r="AV966">
        <v>12</v>
      </c>
      <c r="AW966">
        <v>4</v>
      </c>
      <c r="AX966" t="s">
        <v>74</v>
      </c>
      <c r="AY966" t="s">
        <v>74</v>
      </c>
      <c r="AZ966" t="s">
        <v>74</v>
      </c>
      <c r="BA966" t="s">
        <v>74</v>
      </c>
      <c r="BB966">
        <v>2959</v>
      </c>
      <c r="BC966">
        <v>2970</v>
      </c>
      <c r="BD966" t="s">
        <v>74</v>
      </c>
      <c r="BE966" t="s">
        <v>18265</v>
      </c>
      <c r="BF966" t="str">
        <f>HYPERLINK("http://dx.doi.org/10.5194/essd-12-2959-2020","http://dx.doi.org/10.5194/essd-12-2959-2020")</f>
        <v>http://dx.doi.org/10.5194/essd-12-2959-2020</v>
      </c>
      <c r="BG966" t="s">
        <v>74</v>
      </c>
      <c r="BH966" t="s">
        <v>74</v>
      </c>
      <c r="BI966">
        <v>12</v>
      </c>
      <c r="BJ966" t="s">
        <v>1570</v>
      </c>
      <c r="BK966" t="s">
        <v>103</v>
      </c>
      <c r="BL966" t="s">
        <v>1571</v>
      </c>
      <c r="BM966" t="s">
        <v>18266</v>
      </c>
      <c r="BN966" t="s">
        <v>74</v>
      </c>
      <c r="BO966" t="s">
        <v>246</v>
      </c>
      <c r="BP966" t="s">
        <v>1589</v>
      </c>
      <c r="BQ966" t="s">
        <v>1590</v>
      </c>
      <c r="BR966" t="s">
        <v>106</v>
      </c>
      <c r="BS966" t="s">
        <v>18267</v>
      </c>
      <c r="BT966" t="str">
        <f>HYPERLINK("https%3A%2F%2Fwww.webofscience.com%2Fwos%2Fwoscc%2Ffull-record%2FWOS:000592857100003","View Full Record in Web of Science")</f>
        <v>View Full Record in Web of Science</v>
      </c>
    </row>
    <row r="967" spans="1:72" x14ac:dyDescent="0.15">
      <c r="A967" t="s">
        <v>72</v>
      </c>
      <c r="B967" t="s">
        <v>18268</v>
      </c>
      <c r="C967" t="s">
        <v>74</v>
      </c>
      <c r="D967" t="s">
        <v>74</v>
      </c>
      <c r="E967" t="s">
        <v>74</v>
      </c>
      <c r="F967" t="s">
        <v>18269</v>
      </c>
      <c r="G967" t="s">
        <v>74</v>
      </c>
      <c r="H967" t="s">
        <v>74</v>
      </c>
      <c r="I967" t="s">
        <v>18270</v>
      </c>
      <c r="J967" t="s">
        <v>2075</v>
      </c>
      <c r="K967" t="s">
        <v>74</v>
      </c>
      <c r="L967" t="s">
        <v>74</v>
      </c>
      <c r="M967" t="s">
        <v>78</v>
      </c>
      <c r="N967" t="s">
        <v>79</v>
      </c>
      <c r="O967" t="s">
        <v>74</v>
      </c>
      <c r="P967" t="s">
        <v>74</v>
      </c>
      <c r="Q967" t="s">
        <v>74</v>
      </c>
      <c r="R967" t="s">
        <v>74</v>
      </c>
      <c r="S967" t="s">
        <v>74</v>
      </c>
      <c r="T967" t="s">
        <v>74</v>
      </c>
      <c r="U967" t="s">
        <v>18271</v>
      </c>
      <c r="V967" t="s">
        <v>18272</v>
      </c>
      <c r="W967" t="s">
        <v>18273</v>
      </c>
      <c r="X967" t="s">
        <v>18274</v>
      </c>
      <c r="Y967" t="s">
        <v>18275</v>
      </c>
      <c r="Z967" t="s">
        <v>18276</v>
      </c>
      <c r="AA967" t="s">
        <v>74</v>
      </c>
      <c r="AB967" t="s">
        <v>18277</v>
      </c>
      <c r="AC967" t="s">
        <v>74</v>
      </c>
      <c r="AD967" t="s">
        <v>74</v>
      </c>
      <c r="AE967" t="s">
        <v>74</v>
      </c>
      <c r="AF967" t="s">
        <v>74</v>
      </c>
      <c r="AG967">
        <v>98</v>
      </c>
      <c r="AH967">
        <v>11</v>
      </c>
      <c r="AI967">
        <v>11</v>
      </c>
      <c r="AJ967">
        <v>0</v>
      </c>
      <c r="AK967">
        <v>4</v>
      </c>
      <c r="AL967" t="s">
        <v>955</v>
      </c>
      <c r="AM967" t="s">
        <v>528</v>
      </c>
      <c r="AN967" t="s">
        <v>529</v>
      </c>
      <c r="AO967" t="s">
        <v>2085</v>
      </c>
      <c r="AP967" t="s">
        <v>74</v>
      </c>
      <c r="AQ967" t="s">
        <v>74</v>
      </c>
      <c r="AR967" t="s">
        <v>2086</v>
      </c>
      <c r="AS967" t="s">
        <v>2087</v>
      </c>
      <c r="AT967" t="s">
        <v>18278</v>
      </c>
      <c r="AU967">
        <v>2020</v>
      </c>
      <c r="AV967">
        <v>10</v>
      </c>
      <c r="AW967">
        <v>1</v>
      </c>
      <c r="AX967" t="s">
        <v>74</v>
      </c>
      <c r="AY967" t="s">
        <v>74</v>
      </c>
      <c r="AZ967" t="s">
        <v>74</v>
      </c>
      <c r="BA967" t="s">
        <v>74</v>
      </c>
      <c r="BB967" t="s">
        <v>74</v>
      </c>
      <c r="BC967" t="s">
        <v>74</v>
      </c>
      <c r="BD967">
        <v>19994</v>
      </c>
      <c r="BE967" t="s">
        <v>18279</v>
      </c>
      <c r="BF967" t="str">
        <f>HYPERLINK("http://dx.doi.org/10.1038/s41598-020-77070-6","http://dx.doi.org/10.1038/s41598-020-77070-6")</f>
        <v>http://dx.doi.org/10.1038/s41598-020-77070-6</v>
      </c>
      <c r="BG967" t="s">
        <v>74</v>
      </c>
      <c r="BH967" t="s">
        <v>74</v>
      </c>
      <c r="BI967">
        <v>17</v>
      </c>
      <c r="BJ967" t="s">
        <v>534</v>
      </c>
      <c r="BK967" t="s">
        <v>103</v>
      </c>
      <c r="BL967" t="s">
        <v>535</v>
      </c>
      <c r="BM967" t="s">
        <v>18280</v>
      </c>
      <c r="BN967">
        <v>33203908</v>
      </c>
      <c r="BO967" t="s">
        <v>246</v>
      </c>
      <c r="BP967" t="s">
        <v>74</v>
      </c>
      <c r="BQ967" t="s">
        <v>74</v>
      </c>
      <c r="BR967" t="s">
        <v>106</v>
      </c>
      <c r="BS967" t="s">
        <v>18281</v>
      </c>
      <c r="BT967" t="str">
        <f>HYPERLINK("https%3A%2F%2Fwww.webofscience.com%2Fwos%2Fwoscc%2Ffull-record%2FWOS:000604516000014","View Full Record in Web of Science")</f>
        <v>View Full Record in Web of Science</v>
      </c>
    </row>
    <row r="968" spans="1:72" x14ac:dyDescent="0.15">
      <c r="A968" t="s">
        <v>72</v>
      </c>
      <c r="B968" t="s">
        <v>18282</v>
      </c>
      <c r="C968" t="s">
        <v>74</v>
      </c>
      <c r="D968" t="s">
        <v>74</v>
      </c>
      <c r="E968" t="s">
        <v>74</v>
      </c>
      <c r="F968" t="s">
        <v>18283</v>
      </c>
      <c r="G968" t="s">
        <v>74</v>
      </c>
      <c r="H968" t="s">
        <v>74</v>
      </c>
      <c r="I968" t="s">
        <v>18284</v>
      </c>
      <c r="J968" t="s">
        <v>1278</v>
      </c>
      <c r="K968" t="s">
        <v>74</v>
      </c>
      <c r="L968" t="s">
        <v>74</v>
      </c>
      <c r="M968" t="s">
        <v>78</v>
      </c>
      <c r="N968" t="s">
        <v>79</v>
      </c>
      <c r="O968" t="s">
        <v>74</v>
      </c>
      <c r="P968" t="s">
        <v>74</v>
      </c>
      <c r="Q968" t="s">
        <v>74</v>
      </c>
      <c r="R968" t="s">
        <v>74</v>
      </c>
      <c r="S968" t="s">
        <v>74</v>
      </c>
      <c r="T968" t="s">
        <v>18285</v>
      </c>
      <c r="U968" t="s">
        <v>18286</v>
      </c>
      <c r="V968" t="s">
        <v>18287</v>
      </c>
      <c r="W968" t="s">
        <v>18288</v>
      </c>
      <c r="X968" t="s">
        <v>18289</v>
      </c>
      <c r="Y968" t="s">
        <v>18290</v>
      </c>
      <c r="Z968" t="s">
        <v>18291</v>
      </c>
      <c r="AA968" t="s">
        <v>18292</v>
      </c>
      <c r="AB968" t="s">
        <v>18293</v>
      </c>
      <c r="AC968" t="s">
        <v>18294</v>
      </c>
      <c r="AD968" t="s">
        <v>18295</v>
      </c>
      <c r="AE968" t="s">
        <v>18296</v>
      </c>
      <c r="AF968" t="s">
        <v>74</v>
      </c>
      <c r="AG968">
        <v>50</v>
      </c>
      <c r="AH968">
        <v>5</v>
      </c>
      <c r="AI968">
        <v>5</v>
      </c>
      <c r="AJ968">
        <v>1</v>
      </c>
      <c r="AK968">
        <v>3</v>
      </c>
      <c r="AL968" t="s">
        <v>1291</v>
      </c>
      <c r="AM968" t="s">
        <v>629</v>
      </c>
      <c r="AN968" t="s">
        <v>1292</v>
      </c>
      <c r="AO968" t="s">
        <v>1293</v>
      </c>
      <c r="AP968" t="s">
        <v>1294</v>
      </c>
      <c r="AQ968" t="s">
        <v>74</v>
      </c>
      <c r="AR968" t="s">
        <v>1295</v>
      </c>
      <c r="AS968" t="s">
        <v>1296</v>
      </c>
      <c r="AT968" t="s">
        <v>18297</v>
      </c>
      <c r="AU968">
        <v>2020</v>
      </c>
      <c r="AV968">
        <v>47</v>
      </c>
      <c r="AW968">
        <v>21</v>
      </c>
      <c r="AX968" t="s">
        <v>74</v>
      </c>
      <c r="AY968" t="s">
        <v>74</v>
      </c>
      <c r="AZ968" t="s">
        <v>74</v>
      </c>
      <c r="BA968" t="s">
        <v>74</v>
      </c>
      <c r="BB968" t="s">
        <v>74</v>
      </c>
      <c r="BC968" t="s">
        <v>74</v>
      </c>
      <c r="BD968" t="s">
        <v>18298</v>
      </c>
      <c r="BE968" t="s">
        <v>18299</v>
      </c>
      <c r="BF968" t="str">
        <f>HYPERLINK("http://dx.doi.org/10.1029/2020GL088654","http://dx.doi.org/10.1029/2020GL088654")</f>
        <v>http://dx.doi.org/10.1029/2020GL088654</v>
      </c>
      <c r="BG968" t="s">
        <v>74</v>
      </c>
      <c r="BH968" t="s">
        <v>74</v>
      </c>
      <c r="BI968">
        <v>10</v>
      </c>
      <c r="BJ968" t="s">
        <v>401</v>
      </c>
      <c r="BK968" t="s">
        <v>103</v>
      </c>
      <c r="BL968" t="s">
        <v>402</v>
      </c>
      <c r="BM968" t="s">
        <v>18300</v>
      </c>
      <c r="BN968" t="s">
        <v>74</v>
      </c>
      <c r="BO968" t="s">
        <v>218</v>
      </c>
      <c r="BP968" t="s">
        <v>74</v>
      </c>
      <c r="BQ968" t="s">
        <v>74</v>
      </c>
      <c r="BR968" t="s">
        <v>106</v>
      </c>
      <c r="BS968" t="s">
        <v>18301</v>
      </c>
      <c r="BT968" t="str">
        <f>HYPERLINK("https%3A%2F%2Fwww.webofscience.com%2Fwos%2Fwoscc%2Ffull-record%2FWOS:000593976300025","View Full Record in Web of Science")</f>
        <v>View Full Record in Web of Science</v>
      </c>
    </row>
    <row r="969" spans="1:72" x14ac:dyDescent="0.15">
      <c r="A969" t="s">
        <v>72</v>
      </c>
      <c r="B969" t="s">
        <v>18302</v>
      </c>
      <c r="C969" t="s">
        <v>74</v>
      </c>
      <c r="D969" t="s">
        <v>74</v>
      </c>
      <c r="E969" t="s">
        <v>74</v>
      </c>
      <c r="F969" t="s">
        <v>18303</v>
      </c>
      <c r="G969" t="s">
        <v>74</v>
      </c>
      <c r="H969" t="s">
        <v>74</v>
      </c>
      <c r="I969" t="s">
        <v>18304</v>
      </c>
      <c r="J969" t="s">
        <v>1278</v>
      </c>
      <c r="K969" t="s">
        <v>74</v>
      </c>
      <c r="L969" t="s">
        <v>74</v>
      </c>
      <c r="M969" t="s">
        <v>78</v>
      </c>
      <c r="N969" t="s">
        <v>79</v>
      </c>
      <c r="O969" t="s">
        <v>74</v>
      </c>
      <c r="P969" t="s">
        <v>74</v>
      </c>
      <c r="Q969" t="s">
        <v>74</v>
      </c>
      <c r="R969" t="s">
        <v>74</v>
      </c>
      <c r="S969" t="s">
        <v>74</v>
      </c>
      <c r="T969" t="s">
        <v>18305</v>
      </c>
      <c r="U969" t="s">
        <v>18306</v>
      </c>
      <c r="V969" t="s">
        <v>18307</v>
      </c>
      <c r="W969" t="s">
        <v>18308</v>
      </c>
      <c r="X969" t="s">
        <v>18309</v>
      </c>
      <c r="Y969" t="s">
        <v>18310</v>
      </c>
      <c r="Z969" t="s">
        <v>18311</v>
      </c>
      <c r="AA969" t="s">
        <v>18312</v>
      </c>
      <c r="AB969" t="s">
        <v>18313</v>
      </c>
      <c r="AC969" t="s">
        <v>18314</v>
      </c>
      <c r="AD969" t="s">
        <v>18315</v>
      </c>
      <c r="AE969" t="s">
        <v>18316</v>
      </c>
      <c r="AF969" t="s">
        <v>74</v>
      </c>
      <c r="AG969">
        <v>46</v>
      </c>
      <c r="AH969">
        <v>6</v>
      </c>
      <c r="AI969">
        <v>6</v>
      </c>
      <c r="AJ969">
        <v>2</v>
      </c>
      <c r="AK969">
        <v>10</v>
      </c>
      <c r="AL969" t="s">
        <v>1291</v>
      </c>
      <c r="AM969" t="s">
        <v>629</v>
      </c>
      <c r="AN969" t="s">
        <v>1292</v>
      </c>
      <c r="AO969" t="s">
        <v>1293</v>
      </c>
      <c r="AP969" t="s">
        <v>1294</v>
      </c>
      <c r="AQ969" t="s">
        <v>74</v>
      </c>
      <c r="AR969" t="s">
        <v>1295</v>
      </c>
      <c r="AS969" t="s">
        <v>1296</v>
      </c>
      <c r="AT969" t="s">
        <v>18297</v>
      </c>
      <c r="AU969">
        <v>2020</v>
      </c>
      <c r="AV969">
        <v>47</v>
      </c>
      <c r="AW969">
        <v>21</v>
      </c>
      <c r="AX969" t="s">
        <v>74</v>
      </c>
      <c r="AY969" t="s">
        <v>74</v>
      </c>
      <c r="AZ969" t="s">
        <v>74</v>
      </c>
      <c r="BA969" t="s">
        <v>74</v>
      </c>
      <c r="BB969" t="s">
        <v>74</v>
      </c>
      <c r="BC969" t="s">
        <v>74</v>
      </c>
      <c r="BD969" t="s">
        <v>18317</v>
      </c>
      <c r="BE969" t="s">
        <v>18318</v>
      </c>
      <c r="BF969" t="str">
        <f>HYPERLINK("http://dx.doi.org/10.1029/2020GL090498","http://dx.doi.org/10.1029/2020GL090498")</f>
        <v>http://dx.doi.org/10.1029/2020GL090498</v>
      </c>
      <c r="BG969" t="s">
        <v>74</v>
      </c>
      <c r="BH969" t="s">
        <v>74</v>
      </c>
      <c r="BI969">
        <v>10</v>
      </c>
      <c r="BJ969" t="s">
        <v>401</v>
      </c>
      <c r="BK969" t="s">
        <v>103</v>
      </c>
      <c r="BL969" t="s">
        <v>402</v>
      </c>
      <c r="BM969" t="s">
        <v>18300</v>
      </c>
      <c r="BN969" t="s">
        <v>74</v>
      </c>
      <c r="BO969" t="s">
        <v>428</v>
      </c>
      <c r="BP969" t="s">
        <v>74</v>
      </c>
      <c r="BQ969" t="s">
        <v>74</v>
      </c>
      <c r="BR969" t="s">
        <v>106</v>
      </c>
      <c r="BS969" t="s">
        <v>18319</v>
      </c>
      <c r="BT969" t="str">
        <f>HYPERLINK("https%3A%2F%2Fwww.webofscience.com%2Fwos%2Fwoscc%2Ffull-record%2FWOS:000593976300047","View Full Record in Web of Science")</f>
        <v>View Full Record in Web of Science</v>
      </c>
    </row>
    <row r="970" spans="1:72" x14ac:dyDescent="0.15">
      <c r="A970" t="s">
        <v>72</v>
      </c>
      <c r="B970" t="s">
        <v>18320</v>
      </c>
      <c r="C970" t="s">
        <v>74</v>
      </c>
      <c r="D970" t="s">
        <v>74</v>
      </c>
      <c r="E970" t="s">
        <v>74</v>
      </c>
      <c r="F970" t="s">
        <v>18321</v>
      </c>
      <c r="G970" t="s">
        <v>74</v>
      </c>
      <c r="H970" t="s">
        <v>74</v>
      </c>
      <c r="I970" t="s">
        <v>18322</v>
      </c>
      <c r="J970" t="s">
        <v>1278</v>
      </c>
      <c r="K970" t="s">
        <v>74</v>
      </c>
      <c r="L970" t="s">
        <v>74</v>
      </c>
      <c r="M970" t="s">
        <v>78</v>
      </c>
      <c r="N970" t="s">
        <v>79</v>
      </c>
      <c r="O970" t="s">
        <v>74</v>
      </c>
      <c r="P970" t="s">
        <v>74</v>
      </c>
      <c r="Q970" t="s">
        <v>74</v>
      </c>
      <c r="R970" t="s">
        <v>74</v>
      </c>
      <c r="S970" t="s">
        <v>74</v>
      </c>
      <c r="T970" t="s">
        <v>18323</v>
      </c>
      <c r="U970" t="s">
        <v>18324</v>
      </c>
      <c r="V970" t="s">
        <v>18325</v>
      </c>
      <c r="W970" t="s">
        <v>18326</v>
      </c>
      <c r="X970" t="s">
        <v>18327</v>
      </c>
      <c r="Y970" t="s">
        <v>18328</v>
      </c>
      <c r="Z970" t="s">
        <v>18329</v>
      </c>
      <c r="AA970" t="s">
        <v>18330</v>
      </c>
      <c r="AB970" t="s">
        <v>18331</v>
      </c>
      <c r="AC970" t="s">
        <v>18332</v>
      </c>
      <c r="AD970" t="s">
        <v>18333</v>
      </c>
      <c r="AE970" t="s">
        <v>18334</v>
      </c>
      <c r="AF970" t="s">
        <v>74</v>
      </c>
      <c r="AG970">
        <v>50</v>
      </c>
      <c r="AH970">
        <v>5</v>
      </c>
      <c r="AI970">
        <v>6</v>
      </c>
      <c r="AJ970">
        <v>0</v>
      </c>
      <c r="AK970">
        <v>7</v>
      </c>
      <c r="AL970" t="s">
        <v>1291</v>
      </c>
      <c r="AM970" t="s">
        <v>629</v>
      </c>
      <c r="AN970" t="s">
        <v>1292</v>
      </c>
      <c r="AO970" t="s">
        <v>1293</v>
      </c>
      <c r="AP970" t="s">
        <v>1294</v>
      </c>
      <c r="AQ970" t="s">
        <v>74</v>
      </c>
      <c r="AR970" t="s">
        <v>1295</v>
      </c>
      <c r="AS970" t="s">
        <v>1296</v>
      </c>
      <c r="AT970" t="s">
        <v>18297</v>
      </c>
      <c r="AU970">
        <v>2020</v>
      </c>
      <c r="AV970">
        <v>47</v>
      </c>
      <c r="AW970">
        <v>21</v>
      </c>
      <c r="AX970" t="s">
        <v>74</v>
      </c>
      <c r="AY970" t="s">
        <v>74</v>
      </c>
      <c r="AZ970" t="s">
        <v>74</v>
      </c>
      <c r="BA970" t="s">
        <v>74</v>
      </c>
      <c r="BB970" t="s">
        <v>74</v>
      </c>
      <c r="BC970" t="s">
        <v>74</v>
      </c>
      <c r="BD970" t="s">
        <v>18335</v>
      </c>
      <c r="BE970" t="s">
        <v>18336</v>
      </c>
      <c r="BF970" t="str">
        <f>HYPERLINK("http://dx.doi.org/10.1029/2020GL090597","http://dx.doi.org/10.1029/2020GL090597")</f>
        <v>http://dx.doi.org/10.1029/2020GL090597</v>
      </c>
      <c r="BG970" t="s">
        <v>74</v>
      </c>
      <c r="BH970" t="s">
        <v>74</v>
      </c>
      <c r="BI970">
        <v>9</v>
      </c>
      <c r="BJ970" t="s">
        <v>401</v>
      </c>
      <c r="BK970" t="s">
        <v>103</v>
      </c>
      <c r="BL970" t="s">
        <v>402</v>
      </c>
      <c r="BM970" t="s">
        <v>18300</v>
      </c>
      <c r="BN970" t="s">
        <v>74</v>
      </c>
      <c r="BO970" t="s">
        <v>189</v>
      </c>
      <c r="BP970" t="s">
        <v>74</v>
      </c>
      <c r="BQ970" t="s">
        <v>74</v>
      </c>
      <c r="BR970" t="s">
        <v>106</v>
      </c>
      <c r="BS970" t="s">
        <v>18337</v>
      </c>
      <c r="BT970" t="str">
        <f>HYPERLINK("https%3A%2F%2Fwww.webofscience.com%2Fwos%2Fwoscc%2Ffull-record%2FWOS:000593976300020","View Full Record in Web of Science")</f>
        <v>View Full Record in Web of Science</v>
      </c>
    </row>
    <row r="971" spans="1:72" x14ac:dyDescent="0.15">
      <c r="A971" t="s">
        <v>72</v>
      </c>
      <c r="B971" t="s">
        <v>18338</v>
      </c>
      <c r="C971" t="s">
        <v>74</v>
      </c>
      <c r="D971" t="s">
        <v>74</v>
      </c>
      <c r="E971" t="s">
        <v>74</v>
      </c>
      <c r="F971" t="s">
        <v>18339</v>
      </c>
      <c r="G971" t="s">
        <v>74</v>
      </c>
      <c r="H971" t="s">
        <v>74</v>
      </c>
      <c r="I971" t="s">
        <v>18340</v>
      </c>
      <c r="J971" t="s">
        <v>1278</v>
      </c>
      <c r="K971" t="s">
        <v>74</v>
      </c>
      <c r="L971" t="s">
        <v>74</v>
      </c>
      <c r="M971" t="s">
        <v>78</v>
      </c>
      <c r="N971" t="s">
        <v>79</v>
      </c>
      <c r="O971" t="s">
        <v>74</v>
      </c>
      <c r="P971" t="s">
        <v>74</v>
      </c>
      <c r="Q971" t="s">
        <v>74</v>
      </c>
      <c r="R971" t="s">
        <v>74</v>
      </c>
      <c r="S971" t="s">
        <v>74</v>
      </c>
      <c r="T971" t="s">
        <v>18341</v>
      </c>
      <c r="U971" t="s">
        <v>18342</v>
      </c>
      <c r="V971" t="s">
        <v>18343</v>
      </c>
      <c r="W971" t="s">
        <v>18344</v>
      </c>
      <c r="X971" t="s">
        <v>18345</v>
      </c>
      <c r="Y971" t="s">
        <v>18346</v>
      </c>
      <c r="Z971" t="s">
        <v>18347</v>
      </c>
      <c r="AA971" t="s">
        <v>18348</v>
      </c>
      <c r="AB971" t="s">
        <v>18349</v>
      </c>
      <c r="AC971" t="s">
        <v>18350</v>
      </c>
      <c r="AD971" t="s">
        <v>18351</v>
      </c>
      <c r="AE971" t="s">
        <v>18352</v>
      </c>
      <c r="AF971" t="s">
        <v>74</v>
      </c>
      <c r="AG971">
        <v>58</v>
      </c>
      <c r="AH971">
        <v>4</v>
      </c>
      <c r="AI971">
        <v>4</v>
      </c>
      <c r="AJ971">
        <v>1</v>
      </c>
      <c r="AK971">
        <v>9</v>
      </c>
      <c r="AL971" t="s">
        <v>1291</v>
      </c>
      <c r="AM971" t="s">
        <v>629</v>
      </c>
      <c r="AN971" t="s">
        <v>1292</v>
      </c>
      <c r="AO971" t="s">
        <v>1293</v>
      </c>
      <c r="AP971" t="s">
        <v>1294</v>
      </c>
      <c r="AQ971" t="s">
        <v>74</v>
      </c>
      <c r="AR971" t="s">
        <v>1295</v>
      </c>
      <c r="AS971" t="s">
        <v>1296</v>
      </c>
      <c r="AT971" t="s">
        <v>18297</v>
      </c>
      <c r="AU971">
        <v>2020</v>
      </c>
      <c r="AV971">
        <v>47</v>
      </c>
      <c r="AW971">
        <v>21</v>
      </c>
      <c r="AX971" t="s">
        <v>74</v>
      </c>
      <c r="AY971" t="s">
        <v>74</v>
      </c>
      <c r="AZ971" t="s">
        <v>74</v>
      </c>
      <c r="BA971" t="s">
        <v>74</v>
      </c>
      <c r="BB971" t="s">
        <v>74</v>
      </c>
      <c r="BC971" t="s">
        <v>74</v>
      </c>
      <c r="BD971" t="s">
        <v>18353</v>
      </c>
      <c r="BE971" t="s">
        <v>18354</v>
      </c>
      <c r="BF971" t="str">
        <f>HYPERLINK("http://dx.doi.org/10.1029/2020GL089951","http://dx.doi.org/10.1029/2020GL089951")</f>
        <v>http://dx.doi.org/10.1029/2020GL089951</v>
      </c>
      <c r="BG971" t="s">
        <v>74</v>
      </c>
      <c r="BH971" t="s">
        <v>74</v>
      </c>
      <c r="BI971">
        <v>10</v>
      </c>
      <c r="BJ971" t="s">
        <v>401</v>
      </c>
      <c r="BK971" t="s">
        <v>103</v>
      </c>
      <c r="BL971" t="s">
        <v>402</v>
      </c>
      <c r="BM971" t="s">
        <v>18300</v>
      </c>
      <c r="BN971" t="s">
        <v>74</v>
      </c>
      <c r="BO971" t="s">
        <v>189</v>
      </c>
      <c r="BP971" t="s">
        <v>74</v>
      </c>
      <c r="BQ971" t="s">
        <v>74</v>
      </c>
      <c r="BR971" t="s">
        <v>106</v>
      </c>
      <c r="BS971" t="s">
        <v>18355</v>
      </c>
      <c r="BT971" t="str">
        <f>HYPERLINK("https%3A%2F%2Fwww.webofscience.com%2Fwos%2Fwoscc%2Ffull-record%2FWOS:000593976300058","View Full Record in Web of Science")</f>
        <v>View Full Record in Web of Science</v>
      </c>
    </row>
    <row r="972" spans="1:72" x14ac:dyDescent="0.15">
      <c r="A972" t="s">
        <v>72</v>
      </c>
      <c r="B972" t="s">
        <v>18356</v>
      </c>
      <c r="C972" t="s">
        <v>74</v>
      </c>
      <c r="D972" t="s">
        <v>74</v>
      </c>
      <c r="E972" t="s">
        <v>74</v>
      </c>
      <c r="F972" t="s">
        <v>18357</v>
      </c>
      <c r="G972" t="s">
        <v>74</v>
      </c>
      <c r="H972" t="s">
        <v>74</v>
      </c>
      <c r="I972" t="s">
        <v>18358</v>
      </c>
      <c r="J972" t="s">
        <v>1379</v>
      </c>
      <c r="K972" t="s">
        <v>74</v>
      </c>
      <c r="L972" t="s">
        <v>74</v>
      </c>
      <c r="M972" t="s">
        <v>78</v>
      </c>
      <c r="N972" t="s">
        <v>79</v>
      </c>
      <c r="O972" t="s">
        <v>74</v>
      </c>
      <c r="P972" t="s">
        <v>74</v>
      </c>
      <c r="Q972" t="s">
        <v>74</v>
      </c>
      <c r="R972" t="s">
        <v>74</v>
      </c>
      <c r="S972" t="s">
        <v>74</v>
      </c>
      <c r="T972" t="s">
        <v>18359</v>
      </c>
      <c r="U972" t="s">
        <v>18360</v>
      </c>
      <c r="V972" t="s">
        <v>18361</v>
      </c>
      <c r="W972" t="s">
        <v>18362</v>
      </c>
      <c r="X972" t="s">
        <v>18363</v>
      </c>
      <c r="Y972" t="s">
        <v>18364</v>
      </c>
      <c r="Z972" t="s">
        <v>18365</v>
      </c>
      <c r="AA972" t="s">
        <v>18366</v>
      </c>
      <c r="AB972" t="s">
        <v>18367</v>
      </c>
      <c r="AC972" t="s">
        <v>18368</v>
      </c>
      <c r="AD972" t="s">
        <v>18369</v>
      </c>
      <c r="AE972" t="s">
        <v>18370</v>
      </c>
      <c r="AF972" t="s">
        <v>74</v>
      </c>
      <c r="AG972">
        <v>70</v>
      </c>
      <c r="AH972">
        <v>40</v>
      </c>
      <c r="AI972">
        <v>43</v>
      </c>
      <c r="AJ972">
        <v>2</v>
      </c>
      <c r="AK972">
        <v>32</v>
      </c>
      <c r="AL972" t="s">
        <v>1291</v>
      </c>
      <c r="AM972" t="s">
        <v>629</v>
      </c>
      <c r="AN972" t="s">
        <v>1292</v>
      </c>
      <c r="AO972" t="s">
        <v>1392</v>
      </c>
      <c r="AP972" t="s">
        <v>1393</v>
      </c>
      <c r="AQ972" t="s">
        <v>74</v>
      </c>
      <c r="AR972" t="s">
        <v>1394</v>
      </c>
      <c r="AS972" t="s">
        <v>1395</v>
      </c>
      <c r="AT972" t="s">
        <v>18297</v>
      </c>
      <c r="AU972">
        <v>2020</v>
      </c>
      <c r="AV972">
        <v>125</v>
      </c>
      <c r="AW972">
        <v>21</v>
      </c>
      <c r="AX972" t="s">
        <v>74</v>
      </c>
      <c r="AY972" t="s">
        <v>74</v>
      </c>
      <c r="AZ972" t="s">
        <v>74</v>
      </c>
      <c r="BA972" t="s">
        <v>74</v>
      </c>
      <c r="BB972" t="s">
        <v>74</v>
      </c>
      <c r="BC972" t="s">
        <v>74</v>
      </c>
      <c r="BD972" t="s">
        <v>18371</v>
      </c>
      <c r="BE972" t="s">
        <v>18372</v>
      </c>
      <c r="BF972" t="str">
        <f>HYPERLINK("http://dx.doi.org/10.1029/2020JD033524","http://dx.doi.org/10.1029/2020JD033524")</f>
        <v>http://dx.doi.org/10.1029/2020JD033524</v>
      </c>
      <c r="BG972" t="s">
        <v>74</v>
      </c>
      <c r="BH972" t="s">
        <v>74</v>
      </c>
      <c r="BI972">
        <v>18</v>
      </c>
      <c r="BJ972" t="s">
        <v>687</v>
      </c>
      <c r="BK972" t="s">
        <v>103</v>
      </c>
      <c r="BL972" t="s">
        <v>687</v>
      </c>
      <c r="BM972" t="s">
        <v>18373</v>
      </c>
      <c r="BN972" t="s">
        <v>74</v>
      </c>
      <c r="BO972" t="s">
        <v>1220</v>
      </c>
      <c r="BP972" t="s">
        <v>74</v>
      </c>
      <c r="BQ972" t="s">
        <v>74</v>
      </c>
      <c r="BR972" t="s">
        <v>106</v>
      </c>
      <c r="BS972" t="s">
        <v>18374</v>
      </c>
      <c r="BT972" t="str">
        <f>HYPERLINK("https%3A%2F%2Fwww.webofscience.com%2Fwos%2Fwoscc%2Ffull-record%2FWOS:000591896900018","View Full Record in Web of Science")</f>
        <v>View Full Record in Web of Science</v>
      </c>
    </row>
    <row r="973" spans="1:72" x14ac:dyDescent="0.15">
      <c r="A973" t="s">
        <v>72</v>
      </c>
      <c r="B973" t="s">
        <v>18375</v>
      </c>
      <c r="C973" t="s">
        <v>74</v>
      </c>
      <c r="D973" t="s">
        <v>74</v>
      </c>
      <c r="E973" t="s">
        <v>74</v>
      </c>
      <c r="F973" t="s">
        <v>18376</v>
      </c>
      <c r="G973" t="s">
        <v>74</v>
      </c>
      <c r="H973" t="s">
        <v>74</v>
      </c>
      <c r="I973" t="s">
        <v>18377</v>
      </c>
      <c r="J973" t="s">
        <v>12465</v>
      </c>
      <c r="K973" t="s">
        <v>74</v>
      </c>
      <c r="L973" t="s">
        <v>74</v>
      </c>
      <c r="M973" t="s">
        <v>78</v>
      </c>
      <c r="N973" t="s">
        <v>79</v>
      </c>
      <c r="O973" t="s">
        <v>74</v>
      </c>
      <c r="P973" t="s">
        <v>74</v>
      </c>
      <c r="Q973" t="s">
        <v>74</v>
      </c>
      <c r="R973" t="s">
        <v>74</v>
      </c>
      <c r="S973" t="s">
        <v>74</v>
      </c>
      <c r="T973" t="s">
        <v>74</v>
      </c>
      <c r="U973" t="s">
        <v>18378</v>
      </c>
      <c r="V973" t="s">
        <v>18379</v>
      </c>
      <c r="W973" t="s">
        <v>18380</v>
      </c>
      <c r="X973" t="s">
        <v>18381</v>
      </c>
      <c r="Y973" t="s">
        <v>18382</v>
      </c>
      <c r="Z973" t="s">
        <v>414</v>
      </c>
      <c r="AA973" t="s">
        <v>18383</v>
      </c>
      <c r="AB973" t="s">
        <v>18384</v>
      </c>
      <c r="AC973" t="s">
        <v>18385</v>
      </c>
      <c r="AD973" t="s">
        <v>18386</v>
      </c>
      <c r="AE973" t="s">
        <v>18387</v>
      </c>
      <c r="AF973" t="s">
        <v>74</v>
      </c>
      <c r="AG973">
        <v>86</v>
      </c>
      <c r="AH973">
        <v>36</v>
      </c>
      <c r="AI973">
        <v>36</v>
      </c>
      <c r="AJ973">
        <v>0</v>
      </c>
      <c r="AK973">
        <v>4</v>
      </c>
      <c r="AL973" t="s">
        <v>552</v>
      </c>
      <c r="AM973" t="s">
        <v>553</v>
      </c>
      <c r="AN973" t="s">
        <v>554</v>
      </c>
      <c r="AO973" t="s">
        <v>12477</v>
      </c>
      <c r="AP973" t="s">
        <v>12478</v>
      </c>
      <c r="AQ973" t="s">
        <v>74</v>
      </c>
      <c r="AR973" t="s">
        <v>12479</v>
      </c>
      <c r="AS973" t="s">
        <v>12480</v>
      </c>
      <c r="AT973" t="s">
        <v>374</v>
      </c>
      <c r="AU973">
        <v>2021</v>
      </c>
      <c r="AV973">
        <v>56</v>
      </c>
      <c r="AW973">
        <v>1</v>
      </c>
      <c r="AX973" t="s">
        <v>74</v>
      </c>
      <c r="AY973" t="s">
        <v>74</v>
      </c>
      <c r="AZ973" t="s">
        <v>74</v>
      </c>
      <c r="BA973" t="s">
        <v>74</v>
      </c>
      <c r="BB973">
        <v>13</v>
      </c>
      <c r="BC973">
        <v>33</v>
      </c>
      <c r="BD973" t="s">
        <v>74</v>
      </c>
      <c r="BE973" t="s">
        <v>18388</v>
      </c>
      <c r="BF973" t="str">
        <f>HYPERLINK("http://dx.doi.org/10.1111/maps.13583","http://dx.doi.org/10.1111/maps.13583")</f>
        <v>http://dx.doi.org/10.1111/maps.13583</v>
      </c>
      <c r="BG973" t="s">
        <v>74</v>
      </c>
      <c r="BH973" t="s">
        <v>17215</v>
      </c>
      <c r="BI973">
        <v>21</v>
      </c>
      <c r="BJ973" t="s">
        <v>426</v>
      </c>
      <c r="BK973" t="s">
        <v>103</v>
      </c>
      <c r="BL973" t="s">
        <v>426</v>
      </c>
      <c r="BM973" t="s">
        <v>18389</v>
      </c>
      <c r="BN973" t="s">
        <v>74</v>
      </c>
      <c r="BO973" t="s">
        <v>1220</v>
      </c>
      <c r="BP973" t="s">
        <v>74</v>
      </c>
      <c r="BQ973" t="s">
        <v>74</v>
      </c>
      <c r="BR973" t="s">
        <v>106</v>
      </c>
      <c r="BS973" t="s">
        <v>18390</v>
      </c>
      <c r="BT973" t="str">
        <f>HYPERLINK("https%3A%2F%2Fwww.webofscience.com%2Fwos%2Fwoscc%2Ffull-record%2FWOS:000589525600001","View Full Record in Web of Science")</f>
        <v>View Full Record in Web of Science</v>
      </c>
    </row>
    <row r="974" spans="1:72" x14ac:dyDescent="0.15">
      <c r="A974" t="s">
        <v>72</v>
      </c>
      <c r="B974" t="s">
        <v>18391</v>
      </c>
      <c r="C974" t="s">
        <v>74</v>
      </c>
      <c r="D974" t="s">
        <v>74</v>
      </c>
      <c r="E974" t="s">
        <v>74</v>
      </c>
      <c r="F974" t="s">
        <v>18392</v>
      </c>
      <c r="G974" t="s">
        <v>74</v>
      </c>
      <c r="H974" t="s">
        <v>74</v>
      </c>
      <c r="I974" t="s">
        <v>18393</v>
      </c>
      <c r="J974" t="s">
        <v>18394</v>
      </c>
      <c r="K974" t="s">
        <v>74</v>
      </c>
      <c r="L974" t="s">
        <v>74</v>
      </c>
      <c r="M974" t="s">
        <v>78</v>
      </c>
      <c r="N974" t="s">
        <v>79</v>
      </c>
      <c r="O974" t="s">
        <v>74</v>
      </c>
      <c r="P974" t="s">
        <v>74</v>
      </c>
      <c r="Q974" t="s">
        <v>74</v>
      </c>
      <c r="R974" t="s">
        <v>74</v>
      </c>
      <c r="S974" t="s">
        <v>74</v>
      </c>
      <c r="T974" t="s">
        <v>18395</v>
      </c>
      <c r="U974" t="s">
        <v>18396</v>
      </c>
      <c r="V974" t="s">
        <v>18397</v>
      </c>
      <c r="W974" t="s">
        <v>18398</v>
      </c>
      <c r="X974" t="s">
        <v>18399</v>
      </c>
      <c r="Y974" t="s">
        <v>18400</v>
      </c>
      <c r="Z974" t="s">
        <v>18401</v>
      </c>
      <c r="AA974" t="s">
        <v>18402</v>
      </c>
      <c r="AB974" t="s">
        <v>18403</v>
      </c>
      <c r="AC974" t="s">
        <v>18404</v>
      </c>
      <c r="AD974" t="s">
        <v>18405</v>
      </c>
      <c r="AE974" t="s">
        <v>18406</v>
      </c>
      <c r="AF974" t="s">
        <v>74</v>
      </c>
      <c r="AG974">
        <v>74</v>
      </c>
      <c r="AH974">
        <v>8</v>
      </c>
      <c r="AI974">
        <v>9</v>
      </c>
      <c r="AJ974">
        <v>2</v>
      </c>
      <c r="AK974">
        <v>8</v>
      </c>
      <c r="AL974" t="s">
        <v>552</v>
      </c>
      <c r="AM974" t="s">
        <v>553</v>
      </c>
      <c r="AN974" t="s">
        <v>554</v>
      </c>
      <c r="AO974" t="s">
        <v>18407</v>
      </c>
      <c r="AP974" t="s">
        <v>18408</v>
      </c>
      <c r="AQ974" t="s">
        <v>74</v>
      </c>
      <c r="AR974" t="s">
        <v>18409</v>
      </c>
      <c r="AS974" t="s">
        <v>18410</v>
      </c>
      <c r="AT974" t="s">
        <v>18411</v>
      </c>
      <c r="AU974">
        <v>2021</v>
      </c>
      <c r="AV974">
        <v>37</v>
      </c>
      <c r="AW974">
        <v>3</v>
      </c>
      <c r="AX974" t="s">
        <v>74</v>
      </c>
      <c r="AY974" t="s">
        <v>74</v>
      </c>
      <c r="AZ974" t="s">
        <v>74</v>
      </c>
      <c r="BA974" t="s">
        <v>74</v>
      </c>
      <c r="BB974">
        <v>431</v>
      </c>
      <c r="BC974">
        <v>441</v>
      </c>
      <c r="BD974" t="s">
        <v>74</v>
      </c>
      <c r="BE974" t="s">
        <v>18412</v>
      </c>
      <c r="BF974" t="str">
        <f>HYPERLINK("http://dx.doi.org/10.1002/smi.3006","http://dx.doi.org/10.1002/smi.3006")</f>
        <v>http://dx.doi.org/10.1002/smi.3006</v>
      </c>
      <c r="BG974" t="s">
        <v>74</v>
      </c>
      <c r="BH974" t="s">
        <v>17215</v>
      </c>
      <c r="BI974">
        <v>11</v>
      </c>
      <c r="BJ974" t="s">
        <v>18413</v>
      </c>
      <c r="BK974" t="s">
        <v>271</v>
      </c>
      <c r="BL974" t="s">
        <v>18414</v>
      </c>
      <c r="BM974" t="s">
        <v>18415</v>
      </c>
      <c r="BN974">
        <v>33166090</v>
      </c>
      <c r="BO974" t="s">
        <v>18416</v>
      </c>
      <c r="BP974" t="s">
        <v>74</v>
      </c>
      <c r="BQ974" t="s">
        <v>74</v>
      </c>
      <c r="BR974" t="s">
        <v>106</v>
      </c>
      <c r="BS974" t="s">
        <v>18417</v>
      </c>
      <c r="BT974" t="str">
        <f>HYPERLINK("https%3A%2F%2Fwww.webofscience.com%2Fwos%2Fwoscc%2Ffull-record%2FWOS:000589599600001","View Full Record in Web of Science")</f>
        <v>View Full Record in Web of Science</v>
      </c>
    </row>
    <row r="975" spans="1:72" x14ac:dyDescent="0.15">
      <c r="A975" t="s">
        <v>72</v>
      </c>
      <c r="B975" t="s">
        <v>18418</v>
      </c>
      <c r="C975" t="s">
        <v>74</v>
      </c>
      <c r="D975" t="s">
        <v>74</v>
      </c>
      <c r="E975" t="s">
        <v>74</v>
      </c>
      <c r="F975" t="s">
        <v>18419</v>
      </c>
      <c r="G975" t="s">
        <v>74</v>
      </c>
      <c r="H975" t="s">
        <v>74</v>
      </c>
      <c r="I975" t="s">
        <v>18420</v>
      </c>
      <c r="J975" t="s">
        <v>1278</v>
      </c>
      <c r="K975" t="s">
        <v>74</v>
      </c>
      <c r="L975" t="s">
        <v>74</v>
      </c>
      <c r="M975" t="s">
        <v>78</v>
      </c>
      <c r="N975" t="s">
        <v>79</v>
      </c>
      <c r="O975" t="s">
        <v>74</v>
      </c>
      <c r="P975" t="s">
        <v>74</v>
      </c>
      <c r="Q975" t="s">
        <v>74</v>
      </c>
      <c r="R975" t="s">
        <v>74</v>
      </c>
      <c r="S975" t="s">
        <v>74</v>
      </c>
      <c r="T975" t="s">
        <v>74</v>
      </c>
      <c r="U975" t="s">
        <v>18421</v>
      </c>
      <c r="V975" t="s">
        <v>18422</v>
      </c>
      <c r="W975" t="s">
        <v>18423</v>
      </c>
      <c r="X975" t="s">
        <v>18424</v>
      </c>
      <c r="Y975" t="s">
        <v>18425</v>
      </c>
      <c r="Z975" t="s">
        <v>18426</v>
      </c>
      <c r="AA975" t="s">
        <v>18427</v>
      </c>
      <c r="AB975" t="s">
        <v>18428</v>
      </c>
      <c r="AC975" t="s">
        <v>18429</v>
      </c>
      <c r="AD975" t="s">
        <v>18430</v>
      </c>
      <c r="AE975" t="s">
        <v>18431</v>
      </c>
      <c r="AF975" t="s">
        <v>74</v>
      </c>
      <c r="AG975">
        <v>42</v>
      </c>
      <c r="AH975">
        <v>29</v>
      </c>
      <c r="AI975">
        <v>29</v>
      </c>
      <c r="AJ975">
        <v>4</v>
      </c>
      <c r="AK975">
        <v>13</v>
      </c>
      <c r="AL975" t="s">
        <v>1291</v>
      </c>
      <c r="AM975" t="s">
        <v>629</v>
      </c>
      <c r="AN975" t="s">
        <v>1292</v>
      </c>
      <c r="AO975" t="s">
        <v>1293</v>
      </c>
      <c r="AP975" t="s">
        <v>1294</v>
      </c>
      <c r="AQ975" t="s">
        <v>74</v>
      </c>
      <c r="AR975" t="s">
        <v>1295</v>
      </c>
      <c r="AS975" t="s">
        <v>1296</v>
      </c>
      <c r="AT975" t="s">
        <v>18297</v>
      </c>
      <c r="AU975">
        <v>2020</v>
      </c>
      <c r="AV975">
        <v>47</v>
      </c>
      <c r="AW975">
        <v>21</v>
      </c>
      <c r="AX975" t="s">
        <v>74</v>
      </c>
      <c r="AY975" t="s">
        <v>74</v>
      </c>
      <c r="AZ975" t="s">
        <v>74</v>
      </c>
      <c r="BA975" t="s">
        <v>74</v>
      </c>
      <c r="BB975" t="s">
        <v>74</v>
      </c>
      <c r="BC975" t="s">
        <v>74</v>
      </c>
      <c r="BD975" t="s">
        <v>18432</v>
      </c>
      <c r="BE975" t="s">
        <v>18433</v>
      </c>
      <c r="BF975" t="str">
        <f>HYPERLINK("http://dx.doi.org/10.1029/2020GL090345","http://dx.doi.org/10.1029/2020GL090345")</f>
        <v>http://dx.doi.org/10.1029/2020GL090345</v>
      </c>
      <c r="BG975" t="s">
        <v>74</v>
      </c>
      <c r="BH975" t="s">
        <v>74</v>
      </c>
      <c r="BI975">
        <v>10</v>
      </c>
      <c r="BJ975" t="s">
        <v>401</v>
      </c>
      <c r="BK975" t="s">
        <v>103</v>
      </c>
      <c r="BL975" t="s">
        <v>402</v>
      </c>
      <c r="BM975" t="s">
        <v>18300</v>
      </c>
      <c r="BN975" t="s">
        <v>74</v>
      </c>
      <c r="BO975" t="s">
        <v>218</v>
      </c>
      <c r="BP975" t="s">
        <v>74</v>
      </c>
      <c r="BQ975" t="s">
        <v>74</v>
      </c>
      <c r="BR975" t="s">
        <v>106</v>
      </c>
      <c r="BS975" t="s">
        <v>18434</v>
      </c>
      <c r="BT975" t="str">
        <f>HYPERLINK("https%3A%2F%2Fwww.webofscience.com%2Fwos%2Fwoscc%2Ffull-record%2FWOS:000593976300049","View Full Record in Web of Science")</f>
        <v>View Full Record in Web of Science</v>
      </c>
    </row>
    <row r="976" spans="1:72" x14ac:dyDescent="0.15">
      <c r="A976" t="s">
        <v>72</v>
      </c>
      <c r="B976" t="s">
        <v>18435</v>
      </c>
      <c r="C976" t="s">
        <v>74</v>
      </c>
      <c r="D976" t="s">
        <v>74</v>
      </c>
      <c r="E976" t="s">
        <v>74</v>
      </c>
      <c r="F976" t="s">
        <v>18436</v>
      </c>
      <c r="G976" t="s">
        <v>74</v>
      </c>
      <c r="H976" t="s">
        <v>74</v>
      </c>
      <c r="I976" t="s">
        <v>18437</v>
      </c>
      <c r="J976" t="s">
        <v>18438</v>
      </c>
      <c r="K976" t="s">
        <v>74</v>
      </c>
      <c r="L976" t="s">
        <v>74</v>
      </c>
      <c r="M976" t="s">
        <v>78</v>
      </c>
      <c r="N976" t="s">
        <v>79</v>
      </c>
      <c r="O976" t="s">
        <v>74</v>
      </c>
      <c r="P976" t="s">
        <v>74</v>
      </c>
      <c r="Q976" t="s">
        <v>74</v>
      </c>
      <c r="R976" t="s">
        <v>74</v>
      </c>
      <c r="S976" t="s">
        <v>74</v>
      </c>
      <c r="T976" t="s">
        <v>74</v>
      </c>
      <c r="U976" t="s">
        <v>18439</v>
      </c>
      <c r="V976" t="s">
        <v>18440</v>
      </c>
      <c r="W976" t="s">
        <v>18441</v>
      </c>
      <c r="X976" t="s">
        <v>18442</v>
      </c>
      <c r="Y976" t="s">
        <v>18443</v>
      </c>
      <c r="Z976" t="s">
        <v>18444</v>
      </c>
      <c r="AA976" t="s">
        <v>18445</v>
      </c>
      <c r="AB976" t="s">
        <v>18446</v>
      </c>
      <c r="AC976" t="s">
        <v>18447</v>
      </c>
      <c r="AD976" t="s">
        <v>18448</v>
      </c>
      <c r="AE976" t="s">
        <v>18449</v>
      </c>
      <c r="AF976" t="s">
        <v>74</v>
      </c>
      <c r="AG976">
        <v>65</v>
      </c>
      <c r="AH976">
        <v>64</v>
      </c>
      <c r="AI976">
        <v>71</v>
      </c>
      <c r="AJ976">
        <v>2</v>
      </c>
      <c r="AK976">
        <v>25</v>
      </c>
      <c r="AL976" t="s">
        <v>955</v>
      </c>
      <c r="AM976" t="s">
        <v>528</v>
      </c>
      <c r="AN976" t="s">
        <v>529</v>
      </c>
      <c r="AO976" t="s">
        <v>18450</v>
      </c>
      <c r="AP976" t="s">
        <v>18451</v>
      </c>
      <c r="AQ976" t="s">
        <v>74</v>
      </c>
      <c r="AR976" t="s">
        <v>18452</v>
      </c>
      <c r="AS976" t="s">
        <v>18453</v>
      </c>
      <c r="AT976" t="s">
        <v>12678</v>
      </c>
      <c r="AU976">
        <v>2020</v>
      </c>
      <c r="AV976">
        <v>13</v>
      </c>
      <c r="AW976">
        <v>12</v>
      </c>
      <c r="AX976" t="s">
        <v>74</v>
      </c>
      <c r="AY976" t="s">
        <v>74</v>
      </c>
      <c r="AZ976" t="s">
        <v>74</v>
      </c>
      <c r="BA976" t="s">
        <v>74</v>
      </c>
      <c r="BB976">
        <v>780</v>
      </c>
      <c r="BC976" t="s">
        <v>2146</v>
      </c>
      <c r="BD976" t="s">
        <v>74</v>
      </c>
      <c r="BE976" t="s">
        <v>18454</v>
      </c>
      <c r="BF976" t="str">
        <f>HYPERLINK("http://dx.doi.org/10.1038/s41561-020-00655-3","http://dx.doi.org/10.1038/s41561-020-00655-3")</f>
        <v>http://dx.doi.org/10.1038/s41561-020-00655-3</v>
      </c>
      <c r="BG976" t="s">
        <v>74</v>
      </c>
      <c r="BH976" t="s">
        <v>17215</v>
      </c>
      <c r="BI976">
        <v>20</v>
      </c>
      <c r="BJ976" t="s">
        <v>401</v>
      </c>
      <c r="BK976" t="s">
        <v>103</v>
      </c>
      <c r="BL976" t="s">
        <v>402</v>
      </c>
      <c r="BM976" t="s">
        <v>18455</v>
      </c>
      <c r="BN976" t="s">
        <v>74</v>
      </c>
      <c r="BO976" t="s">
        <v>74</v>
      </c>
      <c r="BP976" t="s">
        <v>74</v>
      </c>
      <c r="BQ976" t="s">
        <v>74</v>
      </c>
      <c r="BR976" t="s">
        <v>106</v>
      </c>
      <c r="BS976" t="s">
        <v>18456</v>
      </c>
      <c r="BT976" t="str">
        <f>HYPERLINK("https%3A%2F%2Fwww.webofscience.com%2Fwos%2Fwoscc%2Ffull-record%2FWOS:000589999100001","View Full Record in Web of Science")</f>
        <v>View Full Record in Web of Science</v>
      </c>
    </row>
    <row r="977" spans="1:72" x14ac:dyDescent="0.15">
      <c r="A977" t="s">
        <v>72</v>
      </c>
      <c r="B977" t="s">
        <v>18457</v>
      </c>
      <c r="C977" t="s">
        <v>74</v>
      </c>
      <c r="D977" t="s">
        <v>74</v>
      </c>
      <c r="E977" t="s">
        <v>74</v>
      </c>
      <c r="F977" t="s">
        <v>18458</v>
      </c>
      <c r="G977" t="s">
        <v>74</v>
      </c>
      <c r="H977" t="s">
        <v>74</v>
      </c>
      <c r="I977" t="s">
        <v>18459</v>
      </c>
      <c r="J977" t="s">
        <v>1858</v>
      </c>
      <c r="K977" t="s">
        <v>74</v>
      </c>
      <c r="L977" t="s">
        <v>74</v>
      </c>
      <c r="M977" t="s">
        <v>78</v>
      </c>
      <c r="N977" t="s">
        <v>79</v>
      </c>
      <c r="O977" t="s">
        <v>74</v>
      </c>
      <c r="P977" t="s">
        <v>74</v>
      </c>
      <c r="Q977" t="s">
        <v>74</v>
      </c>
      <c r="R977" t="s">
        <v>74</v>
      </c>
      <c r="S977" t="s">
        <v>74</v>
      </c>
      <c r="T977" t="s">
        <v>18460</v>
      </c>
      <c r="U977" t="s">
        <v>18461</v>
      </c>
      <c r="V977" t="s">
        <v>18462</v>
      </c>
      <c r="W977" t="s">
        <v>18463</v>
      </c>
      <c r="X977" t="s">
        <v>18464</v>
      </c>
      <c r="Y977" t="s">
        <v>18465</v>
      </c>
      <c r="Z977" t="s">
        <v>18466</v>
      </c>
      <c r="AA977" t="s">
        <v>18467</v>
      </c>
      <c r="AB977" t="s">
        <v>18468</v>
      </c>
      <c r="AC977" t="s">
        <v>18469</v>
      </c>
      <c r="AD977" t="s">
        <v>18470</v>
      </c>
      <c r="AE977" t="s">
        <v>18471</v>
      </c>
      <c r="AF977" t="s">
        <v>74</v>
      </c>
      <c r="AG977">
        <v>75</v>
      </c>
      <c r="AH977">
        <v>43</v>
      </c>
      <c r="AI977">
        <v>45</v>
      </c>
      <c r="AJ977">
        <v>13</v>
      </c>
      <c r="AK977">
        <v>107</v>
      </c>
      <c r="AL977" t="s">
        <v>92</v>
      </c>
      <c r="AM977" t="s">
        <v>93</v>
      </c>
      <c r="AN977" t="s">
        <v>94</v>
      </c>
      <c r="AO977" t="s">
        <v>1871</v>
      </c>
      <c r="AP977" t="s">
        <v>1872</v>
      </c>
      <c r="AQ977" t="s">
        <v>74</v>
      </c>
      <c r="AR977" t="s">
        <v>1858</v>
      </c>
      <c r="AS977" t="s">
        <v>1873</v>
      </c>
      <c r="AT977" t="s">
        <v>18472</v>
      </c>
      <c r="AU977">
        <v>2020</v>
      </c>
      <c r="AV977">
        <v>528</v>
      </c>
      <c r="AW977" t="s">
        <v>74</v>
      </c>
      <c r="AX977" t="s">
        <v>74</v>
      </c>
      <c r="AY977" t="s">
        <v>74</v>
      </c>
      <c r="AZ977" t="s">
        <v>74</v>
      </c>
      <c r="BA977" t="s">
        <v>74</v>
      </c>
      <c r="BB977" t="s">
        <v>74</v>
      </c>
      <c r="BC977" t="s">
        <v>74</v>
      </c>
      <c r="BD977">
        <v>735539</v>
      </c>
      <c r="BE977" t="s">
        <v>18473</v>
      </c>
      <c r="BF977" t="str">
        <f>HYPERLINK("http://dx.doi.org/10.1016/j.aquaculture.2020.735539","http://dx.doi.org/10.1016/j.aquaculture.2020.735539")</f>
        <v>http://dx.doi.org/10.1016/j.aquaculture.2020.735539</v>
      </c>
      <c r="BG977" t="s">
        <v>74</v>
      </c>
      <c r="BH977" t="s">
        <v>74</v>
      </c>
      <c r="BI977">
        <v>16</v>
      </c>
      <c r="BJ977" t="s">
        <v>584</v>
      </c>
      <c r="BK977" t="s">
        <v>103</v>
      </c>
      <c r="BL977" t="s">
        <v>584</v>
      </c>
      <c r="BM977" t="s">
        <v>18474</v>
      </c>
      <c r="BN977" t="s">
        <v>74</v>
      </c>
      <c r="BO977" t="s">
        <v>74</v>
      </c>
      <c r="BP977" t="s">
        <v>74</v>
      </c>
      <c r="BQ977" t="s">
        <v>74</v>
      </c>
      <c r="BR977" t="s">
        <v>106</v>
      </c>
      <c r="BS977" t="s">
        <v>18475</v>
      </c>
      <c r="BT977" t="str">
        <f>HYPERLINK("https%3A%2F%2Fwww.webofscience.com%2Fwos%2Fwoscc%2Ffull-record%2FWOS:000553682600003","View Full Record in Web of Science")</f>
        <v>View Full Record in Web of Science</v>
      </c>
    </row>
    <row r="978" spans="1:72" x14ac:dyDescent="0.15">
      <c r="A978" t="s">
        <v>72</v>
      </c>
      <c r="B978" t="s">
        <v>18476</v>
      </c>
      <c r="C978" t="s">
        <v>74</v>
      </c>
      <c r="D978" t="s">
        <v>74</v>
      </c>
      <c r="E978" t="s">
        <v>74</v>
      </c>
      <c r="F978" t="s">
        <v>18477</v>
      </c>
      <c r="G978" t="s">
        <v>74</v>
      </c>
      <c r="H978" t="s">
        <v>74</v>
      </c>
      <c r="I978" t="s">
        <v>18478</v>
      </c>
      <c r="J978" t="s">
        <v>8574</v>
      </c>
      <c r="K978" t="s">
        <v>74</v>
      </c>
      <c r="L978" t="s">
        <v>74</v>
      </c>
      <c r="M978" t="s">
        <v>78</v>
      </c>
      <c r="N978" t="s">
        <v>79</v>
      </c>
      <c r="O978" t="s">
        <v>74</v>
      </c>
      <c r="P978" t="s">
        <v>74</v>
      </c>
      <c r="Q978" t="s">
        <v>74</v>
      </c>
      <c r="R978" t="s">
        <v>74</v>
      </c>
      <c r="S978" t="s">
        <v>74</v>
      </c>
      <c r="T978" t="s">
        <v>18479</v>
      </c>
      <c r="U978" t="s">
        <v>74</v>
      </c>
      <c r="V978" t="s">
        <v>18480</v>
      </c>
      <c r="W978" t="s">
        <v>18481</v>
      </c>
      <c r="X978" t="s">
        <v>18274</v>
      </c>
      <c r="Y978" t="s">
        <v>18482</v>
      </c>
      <c r="Z978" t="s">
        <v>18483</v>
      </c>
      <c r="AA978" t="s">
        <v>74</v>
      </c>
      <c r="AB978" t="s">
        <v>18484</v>
      </c>
      <c r="AC978" t="s">
        <v>18485</v>
      </c>
      <c r="AD978" t="s">
        <v>18486</v>
      </c>
      <c r="AE978" t="s">
        <v>18487</v>
      </c>
      <c r="AF978" t="s">
        <v>74</v>
      </c>
      <c r="AG978">
        <v>88</v>
      </c>
      <c r="AH978">
        <v>17</v>
      </c>
      <c r="AI978">
        <v>18</v>
      </c>
      <c r="AJ978">
        <v>1</v>
      </c>
      <c r="AK978">
        <v>4</v>
      </c>
      <c r="AL978" t="s">
        <v>7290</v>
      </c>
      <c r="AM978" t="s">
        <v>7291</v>
      </c>
      <c r="AN978" t="s">
        <v>7292</v>
      </c>
      <c r="AO978" t="s">
        <v>8587</v>
      </c>
      <c r="AP978" t="s">
        <v>8588</v>
      </c>
      <c r="AQ978" t="s">
        <v>74</v>
      </c>
      <c r="AR978" t="s">
        <v>8589</v>
      </c>
      <c r="AS978" t="s">
        <v>8590</v>
      </c>
      <c r="AT978" t="s">
        <v>18472</v>
      </c>
      <c r="AU978">
        <v>2020</v>
      </c>
      <c r="AV978">
        <v>33</v>
      </c>
      <c r="AW978">
        <v>22</v>
      </c>
      <c r="AX978" t="s">
        <v>74</v>
      </c>
      <c r="AY978" t="s">
        <v>74</v>
      </c>
      <c r="AZ978" t="s">
        <v>74</v>
      </c>
      <c r="BA978" t="s">
        <v>74</v>
      </c>
      <c r="BB978">
        <v>9863</v>
      </c>
      <c r="BC978">
        <v>9881</v>
      </c>
      <c r="BD978" t="s">
        <v>74</v>
      </c>
      <c r="BE978" t="s">
        <v>18488</v>
      </c>
      <c r="BF978" t="str">
        <f>HYPERLINK("http://dx.doi.org/10.1175/JCLI-D-20-0271.1","http://dx.doi.org/10.1175/JCLI-D-20-0271.1")</f>
        <v>http://dx.doi.org/10.1175/JCLI-D-20-0271.1</v>
      </c>
      <c r="BG978" t="s">
        <v>74</v>
      </c>
      <c r="BH978" t="s">
        <v>74</v>
      </c>
      <c r="BI978">
        <v>19</v>
      </c>
      <c r="BJ978" t="s">
        <v>687</v>
      </c>
      <c r="BK978" t="s">
        <v>103</v>
      </c>
      <c r="BL978" t="s">
        <v>687</v>
      </c>
      <c r="BM978" t="s">
        <v>18489</v>
      </c>
      <c r="BN978" t="s">
        <v>74</v>
      </c>
      <c r="BO978" t="s">
        <v>218</v>
      </c>
      <c r="BP978" t="s">
        <v>74</v>
      </c>
      <c r="BQ978" t="s">
        <v>74</v>
      </c>
      <c r="BR978" t="s">
        <v>106</v>
      </c>
      <c r="BS978" t="s">
        <v>18490</v>
      </c>
      <c r="BT978" t="str">
        <f>HYPERLINK("https%3A%2F%2Fwww.webofscience.com%2Fwos%2Fwoscc%2Ffull-record%2FWOS:000615145300010","View Full Record in Web of Science")</f>
        <v>View Full Record in Web of Science</v>
      </c>
    </row>
    <row r="979" spans="1:72" x14ac:dyDescent="0.15">
      <c r="A979" t="s">
        <v>72</v>
      </c>
      <c r="B979" t="s">
        <v>18491</v>
      </c>
      <c r="C979" t="s">
        <v>74</v>
      </c>
      <c r="D979" t="s">
        <v>74</v>
      </c>
      <c r="E979" t="s">
        <v>74</v>
      </c>
      <c r="F979" t="s">
        <v>18492</v>
      </c>
      <c r="G979" t="s">
        <v>74</v>
      </c>
      <c r="H979" t="s">
        <v>74</v>
      </c>
      <c r="I979" t="s">
        <v>18493</v>
      </c>
      <c r="J979" t="s">
        <v>77</v>
      </c>
      <c r="K979" t="s">
        <v>74</v>
      </c>
      <c r="L979" t="s">
        <v>74</v>
      </c>
      <c r="M979" t="s">
        <v>78</v>
      </c>
      <c r="N979" t="s">
        <v>141</v>
      </c>
      <c r="O979" t="s">
        <v>74</v>
      </c>
      <c r="P979" t="s">
        <v>74</v>
      </c>
      <c r="Q979" t="s">
        <v>74</v>
      </c>
      <c r="R979" t="s">
        <v>74</v>
      </c>
      <c r="S979" t="s">
        <v>74</v>
      </c>
      <c r="T979" t="s">
        <v>18494</v>
      </c>
      <c r="U979" t="s">
        <v>18495</v>
      </c>
      <c r="V979" t="s">
        <v>18496</v>
      </c>
      <c r="W979" t="s">
        <v>18497</v>
      </c>
      <c r="X979" t="s">
        <v>18498</v>
      </c>
      <c r="Y979" t="s">
        <v>18499</v>
      </c>
      <c r="Z979" t="s">
        <v>18500</v>
      </c>
      <c r="AA979" t="s">
        <v>18501</v>
      </c>
      <c r="AB979" t="s">
        <v>18502</v>
      </c>
      <c r="AC979" t="s">
        <v>74</v>
      </c>
      <c r="AD979" t="s">
        <v>74</v>
      </c>
      <c r="AE979" t="s">
        <v>74</v>
      </c>
      <c r="AF979" t="s">
        <v>74</v>
      </c>
      <c r="AG979">
        <v>112</v>
      </c>
      <c r="AH979">
        <v>40</v>
      </c>
      <c r="AI979">
        <v>43</v>
      </c>
      <c r="AJ979">
        <v>6</v>
      </c>
      <c r="AK979">
        <v>133</v>
      </c>
      <c r="AL979" t="s">
        <v>92</v>
      </c>
      <c r="AM979" t="s">
        <v>93</v>
      </c>
      <c r="AN979" t="s">
        <v>94</v>
      </c>
      <c r="AO979" t="s">
        <v>95</v>
      </c>
      <c r="AP979" t="s">
        <v>96</v>
      </c>
      <c r="AQ979" t="s">
        <v>74</v>
      </c>
      <c r="AR979" t="s">
        <v>97</v>
      </c>
      <c r="AS979" t="s">
        <v>98</v>
      </c>
      <c r="AT979" t="s">
        <v>18472</v>
      </c>
      <c r="AU979">
        <v>2020</v>
      </c>
      <c r="AV979">
        <v>743</v>
      </c>
      <c r="AW979" t="s">
        <v>74</v>
      </c>
      <c r="AX979" t="s">
        <v>74</v>
      </c>
      <c r="AY979" t="s">
        <v>74</v>
      </c>
      <c r="AZ979" t="s">
        <v>74</v>
      </c>
      <c r="BA979" t="s">
        <v>74</v>
      </c>
      <c r="BB979" t="s">
        <v>74</v>
      </c>
      <c r="BC979" t="s">
        <v>74</v>
      </c>
      <c r="BD979">
        <v>140666</v>
      </c>
      <c r="BE979" t="s">
        <v>18503</v>
      </c>
      <c r="BF979" t="str">
        <f>HYPERLINK("http://dx.doi.org/10.1016/j.scitotenv.2020.140666","http://dx.doi.org/10.1016/j.scitotenv.2020.140666")</f>
        <v>http://dx.doi.org/10.1016/j.scitotenv.2020.140666</v>
      </c>
      <c r="BG979" t="s">
        <v>74</v>
      </c>
      <c r="BH979" t="s">
        <v>74</v>
      </c>
      <c r="BI979">
        <v>10</v>
      </c>
      <c r="BJ979" t="s">
        <v>102</v>
      </c>
      <c r="BK979" t="s">
        <v>103</v>
      </c>
      <c r="BL979" t="s">
        <v>104</v>
      </c>
      <c r="BM979" t="s">
        <v>18504</v>
      </c>
      <c r="BN979">
        <v>32758824</v>
      </c>
      <c r="BO979" t="s">
        <v>189</v>
      </c>
      <c r="BP979" t="s">
        <v>74</v>
      </c>
      <c r="BQ979" t="s">
        <v>74</v>
      </c>
      <c r="BR979" t="s">
        <v>106</v>
      </c>
      <c r="BS979" t="s">
        <v>18505</v>
      </c>
      <c r="BT979" t="str">
        <f>HYPERLINK("https%3A%2F%2Fwww.webofscience.com%2Fwos%2Fwoscc%2Ffull-record%2FWOS:000573541700013","View Full Record in Web of Science")</f>
        <v>View Full Record in Web of Science</v>
      </c>
    </row>
    <row r="980" spans="1:72" x14ac:dyDescent="0.15">
      <c r="A980" t="s">
        <v>72</v>
      </c>
      <c r="B980" t="s">
        <v>18506</v>
      </c>
      <c r="C980" t="s">
        <v>74</v>
      </c>
      <c r="D980" t="s">
        <v>74</v>
      </c>
      <c r="E980" t="s">
        <v>74</v>
      </c>
      <c r="F980" t="s">
        <v>18507</v>
      </c>
      <c r="G980" t="s">
        <v>74</v>
      </c>
      <c r="H980" t="s">
        <v>18508</v>
      </c>
      <c r="I980" t="s">
        <v>18509</v>
      </c>
      <c r="J980" t="s">
        <v>1713</v>
      </c>
      <c r="K980" t="s">
        <v>74</v>
      </c>
      <c r="L980" t="s">
        <v>74</v>
      </c>
      <c r="M980" t="s">
        <v>78</v>
      </c>
      <c r="N980" t="s">
        <v>79</v>
      </c>
      <c r="O980" t="s">
        <v>74</v>
      </c>
      <c r="P980" t="s">
        <v>74</v>
      </c>
      <c r="Q980" t="s">
        <v>74</v>
      </c>
      <c r="R980" t="s">
        <v>74</v>
      </c>
      <c r="S980" t="s">
        <v>74</v>
      </c>
      <c r="T980" t="s">
        <v>18510</v>
      </c>
      <c r="U980" t="s">
        <v>18511</v>
      </c>
      <c r="V980" t="s">
        <v>18512</v>
      </c>
      <c r="W980" t="s">
        <v>18513</v>
      </c>
      <c r="X980" t="s">
        <v>18514</v>
      </c>
      <c r="Y980" t="s">
        <v>18515</v>
      </c>
      <c r="Z980" t="s">
        <v>18516</v>
      </c>
      <c r="AA980" t="s">
        <v>18517</v>
      </c>
      <c r="AB980" t="s">
        <v>18518</v>
      </c>
      <c r="AC980" t="s">
        <v>18519</v>
      </c>
      <c r="AD980" t="s">
        <v>18520</v>
      </c>
      <c r="AE980" t="s">
        <v>18521</v>
      </c>
      <c r="AF980" t="s">
        <v>74</v>
      </c>
      <c r="AG980">
        <v>122</v>
      </c>
      <c r="AH980">
        <v>7</v>
      </c>
      <c r="AI980">
        <v>7</v>
      </c>
      <c r="AJ980">
        <v>1</v>
      </c>
      <c r="AK980">
        <v>11</v>
      </c>
      <c r="AL980" t="s">
        <v>418</v>
      </c>
      <c r="AM980" t="s">
        <v>178</v>
      </c>
      <c r="AN980" t="s">
        <v>419</v>
      </c>
      <c r="AO980" t="s">
        <v>1726</v>
      </c>
      <c r="AP980" t="s">
        <v>74</v>
      </c>
      <c r="AQ980" t="s">
        <v>74</v>
      </c>
      <c r="AR980" t="s">
        <v>1728</v>
      </c>
      <c r="AS980" t="s">
        <v>1729</v>
      </c>
      <c r="AT980" t="s">
        <v>18472</v>
      </c>
      <c r="AU980">
        <v>2020</v>
      </c>
      <c r="AV980">
        <v>248</v>
      </c>
      <c r="AW980" t="s">
        <v>74</v>
      </c>
      <c r="AX980" t="s">
        <v>74</v>
      </c>
      <c r="AY980" t="s">
        <v>74</v>
      </c>
      <c r="AZ980" t="s">
        <v>74</v>
      </c>
      <c r="BA980" t="s">
        <v>74</v>
      </c>
      <c r="BB980" t="s">
        <v>74</v>
      </c>
      <c r="BC980" t="s">
        <v>74</v>
      </c>
      <c r="BD980">
        <v>106617</v>
      </c>
      <c r="BE980" t="s">
        <v>18522</v>
      </c>
      <c r="BF980" t="str">
        <f>HYPERLINK("http://dx.doi.org/10.1016/j.quascirev.2020.106617","http://dx.doi.org/10.1016/j.quascirev.2020.106617")</f>
        <v>http://dx.doi.org/10.1016/j.quascirev.2020.106617</v>
      </c>
      <c r="BG980" t="s">
        <v>74</v>
      </c>
      <c r="BH980" t="s">
        <v>74</v>
      </c>
      <c r="BI980">
        <v>26</v>
      </c>
      <c r="BJ980" t="s">
        <v>156</v>
      </c>
      <c r="BK980" t="s">
        <v>103</v>
      </c>
      <c r="BL980" t="s">
        <v>157</v>
      </c>
      <c r="BM980" t="s">
        <v>18523</v>
      </c>
      <c r="BN980" t="s">
        <v>74</v>
      </c>
      <c r="BO980" t="s">
        <v>1220</v>
      </c>
      <c r="BP980" t="s">
        <v>74</v>
      </c>
      <c r="BQ980" t="s">
        <v>74</v>
      </c>
      <c r="BR980" t="s">
        <v>106</v>
      </c>
      <c r="BS980" t="s">
        <v>18524</v>
      </c>
      <c r="BT980" t="str">
        <f>HYPERLINK("https%3A%2F%2Fwww.webofscience.com%2Fwos%2Fwoscc%2Ffull-record%2FWOS:000582803000027","View Full Record in Web of Science")</f>
        <v>View Full Record in Web of Science</v>
      </c>
    </row>
    <row r="981" spans="1:72" x14ac:dyDescent="0.15">
      <c r="A981" t="s">
        <v>72</v>
      </c>
      <c r="B981" t="s">
        <v>18525</v>
      </c>
      <c r="C981" t="s">
        <v>74</v>
      </c>
      <c r="D981" t="s">
        <v>74</v>
      </c>
      <c r="E981" t="s">
        <v>74</v>
      </c>
      <c r="F981" t="s">
        <v>18526</v>
      </c>
      <c r="G981" t="s">
        <v>74</v>
      </c>
      <c r="H981" t="s">
        <v>74</v>
      </c>
      <c r="I981" t="s">
        <v>18527</v>
      </c>
      <c r="J981" t="s">
        <v>408</v>
      </c>
      <c r="K981" t="s">
        <v>74</v>
      </c>
      <c r="L981" t="s">
        <v>74</v>
      </c>
      <c r="M981" t="s">
        <v>78</v>
      </c>
      <c r="N981" t="s">
        <v>79</v>
      </c>
      <c r="O981" t="s">
        <v>74</v>
      </c>
      <c r="P981" t="s">
        <v>74</v>
      </c>
      <c r="Q981" t="s">
        <v>74</v>
      </c>
      <c r="R981" t="s">
        <v>74</v>
      </c>
      <c r="S981" t="s">
        <v>74</v>
      </c>
      <c r="T981" t="s">
        <v>18528</v>
      </c>
      <c r="U981" t="s">
        <v>18529</v>
      </c>
      <c r="V981" t="s">
        <v>18530</v>
      </c>
      <c r="W981" t="s">
        <v>18531</v>
      </c>
      <c r="X981" t="s">
        <v>18532</v>
      </c>
      <c r="Y981" t="s">
        <v>18533</v>
      </c>
      <c r="Z981" t="s">
        <v>18534</v>
      </c>
      <c r="AA981" t="s">
        <v>18535</v>
      </c>
      <c r="AB981" t="s">
        <v>18536</v>
      </c>
      <c r="AC981" t="s">
        <v>18537</v>
      </c>
      <c r="AD981" t="s">
        <v>18538</v>
      </c>
      <c r="AE981" t="s">
        <v>18539</v>
      </c>
      <c r="AF981" t="s">
        <v>74</v>
      </c>
      <c r="AG981">
        <v>121</v>
      </c>
      <c r="AH981">
        <v>17</v>
      </c>
      <c r="AI981">
        <v>18</v>
      </c>
      <c r="AJ981">
        <v>1</v>
      </c>
      <c r="AK981">
        <v>14</v>
      </c>
      <c r="AL981" t="s">
        <v>418</v>
      </c>
      <c r="AM981" t="s">
        <v>178</v>
      </c>
      <c r="AN981" t="s">
        <v>419</v>
      </c>
      <c r="AO981" t="s">
        <v>420</v>
      </c>
      <c r="AP981" t="s">
        <v>421</v>
      </c>
      <c r="AQ981" t="s">
        <v>74</v>
      </c>
      <c r="AR981" t="s">
        <v>422</v>
      </c>
      <c r="AS981" t="s">
        <v>423</v>
      </c>
      <c r="AT981" t="s">
        <v>18472</v>
      </c>
      <c r="AU981">
        <v>2020</v>
      </c>
      <c r="AV981">
        <v>289</v>
      </c>
      <c r="AW981" t="s">
        <v>74</v>
      </c>
      <c r="AX981" t="s">
        <v>74</v>
      </c>
      <c r="AY981" t="s">
        <v>74</v>
      </c>
      <c r="AZ981" t="s">
        <v>74</v>
      </c>
      <c r="BA981" t="s">
        <v>74</v>
      </c>
      <c r="BB981">
        <v>69</v>
      </c>
      <c r="BC981">
        <v>92</v>
      </c>
      <c r="BD981" t="s">
        <v>74</v>
      </c>
      <c r="BE981" t="s">
        <v>18540</v>
      </c>
      <c r="BF981" t="str">
        <f>HYPERLINK("http://dx.doi.org/10.1016/j.gca.2020.08.021","http://dx.doi.org/10.1016/j.gca.2020.08.021")</f>
        <v>http://dx.doi.org/10.1016/j.gca.2020.08.021</v>
      </c>
      <c r="BG981" t="s">
        <v>74</v>
      </c>
      <c r="BH981" t="s">
        <v>74</v>
      </c>
      <c r="BI981">
        <v>24</v>
      </c>
      <c r="BJ981" t="s">
        <v>426</v>
      </c>
      <c r="BK981" t="s">
        <v>103</v>
      </c>
      <c r="BL981" t="s">
        <v>426</v>
      </c>
      <c r="BM981" t="s">
        <v>18541</v>
      </c>
      <c r="BN981" t="s">
        <v>74</v>
      </c>
      <c r="BO981" t="s">
        <v>8164</v>
      </c>
      <c r="BP981" t="s">
        <v>74</v>
      </c>
      <c r="BQ981" t="s">
        <v>74</v>
      </c>
      <c r="BR981" t="s">
        <v>106</v>
      </c>
      <c r="BS981" t="s">
        <v>18542</v>
      </c>
      <c r="BT981" t="str">
        <f>HYPERLINK("https%3A%2F%2Fwww.webofscience.com%2Fwos%2Fwoscc%2Ffull-record%2FWOS:000579787200005","View Full Record in Web of Science")</f>
        <v>View Full Record in Web of Science</v>
      </c>
    </row>
    <row r="982" spans="1:72" x14ac:dyDescent="0.15">
      <c r="A982" t="s">
        <v>72</v>
      </c>
      <c r="B982" t="s">
        <v>18543</v>
      </c>
      <c r="C982" t="s">
        <v>74</v>
      </c>
      <c r="D982" t="s">
        <v>74</v>
      </c>
      <c r="E982" t="s">
        <v>74</v>
      </c>
      <c r="F982" t="s">
        <v>18544</v>
      </c>
      <c r="G982" t="s">
        <v>74</v>
      </c>
      <c r="H982" t="s">
        <v>74</v>
      </c>
      <c r="I982" t="s">
        <v>18545</v>
      </c>
      <c r="J982" t="s">
        <v>279</v>
      </c>
      <c r="K982" t="s">
        <v>74</v>
      </c>
      <c r="L982" t="s">
        <v>74</v>
      </c>
      <c r="M982" t="s">
        <v>78</v>
      </c>
      <c r="N982" t="s">
        <v>79</v>
      </c>
      <c r="O982" t="s">
        <v>74</v>
      </c>
      <c r="P982" t="s">
        <v>74</v>
      </c>
      <c r="Q982" t="s">
        <v>74</v>
      </c>
      <c r="R982" t="s">
        <v>74</v>
      </c>
      <c r="S982" t="s">
        <v>74</v>
      </c>
      <c r="T982" t="s">
        <v>18546</v>
      </c>
      <c r="U982" t="s">
        <v>18547</v>
      </c>
      <c r="V982" t="s">
        <v>18548</v>
      </c>
      <c r="W982" t="s">
        <v>18549</v>
      </c>
      <c r="X982" t="s">
        <v>18550</v>
      </c>
      <c r="Y982" t="s">
        <v>18551</v>
      </c>
      <c r="Z982" t="s">
        <v>18552</v>
      </c>
      <c r="AA982" t="s">
        <v>18553</v>
      </c>
      <c r="AB982" t="s">
        <v>18554</v>
      </c>
      <c r="AC982" t="s">
        <v>18555</v>
      </c>
      <c r="AD982" t="s">
        <v>18556</v>
      </c>
      <c r="AE982" t="s">
        <v>18557</v>
      </c>
      <c r="AF982" t="s">
        <v>74</v>
      </c>
      <c r="AG982">
        <v>112</v>
      </c>
      <c r="AH982">
        <v>12</v>
      </c>
      <c r="AI982">
        <v>14</v>
      </c>
      <c r="AJ982">
        <v>5</v>
      </c>
      <c r="AK982">
        <v>64</v>
      </c>
      <c r="AL982" t="s">
        <v>92</v>
      </c>
      <c r="AM982" t="s">
        <v>93</v>
      </c>
      <c r="AN982" t="s">
        <v>94</v>
      </c>
      <c r="AO982" t="s">
        <v>290</v>
      </c>
      <c r="AP982" t="s">
        <v>291</v>
      </c>
      <c r="AQ982" t="s">
        <v>74</v>
      </c>
      <c r="AR982" t="s">
        <v>292</v>
      </c>
      <c r="AS982" t="s">
        <v>293</v>
      </c>
      <c r="AT982" t="s">
        <v>18472</v>
      </c>
      <c r="AU982">
        <v>2020</v>
      </c>
      <c r="AV982">
        <v>558</v>
      </c>
      <c r="AW982" t="s">
        <v>74</v>
      </c>
      <c r="AX982" t="s">
        <v>74</v>
      </c>
      <c r="AY982" t="s">
        <v>74</v>
      </c>
      <c r="AZ982" t="s">
        <v>74</v>
      </c>
      <c r="BA982" t="s">
        <v>74</v>
      </c>
      <c r="BB982" t="s">
        <v>74</v>
      </c>
      <c r="BC982" t="s">
        <v>74</v>
      </c>
      <c r="BD982">
        <v>109945</v>
      </c>
      <c r="BE982" t="s">
        <v>18558</v>
      </c>
      <c r="BF982" t="str">
        <f>HYPERLINK("http://dx.doi.org/10.1016/j.palaeo.2020.109945","http://dx.doi.org/10.1016/j.palaeo.2020.109945")</f>
        <v>http://dx.doi.org/10.1016/j.palaeo.2020.109945</v>
      </c>
      <c r="BG982" t="s">
        <v>74</v>
      </c>
      <c r="BH982" t="s">
        <v>74</v>
      </c>
      <c r="BI982">
        <v>18</v>
      </c>
      <c r="BJ982" t="s">
        <v>296</v>
      </c>
      <c r="BK982" t="s">
        <v>103</v>
      </c>
      <c r="BL982" t="s">
        <v>297</v>
      </c>
      <c r="BM982" t="s">
        <v>18559</v>
      </c>
      <c r="BN982" t="s">
        <v>74</v>
      </c>
      <c r="BO982" t="s">
        <v>74</v>
      </c>
      <c r="BP982" t="s">
        <v>74</v>
      </c>
      <c r="BQ982" t="s">
        <v>74</v>
      </c>
      <c r="BR982" t="s">
        <v>106</v>
      </c>
      <c r="BS982" t="s">
        <v>18560</v>
      </c>
      <c r="BT982" t="str">
        <f>HYPERLINK("https%3A%2F%2Fwww.webofscience.com%2Fwos%2Fwoscc%2Ffull-record%2FWOS:000577193100007","View Full Record in Web of Science")</f>
        <v>View Full Record in Web of Science</v>
      </c>
    </row>
    <row r="983" spans="1:72" x14ac:dyDescent="0.15">
      <c r="A983" t="s">
        <v>72</v>
      </c>
      <c r="B983" t="s">
        <v>18561</v>
      </c>
      <c r="C983" t="s">
        <v>74</v>
      </c>
      <c r="D983" t="s">
        <v>74</v>
      </c>
      <c r="E983" t="s">
        <v>74</v>
      </c>
      <c r="F983" t="s">
        <v>18562</v>
      </c>
      <c r="G983" t="s">
        <v>74</v>
      </c>
      <c r="H983" t="s">
        <v>74</v>
      </c>
      <c r="I983" t="s">
        <v>18563</v>
      </c>
      <c r="J983" t="s">
        <v>77</v>
      </c>
      <c r="K983" t="s">
        <v>74</v>
      </c>
      <c r="L983" t="s">
        <v>74</v>
      </c>
      <c r="M983" t="s">
        <v>78</v>
      </c>
      <c r="N983" t="s">
        <v>79</v>
      </c>
      <c r="O983" t="s">
        <v>74</v>
      </c>
      <c r="P983" t="s">
        <v>74</v>
      </c>
      <c r="Q983" t="s">
        <v>74</v>
      </c>
      <c r="R983" t="s">
        <v>74</v>
      </c>
      <c r="S983" t="s">
        <v>74</v>
      </c>
      <c r="T983" t="s">
        <v>18564</v>
      </c>
      <c r="U983" t="s">
        <v>18565</v>
      </c>
      <c r="V983" t="s">
        <v>18566</v>
      </c>
      <c r="W983" t="s">
        <v>18567</v>
      </c>
      <c r="X983" t="s">
        <v>18568</v>
      </c>
      <c r="Y983" t="s">
        <v>18569</v>
      </c>
      <c r="Z983" t="s">
        <v>18570</v>
      </c>
      <c r="AA983" t="s">
        <v>18571</v>
      </c>
      <c r="AB983" t="s">
        <v>18572</v>
      </c>
      <c r="AC983" t="s">
        <v>18573</v>
      </c>
      <c r="AD983" t="s">
        <v>18574</v>
      </c>
      <c r="AE983" t="s">
        <v>18575</v>
      </c>
      <c r="AF983" t="s">
        <v>74</v>
      </c>
      <c r="AG983">
        <v>26</v>
      </c>
      <c r="AH983">
        <v>12</v>
      </c>
      <c r="AI983">
        <v>12</v>
      </c>
      <c r="AJ983">
        <v>2</v>
      </c>
      <c r="AK983">
        <v>38</v>
      </c>
      <c r="AL983" t="s">
        <v>92</v>
      </c>
      <c r="AM983" t="s">
        <v>93</v>
      </c>
      <c r="AN983" t="s">
        <v>94</v>
      </c>
      <c r="AO983" t="s">
        <v>95</v>
      </c>
      <c r="AP983" t="s">
        <v>96</v>
      </c>
      <c r="AQ983" t="s">
        <v>74</v>
      </c>
      <c r="AR983" t="s">
        <v>97</v>
      </c>
      <c r="AS983" t="s">
        <v>98</v>
      </c>
      <c r="AT983" t="s">
        <v>18472</v>
      </c>
      <c r="AU983">
        <v>2020</v>
      </c>
      <c r="AV983">
        <v>743</v>
      </c>
      <c r="AW983" t="s">
        <v>74</v>
      </c>
      <c r="AX983" t="s">
        <v>74</v>
      </c>
      <c r="AY983" t="s">
        <v>74</v>
      </c>
      <c r="AZ983" t="s">
        <v>74</v>
      </c>
      <c r="BA983" t="s">
        <v>74</v>
      </c>
      <c r="BB983" t="s">
        <v>74</v>
      </c>
      <c r="BC983" t="s">
        <v>74</v>
      </c>
      <c r="BD983">
        <v>140801</v>
      </c>
      <c r="BE983" t="s">
        <v>18576</v>
      </c>
      <c r="BF983" t="str">
        <f>HYPERLINK("http://dx.doi.org/10.1016/j.scitotenv.2020.140801","http://dx.doi.org/10.1016/j.scitotenv.2020.140801")</f>
        <v>http://dx.doi.org/10.1016/j.scitotenv.2020.140801</v>
      </c>
      <c r="BG983" t="s">
        <v>74</v>
      </c>
      <c r="BH983" t="s">
        <v>74</v>
      </c>
      <c r="BI983">
        <v>6</v>
      </c>
      <c r="BJ983" t="s">
        <v>102</v>
      </c>
      <c r="BK983" t="s">
        <v>103</v>
      </c>
      <c r="BL983" t="s">
        <v>104</v>
      </c>
      <c r="BM983" t="s">
        <v>18577</v>
      </c>
      <c r="BN983">
        <v>32673927</v>
      </c>
      <c r="BO983" t="s">
        <v>74</v>
      </c>
      <c r="BP983" t="s">
        <v>74</v>
      </c>
      <c r="BQ983" t="s">
        <v>74</v>
      </c>
      <c r="BR983" t="s">
        <v>106</v>
      </c>
      <c r="BS983" t="s">
        <v>18578</v>
      </c>
      <c r="BT983" t="str">
        <f>HYPERLINK("https%3A%2F%2Fwww.webofscience.com%2Fwos%2Fwoscc%2Ffull-record%2FWOS:000573546100003","View Full Record in Web of Science")</f>
        <v>View Full Record in Web of Science</v>
      </c>
    </row>
    <row r="984" spans="1:72" x14ac:dyDescent="0.15">
      <c r="A984" t="s">
        <v>72</v>
      </c>
      <c r="B984" t="s">
        <v>18579</v>
      </c>
      <c r="C984" t="s">
        <v>74</v>
      </c>
      <c r="D984" t="s">
        <v>74</v>
      </c>
      <c r="E984" t="s">
        <v>74</v>
      </c>
      <c r="F984" t="s">
        <v>18580</v>
      </c>
      <c r="G984" t="s">
        <v>74</v>
      </c>
      <c r="H984" t="s">
        <v>74</v>
      </c>
      <c r="I984" t="s">
        <v>18581</v>
      </c>
      <c r="J984" t="s">
        <v>1927</v>
      </c>
      <c r="K984" t="s">
        <v>74</v>
      </c>
      <c r="L984" t="s">
        <v>74</v>
      </c>
      <c r="M984" t="s">
        <v>78</v>
      </c>
      <c r="N984" t="s">
        <v>79</v>
      </c>
      <c r="O984" t="s">
        <v>74</v>
      </c>
      <c r="P984" t="s">
        <v>74</v>
      </c>
      <c r="Q984" t="s">
        <v>74</v>
      </c>
      <c r="R984" t="s">
        <v>74</v>
      </c>
      <c r="S984" t="s">
        <v>74</v>
      </c>
      <c r="T984" t="s">
        <v>18582</v>
      </c>
      <c r="U984" t="s">
        <v>18583</v>
      </c>
      <c r="V984" t="s">
        <v>18584</v>
      </c>
      <c r="W984" t="s">
        <v>18585</v>
      </c>
      <c r="X984" t="s">
        <v>18586</v>
      </c>
      <c r="Y984" t="s">
        <v>18587</v>
      </c>
      <c r="Z984" t="s">
        <v>18588</v>
      </c>
      <c r="AA984" t="s">
        <v>18589</v>
      </c>
      <c r="AB984" t="s">
        <v>18590</v>
      </c>
      <c r="AC984" t="s">
        <v>18591</v>
      </c>
      <c r="AD984" t="s">
        <v>18592</v>
      </c>
      <c r="AE984" t="s">
        <v>18593</v>
      </c>
      <c r="AF984" t="s">
        <v>74</v>
      </c>
      <c r="AG984">
        <v>109</v>
      </c>
      <c r="AH984">
        <v>10</v>
      </c>
      <c r="AI984">
        <v>10</v>
      </c>
      <c r="AJ984">
        <v>0</v>
      </c>
      <c r="AK984">
        <v>7</v>
      </c>
      <c r="AL984" t="s">
        <v>92</v>
      </c>
      <c r="AM984" t="s">
        <v>93</v>
      </c>
      <c r="AN984" t="s">
        <v>94</v>
      </c>
      <c r="AO984" t="s">
        <v>1940</v>
      </c>
      <c r="AP984" t="s">
        <v>1941</v>
      </c>
      <c r="AQ984" t="s">
        <v>74</v>
      </c>
      <c r="AR984" t="s">
        <v>1927</v>
      </c>
      <c r="AS984" t="s">
        <v>1942</v>
      </c>
      <c r="AT984" t="s">
        <v>18472</v>
      </c>
      <c r="AU984">
        <v>2020</v>
      </c>
      <c r="AV984">
        <v>369</v>
      </c>
      <c r="AW984" t="s">
        <v>74</v>
      </c>
      <c r="AX984" t="s">
        <v>74</v>
      </c>
      <c r="AY984" t="s">
        <v>74</v>
      </c>
      <c r="AZ984" t="s">
        <v>74</v>
      </c>
      <c r="BA984" t="s">
        <v>74</v>
      </c>
      <c r="BB984" t="s">
        <v>74</v>
      </c>
      <c r="BC984" t="s">
        <v>74</v>
      </c>
      <c r="BD984">
        <v>107309</v>
      </c>
      <c r="BE984" t="s">
        <v>18594</v>
      </c>
      <c r="BF984" t="str">
        <f>HYPERLINK("http://dx.doi.org/10.1016/j.geomorph.2020.107309","http://dx.doi.org/10.1016/j.geomorph.2020.107309")</f>
        <v>http://dx.doi.org/10.1016/j.geomorph.2020.107309</v>
      </c>
      <c r="BG984" t="s">
        <v>74</v>
      </c>
      <c r="BH984" t="s">
        <v>74</v>
      </c>
      <c r="BI984">
        <v>15</v>
      </c>
      <c r="BJ984" t="s">
        <v>156</v>
      </c>
      <c r="BK984" t="s">
        <v>103</v>
      </c>
      <c r="BL984" t="s">
        <v>157</v>
      </c>
      <c r="BM984" t="s">
        <v>18595</v>
      </c>
      <c r="BN984" t="s">
        <v>74</v>
      </c>
      <c r="BO984" t="s">
        <v>352</v>
      </c>
      <c r="BP984" t="s">
        <v>74</v>
      </c>
      <c r="BQ984" t="s">
        <v>74</v>
      </c>
      <c r="BR984" t="s">
        <v>106</v>
      </c>
      <c r="BS984" t="s">
        <v>18596</v>
      </c>
      <c r="BT984" t="str">
        <f>HYPERLINK("https%3A%2F%2Fwww.webofscience.com%2Fwos%2Fwoscc%2Ffull-record%2FWOS:000571831500004","View Full Record in Web of Science")</f>
        <v>View Full Record in Web of Science</v>
      </c>
    </row>
    <row r="985" spans="1:72" x14ac:dyDescent="0.15">
      <c r="A985" t="s">
        <v>72</v>
      </c>
      <c r="B985" t="s">
        <v>18597</v>
      </c>
      <c r="C985" t="s">
        <v>74</v>
      </c>
      <c r="D985" t="s">
        <v>74</v>
      </c>
      <c r="E985" t="s">
        <v>74</v>
      </c>
      <c r="F985" t="s">
        <v>18598</v>
      </c>
      <c r="G985" t="s">
        <v>74</v>
      </c>
      <c r="H985" t="s">
        <v>74</v>
      </c>
      <c r="I985" t="s">
        <v>18599</v>
      </c>
      <c r="J985" t="s">
        <v>1737</v>
      </c>
      <c r="K985" t="s">
        <v>74</v>
      </c>
      <c r="L985" t="s">
        <v>74</v>
      </c>
      <c r="M985" t="s">
        <v>78</v>
      </c>
      <c r="N985" t="s">
        <v>79</v>
      </c>
      <c r="O985" t="s">
        <v>74</v>
      </c>
      <c r="P985" t="s">
        <v>74</v>
      </c>
      <c r="Q985" t="s">
        <v>74</v>
      </c>
      <c r="R985" t="s">
        <v>74</v>
      </c>
      <c r="S985" t="s">
        <v>74</v>
      </c>
      <c r="T985" t="s">
        <v>18600</v>
      </c>
      <c r="U985" t="s">
        <v>18601</v>
      </c>
      <c r="V985" t="s">
        <v>18602</v>
      </c>
      <c r="W985" t="s">
        <v>18603</v>
      </c>
      <c r="X985" t="s">
        <v>18604</v>
      </c>
      <c r="Y985" t="s">
        <v>18605</v>
      </c>
      <c r="Z985" t="s">
        <v>18606</v>
      </c>
      <c r="AA985" t="s">
        <v>18607</v>
      </c>
      <c r="AB985" t="s">
        <v>18608</v>
      </c>
      <c r="AC985" t="s">
        <v>18609</v>
      </c>
      <c r="AD985" t="s">
        <v>18610</v>
      </c>
      <c r="AE985" t="s">
        <v>18611</v>
      </c>
      <c r="AF985" t="s">
        <v>74</v>
      </c>
      <c r="AG985">
        <v>47</v>
      </c>
      <c r="AH985">
        <v>8</v>
      </c>
      <c r="AI985">
        <v>10</v>
      </c>
      <c r="AJ985">
        <v>1</v>
      </c>
      <c r="AK985">
        <v>17</v>
      </c>
      <c r="AL985" t="s">
        <v>92</v>
      </c>
      <c r="AM985" t="s">
        <v>93</v>
      </c>
      <c r="AN985" t="s">
        <v>94</v>
      </c>
      <c r="AO985" t="s">
        <v>1749</v>
      </c>
      <c r="AP985" t="s">
        <v>1750</v>
      </c>
      <c r="AQ985" t="s">
        <v>74</v>
      </c>
      <c r="AR985" t="s">
        <v>1751</v>
      </c>
      <c r="AS985" t="s">
        <v>1752</v>
      </c>
      <c r="AT985" t="s">
        <v>18472</v>
      </c>
      <c r="AU985">
        <v>2020</v>
      </c>
      <c r="AV985">
        <v>550</v>
      </c>
      <c r="AW985" t="s">
        <v>74</v>
      </c>
      <c r="AX985" t="s">
        <v>74</v>
      </c>
      <c r="AY985" t="s">
        <v>74</v>
      </c>
      <c r="AZ985" t="s">
        <v>74</v>
      </c>
      <c r="BA985" t="s">
        <v>74</v>
      </c>
      <c r="BB985" t="s">
        <v>74</v>
      </c>
      <c r="BC985" t="s">
        <v>74</v>
      </c>
      <c r="BD985">
        <v>116543</v>
      </c>
      <c r="BE985" t="s">
        <v>18612</v>
      </c>
      <c r="BF985" t="str">
        <f>HYPERLINK("http://dx.doi.org/10.1016/j.epsl.2020.116543","http://dx.doi.org/10.1016/j.epsl.2020.116543")</f>
        <v>http://dx.doi.org/10.1016/j.epsl.2020.116543</v>
      </c>
      <c r="BG985" t="s">
        <v>74</v>
      </c>
      <c r="BH985" t="s">
        <v>74</v>
      </c>
      <c r="BI985">
        <v>10</v>
      </c>
      <c r="BJ985" t="s">
        <v>426</v>
      </c>
      <c r="BK985" t="s">
        <v>103</v>
      </c>
      <c r="BL985" t="s">
        <v>426</v>
      </c>
      <c r="BM985" t="s">
        <v>18613</v>
      </c>
      <c r="BN985" t="s">
        <v>74</v>
      </c>
      <c r="BO985" t="s">
        <v>218</v>
      </c>
      <c r="BP985" t="s">
        <v>74</v>
      </c>
      <c r="BQ985" t="s">
        <v>74</v>
      </c>
      <c r="BR985" t="s">
        <v>106</v>
      </c>
      <c r="BS985" t="s">
        <v>18614</v>
      </c>
      <c r="BT985" t="str">
        <f>HYPERLINK("https%3A%2F%2Fwww.webofscience.com%2Fwos%2Fwoscc%2Ffull-record%2FWOS:000569220000004","View Full Record in Web of Science")</f>
        <v>View Full Record in Web of Science</v>
      </c>
    </row>
    <row r="986" spans="1:72" x14ac:dyDescent="0.15">
      <c r="A986" t="s">
        <v>72</v>
      </c>
      <c r="B986" t="s">
        <v>18615</v>
      </c>
      <c r="C986" t="s">
        <v>74</v>
      </c>
      <c r="D986" t="s">
        <v>74</v>
      </c>
      <c r="E986" t="s">
        <v>74</v>
      </c>
      <c r="F986" t="s">
        <v>18616</v>
      </c>
      <c r="G986" t="s">
        <v>74</v>
      </c>
      <c r="H986" t="s">
        <v>74</v>
      </c>
      <c r="I986" t="s">
        <v>18617</v>
      </c>
      <c r="J986" t="s">
        <v>2034</v>
      </c>
      <c r="K986" t="s">
        <v>74</v>
      </c>
      <c r="L986" t="s">
        <v>74</v>
      </c>
      <c r="M986" t="s">
        <v>78</v>
      </c>
      <c r="N986" t="s">
        <v>79</v>
      </c>
      <c r="O986" t="s">
        <v>74</v>
      </c>
      <c r="P986" t="s">
        <v>74</v>
      </c>
      <c r="Q986" t="s">
        <v>74</v>
      </c>
      <c r="R986" t="s">
        <v>74</v>
      </c>
      <c r="S986" t="s">
        <v>74</v>
      </c>
      <c r="T986" t="s">
        <v>18618</v>
      </c>
      <c r="U986" t="s">
        <v>18619</v>
      </c>
      <c r="V986" t="s">
        <v>18620</v>
      </c>
      <c r="W986" t="s">
        <v>18621</v>
      </c>
      <c r="X986" t="s">
        <v>18622</v>
      </c>
      <c r="Y986" t="s">
        <v>18623</v>
      </c>
      <c r="Z986" t="s">
        <v>18624</v>
      </c>
      <c r="AA986" t="s">
        <v>18625</v>
      </c>
      <c r="AB986" t="s">
        <v>18626</v>
      </c>
      <c r="AC986" t="s">
        <v>18627</v>
      </c>
      <c r="AD986" t="s">
        <v>18627</v>
      </c>
      <c r="AE986" t="s">
        <v>18628</v>
      </c>
      <c r="AF986" t="s">
        <v>74</v>
      </c>
      <c r="AG986">
        <v>42</v>
      </c>
      <c r="AH986">
        <v>8</v>
      </c>
      <c r="AI986">
        <v>9</v>
      </c>
      <c r="AJ986">
        <v>1</v>
      </c>
      <c r="AK986">
        <v>28</v>
      </c>
      <c r="AL986" t="s">
        <v>2046</v>
      </c>
      <c r="AM986" t="s">
        <v>473</v>
      </c>
      <c r="AN986" t="s">
        <v>2047</v>
      </c>
      <c r="AO986" t="s">
        <v>2048</v>
      </c>
      <c r="AP986" t="s">
        <v>2049</v>
      </c>
      <c r="AQ986" t="s">
        <v>74</v>
      </c>
      <c r="AR986" t="s">
        <v>2050</v>
      </c>
      <c r="AS986" t="s">
        <v>2051</v>
      </c>
      <c r="AT986" t="s">
        <v>18472</v>
      </c>
      <c r="AU986">
        <v>2020</v>
      </c>
      <c r="AV986">
        <v>245</v>
      </c>
      <c r="AW986" t="s">
        <v>74</v>
      </c>
      <c r="AX986" t="s">
        <v>74</v>
      </c>
      <c r="AY986" t="s">
        <v>74</v>
      </c>
      <c r="AZ986" t="s">
        <v>74</v>
      </c>
      <c r="BA986" t="s">
        <v>74</v>
      </c>
      <c r="BB986" t="s">
        <v>74</v>
      </c>
      <c r="BC986" t="s">
        <v>74</v>
      </c>
      <c r="BD986">
        <v>105089</v>
      </c>
      <c r="BE986" t="s">
        <v>18629</v>
      </c>
      <c r="BF986" t="str">
        <f>HYPERLINK("http://dx.doi.org/10.1016/j.atmosres.2020.105089","http://dx.doi.org/10.1016/j.atmosres.2020.105089")</f>
        <v>http://dx.doi.org/10.1016/j.atmosres.2020.105089</v>
      </c>
      <c r="BG986" t="s">
        <v>74</v>
      </c>
      <c r="BH986" t="s">
        <v>74</v>
      </c>
      <c r="BI986">
        <v>13</v>
      </c>
      <c r="BJ986" t="s">
        <v>687</v>
      </c>
      <c r="BK986" t="s">
        <v>103</v>
      </c>
      <c r="BL986" t="s">
        <v>687</v>
      </c>
      <c r="BM986" t="s">
        <v>18630</v>
      </c>
      <c r="BN986" t="s">
        <v>74</v>
      </c>
      <c r="BO986" t="s">
        <v>74</v>
      </c>
      <c r="BP986" t="s">
        <v>74</v>
      </c>
      <c r="BQ986" t="s">
        <v>74</v>
      </c>
      <c r="BR986" t="s">
        <v>106</v>
      </c>
      <c r="BS986" t="s">
        <v>18631</v>
      </c>
      <c r="BT986" t="str">
        <f>HYPERLINK("https%3A%2F%2Fwww.webofscience.com%2Fwos%2Fwoscc%2Ffull-record%2FWOS:000567831000008","View Full Record in Web of Science")</f>
        <v>View Full Record in Web of Science</v>
      </c>
    </row>
    <row r="987" spans="1:72" x14ac:dyDescent="0.15">
      <c r="A987" t="s">
        <v>72</v>
      </c>
      <c r="B987" t="s">
        <v>18632</v>
      </c>
      <c r="C987" t="s">
        <v>74</v>
      </c>
      <c r="D987" t="s">
        <v>74</v>
      </c>
      <c r="E987" t="s">
        <v>74</v>
      </c>
      <c r="F987" t="s">
        <v>18633</v>
      </c>
      <c r="G987" t="s">
        <v>74</v>
      </c>
      <c r="H987" t="s">
        <v>74</v>
      </c>
      <c r="I987" t="s">
        <v>18634</v>
      </c>
      <c r="J987" t="s">
        <v>1858</v>
      </c>
      <c r="K987" t="s">
        <v>74</v>
      </c>
      <c r="L987" t="s">
        <v>74</v>
      </c>
      <c r="M987" t="s">
        <v>78</v>
      </c>
      <c r="N987" t="s">
        <v>79</v>
      </c>
      <c r="O987" t="s">
        <v>74</v>
      </c>
      <c r="P987" t="s">
        <v>74</v>
      </c>
      <c r="Q987" t="s">
        <v>74</v>
      </c>
      <c r="R987" t="s">
        <v>74</v>
      </c>
      <c r="S987" t="s">
        <v>74</v>
      </c>
      <c r="T987" t="s">
        <v>18635</v>
      </c>
      <c r="U987" t="s">
        <v>18636</v>
      </c>
      <c r="V987" t="s">
        <v>18637</v>
      </c>
      <c r="W987" t="s">
        <v>18638</v>
      </c>
      <c r="X987" t="s">
        <v>18639</v>
      </c>
      <c r="Y987" t="s">
        <v>18640</v>
      </c>
      <c r="Z987" t="s">
        <v>18641</v>
      </c>
      <c r="AA987" t="s">
        <v>18642</v>
      </c>
      <c r="AB987" t="s">
        <v>18643</v>
      </c>
      <c r="AC987" t="s">
        <v>18644</v>
      </c>
      <c r="AD987" t="s">
        <v>18645</v>
      </c>
      <c r="AE987" t="s">
        <v>18646</v>
      </c>
      <c r="AF987" t="s">
        <v>74</v>
      </c>
      <c r="AG987">
        <v>50</v>
      </c>
      <c r="AH987">
        <v>8</v>
      </c>
      <c r="AI987">
        <v>8</v>
      </c>
      <c r="AJ987">
        <v>1</v>
      </c>
      <c r="AK987">
        <v>15</v>
      </c>
      <c r="AL987" t="s">
        <v>92</v>
      </c>
      <c r="AM987" t="s">
        <v>93</v>
      </c>
      <c r="AN987" t="s">
        <v>94</v>
      </c>
      <c r="AO987" t="s">
        <v>1871</v>
      </c>
      <c r="AP987" t="s">
        <v>1872</v>
      </c>
      <c r="AQ987" t="s">
        <v>74</v>
      </c>
      <c r="AR987" t="s">
        <v>1858</v>
      </c>
      <c r="AS987" t="s">
        <v>1873</v>
      </c>
      <c r="AT987" t="s">
        <v>18472</v>
      </c>
      <c r="AU987">
        <v>2020</v>
      </c>
      <c r="AV987">
        <v>528</v>
      </c>
      <c r="AW987" t="s">
        <v>74</v>
      </c>
      <c r="AX987" t="s">
        <v>74</v>
      </c>
      <c r="AY987" t="s">
        <v>74</v>
      </c>
      <c r="AZ987" t="s">
        <v>74</v>
      </c>
      <c r="BA987" t="s">
        <v>74</v>
      </c>
      <c r="BB987" t="s">
        <v>74</v>
      </c>
      <c r="BC987" t="s">
        <v>74</v>
      </c>
      <c r="BD987">
        <v>735596</v>
      </c>
      <c r="BE987" t="s">
        <v>18647</v>
      </c>
      <c r="BF987" t="str">
        <f>HYPERLINK("http://dx.doi.org/10.1016/j.aquaculture.2020.735596","http://dx.doi.org/10.1016/j.aquaculture.2020.735596")</f>
        <v>http://dx.doi.org/10.1016/j.aquaculture.2020.735596</v>
      </c>
      <c r="BG987" t="s">
        <v>74</v>
      </c>
      <c r="BH987" t="s">
        <v>74</v>
      </c>
      <c r="BI987">
        <v>6</v>
      </c>
      <c r="BJ987" t="s">
        <v>584</v>
      </c>
      <c r="BK987" t="s">
        <v>103</v>
      </c>
      <c r="BL987" t="s">
        <v>584</v>
      </c>
      <c r="BM987" t="s">
        <v>18648</v>
      </c>
      <c r="BN987" t="s">
        <v>74</v>
      </c>
      <c r="BO987" t="s">
        <v>74</v>
      </c>
      <c r="BP987" t="s">
        <v>74</v>
      </c>
      <c r="BQ987" t="s">
        <v>74</v>
      </c>
      <c r="BR987" t="s">
        <v>106</v>
      </c>
      <c r="BS987" t="s">
        <v>18649</v>
      </c>
      <c r="BT987" t="str">
        <f>HYPERLINK("https%3A%2F%2Fwww.webofscience.com%2Fwos%2Fwoscc%2Ffull-record%2FWOS:000553693000001","View Full Record in Web of Science")</f>
        <v>View Full Record in Web of Science</v>
      </c>
    </row>
    <row r="988" spans="1:72" x14ac:dyDescent="0.15">
      <c r="A988" t="s">
        <v>72</v>
      </c>
      <c r="B988" t="s">
        <v>18650</v>
      </c>
      <c r="C988" t="s">
        <v>74</v>
      </c>
      <c r="D988" t="s">
        <v>74</v>
      </c>
      <c r="E988" t="s">
        <v>74</v>
      </c>
      <c r="F988" t="s">
        <v>18651</v>
      </c>
      <c r="G988" t="s">
        <v>74</v>
      </c>
      <c r="H988" t="s">
        <v>74</v>
      </c>
      <c r="I988" t="s">
        <v>18652</v>
      </c>
      <c r="J988" t="s">
        <v>1556</v>
      </c>
      <c r="K988" t="s">
        <v>74</v>
      </c>
      <c r="L988" t="s">
        <v>74</v>
      </c>
      <c r="M988" t="s">
        <v>78</v>
      </c>
      <c r="N988" t="s">
        <v>79</v>
      </c>
      <c r="O988" t="s">
        <v>74</v>
      </c>
      <c r="P988" t="s">
        <v>74</v>
      </c>
      <c r="Q988" t="s">
        <v>74</v>
      </c>
      <c r="R988" t="s">
        <v>74</v>
      </c>
      <c r="S988" t="s">
        <v>74</v>
      </c>
      <c r="T988" t="s">
        <v>74</v>
      </c>
      <c r="U988" t="s">
        <v>18653</v>
      </c>
      <c r="V988" t="s">
        <v>18654</v>
      </c>
      <c r="W988" t="s">
        <v>18655</v>
      </c>
      <c r="X988" t="s">
        <v>18656</v>
      </c>
      <c r="Y988" t="s">
        <v>18657</v>
      </c>
      <c r="Z988" t="s">
        <v>18658</v>
      </c>
      <c r="AA988" t="s">
        <v>18659</v>
      </c>
      <c r="AB988" t="s">
        <v>18660</v>
      </c>
      <c r="AC988" t="s">
        <v>18661</v>
      </c>
      <c r="AD988" t="s">
        <v>18662</v>
      </c>
      <c r="AE988" t="s">
        <v>18663</v>
      </c>
      <c r="AF988" t="s">
        <v>74</v>
      </c>
      <c r="AG988">
        <v>81</v>
      </c>
      <c r="AH988">
        <v>9</v>
      </c>
      <c r="AI988">
        <v>9</v>
      </c>
      <c r="AJ988">
        <v>0</v>
      </c>
      <c r="AK988">
        <v>14</v>
      </c>
      <c r="AL988" t="s">
        <v>123</v>
      </c>
      <c r="AM988" t="s">
        <v>124</v>
      </c>
      <c r="AN988" t="s">
        <v>125</v>
      </c>
      <c r="AO988" t="s">
        <v>1565</v>
      </c>
      <c r="AP988" t="s">
        <v>1566</v>
      </c>
      <c r="AQ988" t="s">
        <v>74</v>
      </c>
      <c r="AR988" t="s">
        <v>1567</v>
      </c>
      <c r="AS988" t="s">
        <v>1568</v>
      </c>
      <c r="AT988" t="s">
        <v>18664</v>
      </c>
      <c r="AU988">
        <v>2020</v>
      </c>
      <c r="AV988">
        <v>16</v>
      </c>
      <c r="AW988">
        <v>6</v>
      </c>
      <c r="AX988" t="s">
        <v>74</v>
      </c>
      <c r="AY988" t="s">
        <v>74</v>
      </c>
      <c r="AZ988" t="s">
        <v>74</v>
      </c>
      <c r="BA988" t="s">
        <v>74</v>
      </c>
      <c r="BB988">
        <v>2203</v>
      </c>
      <c r="BC988">
        <v>2219</v>
      </c>
      <c r="BD988" t="s">
        <v>74</v>
      </c>
      <c r="BE988" t="s">
        <v>18665</v>
      </c>
      <c r="BF988" t="str">
        <f>HYPERLINK("http://dx.doi.org/10.5194/cp-16-2203-2020","http://dx.doi.org/10.5194/cp-16-2203-2020")</f>
        <v>http://dx.doi.org/10.5194/cp-16-2203-2020</v>
      </c>
      <c r="BG988" t="s">
        <v>74</v>
      </c>
      <c r="BH988" t="s">
        <v>74</v>
      </c>
      <c r="BI988">
        <v>17</v>
      </c>
      <c r="BJ988" t="s">
        <v>1570</v>
      </c>
      <c r="BK988" t="s">
        <v>103</v>
      </c>
      <c r="BL988" t="s">
        <v>1571</v>
      </c>
      <c r="BM988" t="s">
        <v>18666</v>
      </c>
      <c r="BN988" t="s">
        <v>74</v>
      </c>
      <c r="BO988" t="s">
        <v>18667</v>
      </c>
      <c r="BP988" t="s">
        <v>74</v>
      </c>
      <c r="BQ988" t="s">
        <v>74</v>
      </c>
      <c r="BR988" t="s">
        <v>106</v>
      </c>
      <c r="BS988" t="s">
        <v>18668</v>
      </c>
      <c r="BT988" t="str">
        <f>HYPERLINK("https%3A%2F%2Fwww.webofscience.com%2Fwos%2Fwoscc%2Ffull-record%2FWOS:000592750000001","View Full Record in Web of Science")</f>
        <v>View Full Record in Web of Science</v>
      </c>
    </row>
    <row r="989" spans="1:72" x14ac:dyDescent="0.15">
      <c r="A989" t="s">
        <v>72</v>
      </c>
      <c r="B989" t="s">
        <v>18669</v>
      </c>
      <c r="C989" t="s">
        <v>74</v>
      </c>
      <c r="D989" t="s">
        <v>74</v>
      </c>
      <c r="E989" t="s">
        <v>74</v>
      </c>
      <c r="F989" t="s">
        <v>18670</v>
      </c>
      <c r="G989" t="s">
        <v>74</v>
      </c>
      <c r="H989" t="s">
        <v>74</v>
      </c>
      <c r="I989" t="s">
        <v>18671</v>
      </c>
      <c r="J989" t="s">
        <v>140</v>
      </c>
      <c r="K989" t="s">
        <v>74</v>
      </c>
      <c r="L989" t="s">
        <v>74</v>
      </c>
      <c r="M989" t="s">
        <v>78</v>
      </c>
      <c r="N989" t="s">
        <v>79</v>
      </c>
      <c r="O989" t="s">
        <v>74</v>
      </c>
      <c r="P989" t="s">
        <v>74</v>
      </c>
      <c r="Q989" t="s">
        <v>74</v>
      </c>
      <c r="R989" t="s">
        <v>74</v>
      </c>
      <c r="S989" t="s">
        <v>74</v>
      </c>
      <c r="T989" t="s">
        <v>74</v>
      </c>
      <c r="U989" t="s">
        <v>18672</v>
      </c>
      <c r="V989" t="s">
        <v>18673</v>
      </c>
      <c r="W989" t="s">
        <v>18674</v>
      </c>
      <c r="X989" t="s">
        <v>18675</v>
      </c>
      <c r="Y989" t="s">
        <v>18676</v>
      </c>
      <c r="Z989" t="s">
        <v>18677</v>
      </c>
      <c r="AA989" t="s">
        <v>18678</v>
      </c>
      <c r="AB989" t="s">
        <v>18679</v>
      </c>
      <c r="AC989" t="s">
        <v>18680</v>
      </c>
      <c r="AD989" t="s">
        <v>18681</v>
      </c>
      <c r="AE989" t="s">
        <v>18682</v>
      </c>
      <c r="AF989" t="s">
        <v>74</v>
      </c>
      <c r="AG989">
        <v>102</v>
      </c>
      <c r="AH989">
        <v>15</v>
      </c>
      <c r="AI989">
        <v>16</v>
      </c>
      <c r="AJ989">
        <v>2</v>
      </c>
      <c r="AK989">
        <v>13</v>
      </c>
      <c r="AL989" t="s">
        <v>123</v>
      </c>
      <c r="AM989" t="s">
        <v>124</v>
      </c>
      <c r="AN989" t="s">
        <v>125</v>
      </c>
      <c r="AO989" t="s">
        <v>152</v>
      </c>
      <c r="AP989" t="s">
        <v>153</v>
      </c>
      <c r="AQ989" t="s">
        <v>74</v>
      </c>
      <c r="AR989" t="s">
        <v>140</v>
      </c>
      <c r="AS989" t="s">
        <v>154</v>
      </c>
      <c r="AT989" t="s">
        <v>18664</v>
      </c>
      <c r="AU989">
        <v>2020</v>
      </c>
      <c r="AV989">
        <v>14</v>
      </c>
      <c r="AW989">
        <v>11</v>
      </c>
      <c r="AX989" t="s">
        <v>74</v>
      </c>
      <c r="AY989" t="s">
        <v>74</v>
      </c>
      <c r="AZ989" t="s">
        <v>74</v>
      </c>
      <c r="BA989" t="s">
        <v>74</v>
      </c>
      <c r="BB989">
        <v>4021</v>
      </c>
      <c r="BC989">
        <v>4037</v>
      </c>
      <c r="BD989" t="s">
        <v>74</v>
      </c>
      <c r="BE989" t="s">
        <v>18683</v>
      </c>
      <c r="BF989" t="str">
        <f>HYPERLINK("http://dx.doi.org/10.5194/tc-14-4021-2020","http://dx.doi.org/10.5194/tc-14-4021-2020")</f>
        <v>http://dx.doi.org/10.5194/tc-14-4021-2020</v>
      </c>
      <c r="BG989" t="s">
        <v>74</v>
      </c>
      <c r="BH989" t="s">
        <v>74</v>
      </c>
      <c r="BI989">
        <v>17</v>
      </c>
      <c r="BJ989" t="s">
        <v>156</v>
      </c>
      <c r="BK989" t="s">
        <v>103</v>
      </c>
      <c r="BL989" t="s">
        <v>157</v>
      </c>
      <c r="BM989" t="s">
        <v>18684</v>
      </c>
      <c r="BN989" t="s">
        <v>74</v>
      </c>
      <c r="BO989" t="s">
        <v>159</v>
      </c>
      <c r="BP989" t="s">
        <v>74</v>
      </c>
      <c r="BQ989" t="s">
        <v>74</v>
      </c>
      <c r="BR989" t="s">
        <v>106</v>
      </c>
      <c r="BS989" t="s">
        <v>18685</v>
      </c>
      <c r="BT989" t="str">
        <f>HYPERLINK("https%3A%2F%2Fwww.webofscience.com%2Fwos%2Fwoscc%2Ffull-record%2FWOS:000592752500002","View Full Record in Web of Science")</f>
        <v>View Full Record in Web of Science</v>
      </c>
    </row>
    <row r="990" spans="1:72" x14ac:dyDescent="0.15">
      <c r="A990" t="s">
        <v>72</v>
      </c>
      <c r="B990" t="s">
        <v>18686</v>
      </c>
      <c r="C990" t="s">
        <v>74</v>
      </c>
      <c r="D990" t="s">
        <v>74</v>
      </c>
      <c r="E990" t="s">
        <v>74</v>
      </c>
      <c r="F990" t="s">
        <v>18687</v>
      </c>
      <c r="G990" t="s">
        <v>74</v>
      </c>
      <c r="H990" t="s">
        <v>74</v>
      </c>
      <c r="I990" t="s">
        <v>18688</v>
      </c>
      <c r="J990" t="s">
        <v>2272</v>
      </c>
      <c r="K990" t="s">
        <v>74</v>
      </c>
      <c r="L990" t="s">
        <v>74</v>
      </c>
      <c r="M990" t="s">
        <v>78</v>
      </c>
      <c r="N990" t="s">
        <v>1145</v>
      </c>
      <c r="O990" t="s">
        <v>74</v>
      </c>
      <c r="P990" t="s">
        <v>74</v>
      </c>
      <c r="Q990" t="s">
        <v>74</v>
      </c>
      <c r="R990" t="s">
        <v>74</v>
      </c>
      <c r="S990" t="s">
        <v>74</v>
      </c>
      <c r="T990" t="s">
        <v>74</v>
      </c>
      <c r="U990" t="s">
        <v>18689</v>
      </c>
      <c r="V990" t="s">
        <v>18690</v>
      </c>
      <c r="W990" t="s">
        <v>18691</v>
      </c>
      <c r="X990" t="s">
        <v>18692</v>
      </c>
      <c r="Y990" t="s">
        <v>18693</v>
      </c>
      <c r="Z990" t="s">
        <v>12102</v>
      </c>
      <c r="AA990" t="s">
        <v>18694</v>
      </c>
      <c r="AB990" t="s">
        <v>18695</v>
      </c>
      <c r="AC990" t="s">
        <v>18696</v>
      </c>
      <c r="AD990" t="s">
        <v>18697</v>
      </c>
      <c r="AE990" t="s">
        <v>18698</v>
      </c>
      <c r="AF990" t="s">
        <v>74</v>
      </c>
      <c r="AG990">
        <v>31</v>
      </c>
      <c r="AH990">
        <v>29</v>
      </c>
      <c r="AI990">
        <v>35</v>
      </c>
      <c r="AJ990">
        <v>7</v>
      </c>
      <c r="AK990">
        <v>25</v>
      </c>
      <c r="AL990" t="s">
        <v>123</v>
      </c>
      <c r="AM990" t="s">
        <v>124</v>
      </c>
      <c r="AN990" t="s">
        <v>125</v>
      </c>
      <c r="AO990" t="s">
        <v>2282</v>
      </c>
      <c r="AP990" t="s">
        <v>2283</v>
      </c>
      <c r="AQ990" t="s">
        <v>74</v>
      </c>
      <c r="AR990" t="s">
        <v>2284</v>
      </c>
      <c r="AS990" t="s">
        <v>2285</v>
      </c>
      <c r="AT990" t="s">
        <v>18664</v>
      </c>
      <c r="AU990">
        <v>2020</v>
      </c>
      <c r="AV990">
        <v>12</v>
      </c>
      <c r="AW990">
        <v>4</v>
      </c>
      <c r="AX990" t="s">
        <v>74</v>
      </c>
      <c r="AY990" t="s">
        <v>74</v>
      </c>
      <c r="AZ990" t="s">
        <v>74</v>
      </c>
      <c r="BA990" t="s">
        <v>74</v>
      </c>
      <c r="BB990">
        <v>2765</v>
      </c>
      <c r="BC990">
        <v>2774</v>
      </c>
      <c r="BD990" t="s">
        <v>74</v>
      </c>
      <c r="BE990" t="s">
        <v>18699</v>
      </c>
      <c r="BF990" t="str">
        <f>HYPERLINK("http://dx.doi.org/10.5194/essd-12-2765-2020","http://dx.doi.org/10.5194/essd-12-2765-2020")</f>
        <v>http://dx.doi.org/10.5194/essd-12-2765-2020</v>
      </c>
      <c r="BG990" t="s">
        <v>74</v>
      </c>
      <c r="BH990" t="s">
        <v>74</v>
      </c>
      <c r="BI990">
        <v>10</v>
      </c>
      <c r="BJ990" t="s">
        <v>1570</v>
      </c>
      <c r="BK990" t="s">
        <v>103</v>
      </c>
      <c r="BL990" t="s">
        <v>1571</v>
      </c>
      <c r="BM990" t="s">
        <v>18700</v>
      </c>
      <c r="BN990" t="s">
        <v>74</v>
      </c>
      <c r="BO990" t="s">
        <v>159</v>
      </c>
      <c r="BP990" t="s">
        <v>74</v>
      </c>
      <c r="BQ990" t="s">
        <v>74</v>
      </c>
      <c r="BR990" t="s">
        <v>106</v>
      </c>
      <c r="BS990" t="s">
        <v>18701</v>
      </c>
      <c r="BT990" t="str">
        <f>HYPERLINK("https%3A%2F%2Fwww.webofscience.com%2Fwos%2Fwoscc%2Ffull-record%2FWOS:000592745400001","View Full Record in Web of Science")</f>
        <v>View Full Record in Web of Science</v>
      </c>
    </row>
    <row r="991" spans="1:72" x14ac:dyDescent="0.15">
      <c r="A991" t="s">
        <v>72</v>
      </c>
      <c r="B991" t="s">
        <v>18702</v>
      </c>
      <c r="C991" t="s">
        <v>74</v>
      </c>
      <c r="D991" t="s">
        <v>74</v>
      </c>
      <c r="E991" t="s">
        <v>74</v>
      </c>
      <c r="F991" t="s">
        <v>18703</v>
      </c>
      <c r="G991" t="s">
        <v>74</v>
      </c>
      <c r="H991" t="s">
        <v>74</v>
      </c>
      <c r="I991" t="s">
        <v>18704</v>
      </c>
      <c r="J991" t="s">
        <v>303</v>
      </c>
      <c r="K991" t="s">
        <v>74</v>
      </c>
      <c r="L991" t="s">
        <v>74</v>
      </c>
      <c r="M991" t="s">
        <v>78</v>
      </c>
      <c r="N991" t="s">
        <v>79</v>
      </c>
      <c r="O991" t="s">
        <v>74</v>
      </c>
      <c r="P991" t="s">
        <v>74</v>
      </c>
      <c r="Q991" t="s">
        <v>74</v>
      </c>
      <c r="R991" t="s">
        <v>74</v>
      </c>
      <c r="S991" t="s">
        <v>74</v>
      </c>
      <c r="T991" t="s">
        <v>18705</v>
      </c>
      <c r="U991" t="s">
        <v>18706</v>
      </c>
      <c r="V991" t="s">
        <v>18707</v>
      </c>
      <c r="W991" t="s">
        <v>18708</v>
      </c>
      <c r="X991" t="s">
        <v>18709</v>
      </c>
      <c r="Y991" t="s">
        <v>18710</v>
      </c>
      <c r="Z991" t="s">
        <v>18711</v>
      </c>
      <c r="AA991" t="s">
        <v>18712</v>
      </c>
      <c r="AB991" t="s">
        <v>18713</v>
      </c>
      <c r="AC991" t="s">
        <v>18714</v>
      </c>
      <c r="AD991" t="s">
        <v>18715</v>
      </c>
      <c r="AE991" t="s">
        <v>18716</v>
      </c>
      <c r="AF991" t="s">
        <v>74</v>
      </c>
      <c r="AG991">
        <v>34</v>
      </c>
      <c r="AH991">
        <v>5</v>
      </c>
      <c r="AI991">
        <v>5</v>
      </c>
      <c r="AJ991">
        <v>2</v>
      </c>
      <c r="AK991">
        <v>16</v>
      </c>
      <c r="AL991" t="s">
        <v>315</v>
      </c>
      <c r="AM991" t="s">
        <v>316</v>
      </c>
      <c r="AN991" t="s">
        <v>317</v>
      </c>
      <c r="AO991" t="s">
        <v>318</v>
      </c>
      <c r="AP991" t="s">
        <v>319</v>
      </c>
      <c r="AQ991" t="s">
        <v>74</v>
      </c>
      <c r="AR991" t="s">
        <v>320</v>
      </c>
      <c r="AS991" t="s">
        <v>321</v>
      </c>
      <c r="AT991" t="s">
        <v>18664</v>
      </c>
      <c r="AU991">
        <v>2020</v>
      </c>
      <c r="AV991">
        <v>39</v>
      </c>
      <c r="AW991" t="s">
        <v>74</v>
      </c>
      <c r="AX991" t="s">
        <v>74</v>
      </c>
      <c r="AY991" t="s">
        <v>74</v>
      </c>
      <c r="AZ991" t="s">
        <v>74</v>
      </c>
      <c r="BA991" t="s">
        <v>74</v>
      </c>
      <c r="BB991" t="s">
        <v>74</v>
      </c>
      <c r="BC991" t="s">
        <v>74</v>
      </c>
      <c r="BD991">
        <v>3647</v>
      </c>
      <c r="BE991" t="s">
        <v>18717</v>
      </c>
      <c r="BF991" t="str">
        <f>HYPERLINK("http://dx.doi.org/10.33265/polar.v39.3647","http://dx.doi.org/10.33265/polar.v39.3647")</f>
        <v>http://dx.doi.org/10.33265/polar.v39.3647</v>
      </c>
      <c r="BG991" t="s">
        <v>74</v>
      </c>
      <c r="BH991" t="s">
        <v>74</v>
      </c>
      <c r="BI991">
        <v>17</v>
      </c>
      <c r="BJ991" t="s">
        <v>323</v>
      </c>
      <c r="BK991" t="s">
        <v>271</v>
      </c>
      <c r="BL991" t="s">
        <v>324</v>
      </c>
      <c r="BM991" t="s">
        <v>18718</v>
      </c>
      <c r="BN991" t="s">
        <v>74</v>
      </c>
      <c r="BO991" t="s">
        <v>326</v>
      </c>
      <c r="BP991" t="s">
        <v>74</v>
      </c>
      <c r="BQ991" t="s">
        <v>74</v>
      </c>
      <c r="BR991" t="s">
        <v>106</v>
      </c>
      <c r="BS991" t="s">
        <v>18719</v>
      </c>
      <c r="BT991" t="str">
        <f>HYPERLINK("https%3A%2F%2Fwww.webofscience.com%2Fwos%2Fwoscc%2Ffull-record%2FWOS:000591727100001","View Full Record in Web of Science")</f>
        <v>View Full Record in Web of Science</v>
      </c>
    </row>
    <row r="992" spans="1:72" x14ac:dyDescent="0.15">
      <c r="A992" t="s">
        <v>72</v>
      </c>
      <c r="B992" t="s">
        <v>18720</v>
      </c>
      <c r="C992" t="s">
        <v>74</v>
      </c>
      <c r="D992" t="s">
        <v>74</v>
      </c>
      <c r="E992" t="s">
        <v>74</v>
      </c>
      <c r="F992" t="s">
        <v>18721</v>
      </c>
      <c r="G992" t="s">
        <v>74</v>
      </c>
      <c r="H992" t="s">
        <v>74</v>
      </c>
      <c r="I992" t="s">
        <v>18722</v>
      </c>
      <c r="J992" t="s">
        <v>2075</v>
      </c>
      <c r="K992" t="s">
        <v>74</v>
      </c>
      <c r="L992" t="s">
        <v>74</v>
      </c>
      <c r="M992" t="s">
        <v>78</v>
      </c>
      <c r="N992" t="s">
        <v>79</v>
      </c>
      <c r="O992" t="s">
        <v>74</v>
      </c>
      <c r="P992" t="s">
        <v>74</v>
      </c>
      <c r="Q992" t="s">
        <v>74</v>
      </c>
      <c r="R992" t="s">
        <v>74</v>
      </c>
      <c r="S992" t="s">
        <v>74</v>
      </c>
      <c r="T992" t="s">
        <v>74</v>
      </c>
      <c r="U992" t="s">
        <v>18723</v>
      </c>
      <c r="V992" t="s">
        <v>18724</v>
      </c>
      <c r="W992" t="s">
        <v>18725</v>
      </c>
      <c r="X992" t="s">
        <v>18726</v>
      </c>
      <c r="Y992" t="s">
        <v>18727</v>
      </c>
      <c r="Z992" t="s">
        <v>18728</v>
      </c>
      <c r="AA992" t="s">
        <v>18729</v>
      </c>
      <c r="AB992" t="s">
        <v>18730</v>
      </c>
      <c r="AC992" t="s">
        <v>18731</v>
      </c>
      <c r="AD992" t="s">
        <v>18732</v>
      </c>
      <c r="AE992" t="s">
        <v>18733</v>
      </c>
      <c r="AF992" t="s">
        <v>74</v>
      </c>
      <c r="AG992">
        <v>161</v>
      </c>
      <c r="AH992">
        <v>12</v>
      </c>
      <c r="AI992">
        <v>12</v>
      </c>
      <c r="AJ992">
        <v>0</v>
      </c>
      <c r="AK992">
        <v>12</v>
      </c>
      <c r="AL992" t="s">
        <v>955</v>
      </c>
      <c r="AM992" t="s">
        <v>528</v>
      </c>
      <c r="AN992" t="s">
        <v>529</v>
      </c>
      <c r="AO992" t="s">
        <v>2085</v>
      </c>
      <c r="AP992" t="s">
        <v>74</v>
      </c>
      <c r="AQ992" t="s">
        <v>74</v>
      </c>
      <c r="AR992" t="s">
        <v>2086</v>
      </c>
      <c r="AS992" t="s">
        <v>2087</v>
      </c>
      <c r="AT992" t="s">
        <v>18734</v>
      </c>
      <c r="AU992">
        <v>2020</v>
      </c>
      <c r="AV992">
        <v>10</v>
      </c>
      <c r="AW992">
        <v>1</v>
      </c>
      <c r="AX992" t="s">
        <v>74</v>
      </c>
      <c r="AY992" t="s">
        <v>74</v>
      </c>
      <c r="AZ992" t="s">
        <v>74</v>
      </c>
      <c r="BA992" t="s">
        <v>74</v>
      </c>
      <c r="BB992" t="s">
        <v>74</v>
      </c>
      <c r="BC992" t="s">
        <v>74</v>
      </c>
      <c r="BD992">
        <v>19791</v>
      </c>
      <c r="BE992" t="s">
        <v>18735</v>
      </c>
      <c r="BF992" t="str">
        <f>HYPERLINK("http://dx.doi.org/10.1038/s41598-020-76139-6","http://dx.doi.org/10.1038/s41598-020-76139-6")</f>
        <v>http://dx.doi.org/10.1038/s41598-020-76139-6</v>
      </c>
      <c r="BG992" t="s">
        <v>74</v>
      </c>
      <c r="BH992" t="s">
        <v>74</v>
      </c>
      <c r="BI992">
        <v>27</v>
      </c>
      <c r="BJ992" t="s">
        <v>534</v>
      </c>
      <c r="BK992" t="s">
        <v>103</v>
      </c>
      <c r="BL992" t="s">
        <v>535</v>
      </c>
      <c r="BM992" t="s">
        <v>18736</v>
      </c>
      <c r="BN992">
        <v>33188214</v>
      </c>
      <c r="BO992" t="s">
        <v>11866</v>
      </c>
      <c r="BP992" t="s">
        <v>74</v>
      </c>
      <c r="BQ992" t="s">
        <v>74</v>
      </c>
      <c r="BR992" t="s">
        <v>106</v>
      </c>
      <c r="BS992" t="s">
        <v>18737</v>
      </c>
      <c r="BT992" t="str">
        <f>HYPERLINK("https%3A%2F%2Fwww.webofscience.com%2Fwos%2Fwoscc%2Ffull-record%2FWOS:000594646400006","View Full Record in Web of Science")</f>
        <v>View Full Record in Web of Science</v>
      </c>
    </row>
    <row r="993" spans="1:72" x14ac:dyDescent="0.15">
      <c r="A993" t="s">
        <v>72</v>
      </c>
      <c r="B993" t="s">
        <v>18738</v>
      </c>
      <c r="C993" t="s">
        <v>74</v>
      </c>
      <c r="D993" t="s">
        <v>74</v>
      </c>
      <c r="E993" t="s">
        <v>74</v>
      </c>
      <c r="F993" t="s">
        <v>18739</v>
      </c>
      <c r="G993" t="s">
        <v>74</v>
      </c>
      <c r="H993" t="s">
        <v>74</v>
      </c>
      <c r="I993" t="s">
        <v>18740</v>
      </c>
      <c r="J993" t="s">
        <v>17816</v>
      </c>
      <c r="K993" t="s">
        <v>74</v>
      </c>
      <c r="L993" t="s">
        <v>74</v>
      </c>
      <c r="M993" t="s">
        <v>78</v>
      </c>
      <c r="N993" t="s">
        <v>141</v>
      </c>
      <c r="O993" t="s">
        <v>74</v>
      </c>
      <c r="P993" t="s">
        <v>74</v>
      </c>
      <c r="Q993" t="s">
        <v>74</v>
      </c>
      <c r="R993" t="s">
        <v>74</v>
      </c>
      <c r="S993" t="s">
        <v>74</v>
      </c>
      <c r="T993" t="s">
        <v>18741</v>
      </c>
      <c r="U993" t="s">
        <v>18742</v>
      </c>
      <c r="V993" t="s">
        <v>18743</v>
      </c>
      <c r="W993" t="s">
        <v>18744</v>
      </c>
      <c r="X993" t="s">
        <v>18745</v>
      </c>
      <c r="Y993" t="s">
        <v>18746</v>
      </c>
      <c r="Z993" t="s">
        <v>18747</v>
      </c>
      <c r="AA993" t="s">
        <v>18748</v>
      </c>
      <c r="AB993" t="s">
        <v>18749</v>
      </c>
      <c r="AC993" t="s">
        <v>74</v>
      </c>
      <c r="AD993" t="s">
        <v>74</v>
      </c>
      <c r="AE993" t="s">
        <v>74</v>
      </c>
      <c r="AF993" t="s">
        <v>74</v>
      </c>
      <c r="AG993">
        <v>143</v>
      </c>
      <c r="AH993">
        <v>182</v>
      </c>
      <c r="AI993">
        <v>200</v>
      </c>
      <c r="AJ993">
        <v>72</v>
      </c>
      <c r="AK993">
        <v>382</v>
      </c>
      <c r="AL993" t="s">
        <v>552</v>
      </c>
      <c r="AM993" t="s">
        <v>553</v>
      </c>
      <c r="AN993" t="s">
        <v>554</v>
      </c>
      <c r="AO993" t="s">
        <v>17828</v>
      </c>
      <c r="AP993" t="s">
        <v>17829</v>
      </c>
      <c r="AQ993" t="s">
        <v>74</v>
      </c>
      <c r="AR993" t="s">
        <v>17830</v>
      </c>
      <c r="AS993" t="s">
        <v>17831</v>
      </c>
      <c r="AT993" t="s">
        <v>707</v>
      </c>
      <c r="AU993">
        <v>2021</v>
      </c>
      <c r="AV993">
        <v>98</v>
      </c>
      <c r="AW993">
        <v>6</v>
      </c>
      <c r="AX993" t="s">
        <v>74</v>
      </c>
      <c r="AY993" t="s">
        <v>74</v>
      </c>
      <c r="AZ993" t="s">
        <v>582</v>
      </c>
      <c r="BA993" t="s">
        <v>74</v>
      </c>
      <c r="BB993">
        <v>1496</v>
      </c>
      <c r="BC993">
        <v>1508</v>
      </c>
      <c r="BD993" t="s">
        <v>74</v>
      </c>
      <c r="BE993" t="s">
        <v>18750</v>
      </c>
      <c r="BF993" t="str">
        <f>HYPERLINK("http://dx.doi.org/10.1111/jfb.14599","http://dx.doi.org/10.1111/jfb.14599")</f>
        <v>http://dx.doi.org/10.1111/jfb.14599</v>
      </c>
      <c r="BG993" t="s">
        <v>74</v>
      </c>
      <c r="BH993" t="s">
        <v>17215</v>
      </c>
      <c r="BI993">
        <v>13</v>
      </c>
      <c r="BJ993" t="s">
        <v>584</v>
      </c>
      <c r="BK993" t="s">
        <v>103</v>
      </c>
      <c r="BL993" t="s">
        <v>584</v>
      </c>
      <c r="BM993" t="s">
        <v>18751</v>
      </c>
      <c r="BN993">
        <v>33111333</v>
      </c>
      <c r="BO993" t="s">
        <v>561</v>
      </c>
      <c r="BP993" t="s">
        <v>1589</v>
      </c>
      <c r="BQ993" t="s">
        <v>1590</v>
      </c>
      <c r="BR993" t="s">
        <v>106</v>
      </c>
      <c r="BS993" t="s">
        <v>18752</v>
      </c>
      <c r="BT993" t="str">
        <f>HYPERLINK("https%3A%2F%2Fwww.webofscience.com%2Fwos%2Fwoscc%2Ffull-record%2FWOS:000588735000001","View Full Record in Web of Science")</f>
        <v>View Full Record in Web of Science</v>
      </c>
    </row>
    <row r="994" spans="1:72" x14ac:dyDescent="0.15">
      <c r="A994" t="s">
        <v>72</v>
      </c>
      <c r="B994" t="s">
        <v>18753</v>
      </c>
      <c r="C994" t="s">
        <v>74</v>
      </c>
      <c r="D994" t="s">
        <v>74</v>
      </c>
      <c r="E994" t="s">
        <v>74</v>
      </c>
      <c r="F994" t="s">
        <v>18754</v>
      </c>
      <c r="G994" t="s">
        <v>74</v>
      </c>
      <c r="H994" t="s">
        <v>74</v>
      </c>
      <c r="I994" t="s">
        <v>18755</v>
      </c>
      <c r="J994" t="s">
        <v>18756</v>
      </c>
      <c r="K994" t="s">
        <v>74</v>
      </c>
      <c r="L994" t="s">
        <v>74</v>
      </c>
      <c r="M994" t="s">
        <v>78</v>
      </c>
      <c r="N994" t="s">
        <v>79</v>
      </c>
      <c r="O994" t="s">
        <v>74</v>
      </c>
      <c r="P994" t="s">
        <v>74</v>
      </c>
      <c r="Q994" t="s">
        <v>74</v>
      </c>
      <c r="R994" t="s">
        <v>74</v>
      </c>
      <c r="S994" t="s">
        <v>74</v>
      </c>
      <c r="T994" t="s">
        <v>18757</v>
      </c>
      <c r="U994" t="s">
        <v>18758</v>
      </c>
      <c r="V994" t="s">
        <v>18759</v>
      </c>
      <c r="W994" t="s">
        <v>18760</v>
      </c>
      <c r="X994" t="s">
        <v>18761</v>
      </c>
      <c r="Y994" t="s">
        <v>18762</v>
      </c>
      <c r="Z994" t="s">
        <v>18763</v>
      </c>
      <c r="AA994" t="s">
        <v>18764</v>
      </c>
      <c r="AB994" t="s">
        <v>18765</v>
      </c>
      <c r="AC994" t="s">
        <v>18766</v>
      </c>
      <c r="AD994" t="s">
        <v>18767</v>
      </c>
      <c r="AE994" t="s">
        <v>18768</v>
      </c>
      <c r="AF994" t="s">
        <v>74</v>
      </c>
      <c r="AG994">
        <v>82</v>
      </c>
      <c r="AH994">
        <v>2</v>
      </c>
      <c r="AI994">
        <v>2</v>
      </c>
      <c r="AJ994">
        <v>0</v>
      </c>
      <c r="AK994">
        <v>4</v>
      </c>
      <c r="AL994" t="s">
        <v>18769</v>
      </c>
      <c r="AM994" t="s">
        <v>236</v>
      </c>
      <c r="AN994" t="s">
        <v>18770</v>
      </c>
      <c r="AO994" t="s">
        <v>18771</v>
      </c>
      <c r="AP994" t="s">
        <v>18772</v>
      </c>
      <c r="AQ994" t="s">
        <v>74</v>
      </c>
      <c r="AR994" t="s">
        <v>18773</v>
      </c>
      <c r="AS994" t="s">
        <v>18774</v>
      </c>
      <c r="AT994" t="s">
        <v>374</v>
      </c>
      <c r="AU994">
        <v>2021</v>
      </c>
      <c r="AV994">
        <v>59</v>
      </c>
      <c r="AW994">
        <v>1</v>
      </c>
      <c r="AX994" t="s">
        <v>74</v>
      </c>
      <c r="AY994" t="s">
        <v>74</v>
      </c>
      <c r="AZ994" t="s">
        <v>74</v>
      </c>
      <c r="BA994" t="s">
        <v>74</v>
      </c>
      <c r="BB994">
        <v>111</v>
      </c>
      <c r="BC994">
        <v>147</v>
      </c>
      <c r="BD994" t="s">
        <v>74</v>
      </c>
      <c r="BE994" t="s">
        <v>18775</v>
      </c>
      <c r="BF994" t="str">
        <f>HYPERLINK("http://dx.doi.org/10.1111/jzs.12424","http://dx.doi.org/10.1111/jzs.12424")</f>
        <v>http://dx.doi.org/10.1111/jzs.12424</v>
      </c>
      <c r="BG994" t="s">
        <v>74</v>
      </c>
      <c r="BH994" t="s">
        <v>17215</v>
      </c>
      <c r="BI994">
        <v>37</v>
      </c>
      <c r="BJ994" t="s">
        <v>18776</v>
      </c>
      <c r="BK994" t="s">
        <v>103</v>
      </c>
      <c r="BL994" t="s">
        <v>18776</v>
      </c>
      <c r="BM994" t="s">
        <v>18777</v>
      </c>
      <c r="BN994" t="s">
        <v>74</v>
      </c>
      <c r="BO994" t="s">
        <v>326</v>
      </c>
      <c r="BP994" t="s">
        <v>74</v>
      </c>
      <c r="BQ994" t="s">
        <v>74</v>
      </c>
      <c r="BR994" t="s">
        <v>106</v>
      </c>
      <c r="BS994" t="s">
        <v>18778</v>
      </c>
      <c r="BT994" t="str">
        <f>HYPERLINK("https%3A%2F%2Fwww.webofscience.com%2Fwos%2Fwoscc%2Ffull-record%2FWOS:000588791700001","View Full Record in Web of Science")</f>
        <v>View Full Record in Web of Science</v>
      </c>
    </row>
    <row r="995" spans="1:72" x14ac:dyDescent="0.15">
      <c r="A995" t="s">
        <v>72</v>
      </c>
      <c r="B995" t="s">
        <v>18779</v>
      </c>
      <c r="C995" t="s">
        <v>74</v>
      </c>
      <c r="D995" t="s">
        <v>74</v>
      </c>
      <c r="E995" t="s">
        <v>74</v>
      </c>
      <c r="F995" t="s">
        <v>18780</v>
      </c>
      <c r="G995" t="s">
        <v>74</v>
      </c>
      <c r="H995" t="s">
        <v>74</v>
      </c>
      <c r="I995" t="s">
        <v>18781</v>
      </c>
      <c r="J995" t="s">
        <v>18086</v>
      </c>
      <c r="K995" t="s">
        <v>74</v>
      </c>
      <c r="L995" t="s">
        <v>74</v>
      </c>
      <c r="M995" t="s">
        <v>78</v>
      </c>
      <c r="N995" t="s">
        <v>79</v>
      </c>
      <c r="O995" t="s">
        <v>74</v>
      </c>
      <c r="P995" t="s">
        <v>74</v>
      </c>
      <c r="Q995" t="s">
        <v>74</v>
      </c>
      <c r="R995" t="s">
        <v>74</v>
      </c>
      <c r="S995" t="s">
        <v>74</v>
      </c>
      <c r="T995" t="s">
        <v>74</v>
      </c>
      <c r="U995" t="s">
        <v>18782</v>
      </c>
      <c r="V995" t="s">
        <v>18783</v>
      </c>
      <c r="W995" t="s">
        <v>18784</v>
      </c>
      <c r="X995" t="s">
        <v>18785</v>
      </c>
      <c r="Y995" t="s">
        <v>18786</v>
      </c>
      <c r="Z995" t="s">
        <v>18787</v>
      </c>
      <c r="AA995" t="s">
        <v>18788</v>
      </c>
      <c r="AB995" t="s">
        <v>18789</v>
      </c>
      <c r="AC995" t="s">
        <v>18790</v>
      </c>
      <c r="AD995" t="s">
        <v>18791</v>
      </c>
      <c r="AE995" t="s">
        <v>18792</v>
      </c>
      <c r="AF995" t="s">
        <v>74</v>
      </c>
      <c r="AG995">
        <v>118</v>
      </c>
      <c r="AH995">
        <v>11</v>
      </c>
      <c r="AI995">
        <v>11</v>
      </c>
      <c r="AJ995">
        <v>4</v>
      </c>
      <c r="AK995">
        <v>15</v>
      </c>
      <c r="AL995" t="s">
        <v>552</v>
      </c>
      <c r="AM995" t="s">
        <v>553</v>
      </c>
      <c r="AN995" t="s">
        <v>554</v>
      </c>
      <c r="AO995" t="s">
        <v>18097</v>
      </c>
      <c r="AP995" t="s">
        <v>18098</v>
      </c>
      <c r="AQ995" t="s">
        <v>74</v>
      </c>
      <c r="AR995" t="s">
        <v>18086</v>
      </c>
      <c r="AS995" t="s">
        <v>18099</v>
      </c>
      <c r="AT995" t="s">
        <v>374</v>
      </c>
      <c r="AU995">
        <v>2021</v>
      </c>
      <c r="AV995">
        <v>50</v>
      </c>
      <c r="AW995">
        <v>1</v>
      </c>
      <c r="AX995" t="s">
        <v>74</v>
      </c>
      <c r="AY995" t="s">
        <v>74</v>
      </c>
      <c r="AZ995" t="s">
        <v>74</v>
      </c>
      <c r="BA995" t="s">
        <v>74</v>
      </c>
      <c r="BB995">
        <v>114</v>
      </c>
      <c r="BC995">
        <v>133</v>
      </c>
      <c r="BD995" t="s">
        <v>74</v>
      </c>
      <c r="BE995" t="s">
        <v>18793</v>
      </c>
      <c r="BF995" t="str">
        <f>HYPERLINK("http://dx.doi.org/10.1111/bor.12476","http://dx.doi.org/10.1111/bor.12476")</f>
        <v>http://dx.doi.org/10.1111/bor.12476</v>
      </c>
      <c r="BG995" t="s">
        <v>74</v>
      </c>
      <c r="BH995" t="s">
        <v>17215</v>
      </c>
      <c r="BI995">
        <v>20</v>
      </c>
      <c r="BJ995" t="s">
        <v>156</v>
      </c>
      <c r="BK995" t="s">
        <v>103</v>
      </c>
      <c r="BL995" t="s">
        <v>157</v>
      </c>
      <c r="BM995" t="s">
        <v>18101</v>
      </c>
      <c r="BN995" t="s">
        <v>74</v>
      </c>
      <c r="BO995" t="s">
        <v>759</v>
      </c>
      <c r="BP995" t="s">
        <v>74</v>
      </c>
      <c r="BQ995" t="s">
        <v>74</v>
      </c>
      <c r="BR995" t="s">
        <v>106</v>
      </c>
      <c r="BS995" t="s">
        <v>18794</v>
      </c>
      <c r="BT995" t="str">
        <f>HYPERLINK("https%3A%2F%2Fwww.webofscience.com%2Fwos%2Fwoscc%2Ffull-record%2FWOS:000588710900001","View Full Record in Web of Science")</f>
        <v>View Full Record in Web of Science</v>
      </c>
    </row>
    <row r="996" spans="1:72" x14ac:dyDescent="0.15">
      <c r="A996" t="s">
        <v>72</v>
      </c>
      <c r="B996" t="s">
        <v>18795</v>
      </c>
      <c r="C996" t="s">
        <v>74</v>
      </c>
      <c r="D996" t="s">
        <v>74</v>
      </c>
      <c r="E996" t="s">
        <v>74</v>
      </c>
      <c r="F996" t="s">
        <v>18796</v>
      </c>
      <c r="G996" t="s">
        <v>74</v>
      </c>
      <c r="H996" t="s">
        <v>74</v>
      </c>
      <c r="I996" t="s">
        <v>18797</v>
      </c>
      <c r="J996" t="s">
        <v>433</v>
      </c>
      <c r="K996" t="s">
        <v>74</v>
      </c>
      <c r="L996" t="s">
        <v>74</v>
      </c>
      <c r="M996" t="s">
        <v>78</v>
      </c>
      <c r="N996" t="s">
        <v>79</v>
      </c>
      <c r="O996" t="s">
        <v>74</v>
      </c>
      <c r="P996" t="s">
        <v>74</v>
      </c>
      <c r="Q996" t="s">
        <v>74</v>
      </c>
      <c r="R996" t="s">
        <v>74</v>
      </c>
      <c r="S996" t="s">
        <v>74</v>
      </c>
      <c r="T996" t="s">
        <v>18798</v>
      </c>
      <c r="U996" t="s">
        <v>18799</v>
      </c>
      <c r="V996" t="s">
        <v>18800</v>
      </c>
      <c r="W996" t="s">
        <v>18801</v>
      </c>
      <c r="X996" t="s">
        <v>18802</v>
      </c>
      <c r="Y996" t="s">
        <v>18803</v>
      </c>
      <c r="Z996" t="s">
        <v>18804</v>
      </c>
      <c r="AA996" t="s">
        <v>74</v>
      </c>
      <c r="AB996" t="s">
        <v>18805</v>
      </c>
      <c r="AC996" t="s">
        <v>18806</v>
      </c>
      <c r="AD996" t="s">
        <v>18807</v>
      </c>
      <c r="AE996" t="s">
        <v>18808</v>
      </c>
      <c r="AF996" t="s">
        <v>74</v>
      </c>
      <c r="AG996">
        <v>55</v>
      </c>
      <c r="AH996">
        <v>7</v>
      </c>
      <c r="AI996">
        <v>7</v>
      </c>
      <c r="AJ996">
        <v>3</v>
      </c>
      <c r="AK996">
        <v>17</v>
      </c>
      <c r="AL996" t="s">
        <v>446</v>
      </c>
      <c r="AM996" t="s">
        <v>447</v>
      </c>
      <c r="AN996" t="s">
        <v>448</v>
      </c>
      <c r="AO996" t="s">
        <v>449</v>
      </c>
      <c r="AP996" t="s">
        <v>450</v>
      </c>
      <c r="AQ996" t="s">
        <v>74</v>
      </c>
      <c r="AR996" t="s">
        <v>451</v>
      </c>
      <c r="AS996" t="s">
        <v>452</v>
      </c>
      <c r="AT996" t="s">
        <v>18809</v>
      </c>
      <c r="AU996">
        <v>2020</v>
      </c>
      <c r="AV996">
        <v>654</v>
      </c>
      <c r="AW996" t="s">
        <v>74</v>
      </c>
      <c r="AX996" t="s">
        <v>74</v>
      </c>
      <c r="AY996" t="s">
        <v>74</v>
      </c>
      <c r="AZ996" t="s">
        <v>74</v>
      </c>
      <c r="BA996" t="s">
        <v>74</v>
      </c>
      <c r="BB996">
        <v>53</v>
      </c>
      <c r="BC996">
        <v>66</v>
      </c>
      <c r="BD996" t="s">
        <v>74</v>
      </c>
      <c r="BE996" t="s">
        <v>18810</v>
      </c>
      <c r="BF996" t="str">
        <f>HYPERLINK("http://dx.doi.org/10.3354/meps13508","http://dx.doi.org/10.3354/meps13508")</f>
        <v>http://dx.doi.org/10.3354/meps13508</v>
      </c>
      <c r="BG996" t="s">
        <v>74</v>
      </c>
      <c r="BH996" t="s">
        <v>74</v>
      </c>
      <c r="BI996">
        <v>14</v>
      </c>
      <c r="BJ996" t="s">
        <v>455</v>
      </c>
      <c r="BK996" t="s">
        <v>103</v>
      </c>
      <c r="BL996" t="s">
        <v>456</v>
      </c>
      <c r="BM996" t="s">
        <v>18811</v>
      </c>
      <c r="BN996" t="s">
        <v>74</v>
      </c>
      <c r="BO996" t="s">
        <v>74</v>
      </c>
      <c r="BP996" t="s">
        <v>74</v>
      </c>
      <c r="BQ996" t="s">
        <v>74</v>
      </c>
      <c r="BR996" t="s">
        <v>106</v>
      </c>
      <c r="BS996" t="s">
        <v>18812</v>
      </c>
      <c r="BT996" t="str">
        <f>HYPERLINK("https%3A%2F%2Fwww.webofscience.com%2Fwos%2Fwoscc%2Ffull-record%2FWOS:000621236300004","View Full Record in Web of Science")</f>
        <v>View Full Record in Web of Science</v>
      </c>
    </row>
    <row r="997" spans="1:72" x14ac:dyDescent="0.15">
      <c r="A997" t="s">
        <v>72</v>
      </c>
      <c r="B997" t="s">
        <v>18813</v>
      </c>
      <c r="C997" t="s">
        <v>74</v>
      </c>
      <c r="D997" t="s">
        <v>74</v>
      </c>
      <c r="E997" t="s">
        <v>74</v>
      </c>
      <c r="F997" t="s">
        <v>18814</v>
      </c>
      <c r="G997" t="s">
        <v>74</v>
      </c>
      <c r="H997" t="s">
        <v>74</v>
      </c>
      <c r="I997" t="s">
        <v>18815</v>
      </c>
      <c r="J997" t="s">
        <v>433</v>
      </c>
      <c r="K997" t="s">
        <v>74</v>
      </c>
      <c r="L997" t="s">
        <v>74</v>
      </c>
      <c r="M997" t="s">
        <v>78</v>
      </c>
      <c r="N997" t="s">
        <v>79</v>
      </c>
      <c r="O997" t="s">
        <v>74</v>
      </c>
      <c r="P997" t="s">
        <v>74</v>
      </c>
      <c r="Q997" t="s">
        <v>74</v>
      </c>
      <c r="R997" t="s">
        <v>74</v>
      </c>
      <c r="S997" t="s">
        <v>74</v>
      </c>
      <c r="T997" t="s">
        <v>18816</v>
      </c>
      <c r="U997" t="s">
        <v>18817</v>
      </c>
      <c r="V997" t="s">
        <v>18818</v>
      </c>
      <c r="W997" t="s">
        <v>18819</v>
      </c>
      <c r="X997" t="s">
        <v>18820</v>
      </c>
      <c r="Y997" t="s">
        <v>18821</v>
      </c>
      <c r="Z997" t="s">
        <v>18822</v>
      </c>
      <c r="AA997" t="s">
        <v>18823</v>
      </c>
      <c r="AB997" t="s">
        <v>18824</v>
      </c>
      <c r="AC997" t="s">
        <v>18825</v>
      </c>
      <c r="AD997" t="s">
        <v>18826</v>
      </c>
      <c r="AE997" t="s">
        <v>18827</v>
      </c>
      <c r="AF997" t="s">
        <v>74</v>
      </c>
      <c r="AG997">
        <v>83</v>
      </c>
      <c r="AH997">
        <v>8</v>
      </c>
      <c r="AI997">
        <v>9</v>
      </c>
      <c r="AJ997">
        <v>1</v>
      </c>
      <c r="AK997">
        <v>15</v>
      </c>
      <c r="AL997" t="s">
        <v>446</v>
      </c>
      <c r="AM997" t="s">
        <v>447</v>
      </c>
      <c r="AN997" t="s">
        <v>448</v>
      </c>
      <c r="AO997" t="s">
        <v>449</v>
      </c>
      <c r="AP997" t="s">
        <v>450</v>
      </c>
      <c r="AQ997" t="s">
        <v>74</v>
      </c>
      <c r="AR997" t="s">
        <v>451</v>
      </c>
      <c r="AS997" t="s">
        <v>452</v>
      </c>
      <c r="AT997" t="s">
        <v>18809</v>
      </c>
      <c r="AU997">
        <v>2020</v>
      </c>
      <c r="AV997">
        <v>654</v>
      </c>
      <c r="AW997" t="s">
        <v>74</v>
      </c>
      <c r="AX997" t="s">
        <v>74</v>
      </c>
      <c r="AY997" t="s">
        <v>74</v>
      </c>
      <c r="AZ997" t="s">
        <v>74</v>
      </c>
      <c r="BA997" t="s">
        <v>74</v>
      </c>
      <c r="BB997">
        <v>177</v>
      </c>
      <c r="BC997">
        <v>194</v>
      </c>
      <c r="BD997" t="s">
        <v>74</v>
      </c>
      <c r="BE997" t="s">
        <v>18828</v>
      </c>
      <c r="BF997" t="str">
        <f>HYPERLINK("http://dx.doi.org/10.3354/meps13519","http://dx.doi.org/10.3354/meps13519")</f>
        <v>http://dx.doi.org/10.3354/meps13519</v>
      </c>
      <c r="BG997" t="s">
        <v>74</v>
      </c>
      <c r="BH997" t="s">
        <v>74</v>
      </c>
      <c r="BI997">
        <v>18</v>
      </c>
      <c r="BJ997" t="s">
        <v>455</v>
      </c>
      <c r="BK997" t="s">
        <v>103</v>
      </c>
      <c r="BL997" t="s">
        <v>456</v>
      </c>
      <c r="BM997" t="s">
        <v>18811</v>
      </c>
      <c r="BN997" t="s">
        <v>74</v>
      </c>
      <c r="BO997" t="s">
        <v>1220</v>
      </c>
      <c r="BP997" t="s">
        <v>74</v>
      </c>
      <c r="BQ997" t="s">
        <v>74</v>
      </c>
      <c r="BR997" t="s">
        <v>106</v>
      </c>
      <c r="BS997" t="s">
        <v>18829</v>
      </c>
      <c r="BT997" t="str">
        <f>HYPERLINK("https%3A%2F%2Fwww.webofscience.com%2Fwos%2Fwoscc%2Ffull-record%2FWOS:000621236300012","View Full Record in Web of Science")</f>
        <v>View Full Record in Web of Science</v>
      </c>
    </row>
    <row r="998" spans="1:72" x14ac:dyDescent="0.15">
      <c r="A998" t="s">
        <v>72</v>
      </c>
      <c r="B998" t="s">
        <v>18830</v>
      </c>
      <c r="C998" t="s">
        <v>74</v>
      </c>
      <c r="D998" t="s">
        <v>74</v>
      </c>
      <c r="E998" t="s">
        <v>74</v>
      </c>
      <c r="F998" t="s">
        <v>18831</v>
      </c>
      <c r="G998" t="s">
        <v>74</v>
      </c>
      <c r="H998" t="s">
        <v>74</v>
      </c>
      <c r="I998" t="s">
        <v>18832</v>
      </c>
      <c r="J998" t="s">
        <v>140</v>
      </c>
      <c r="K998" t="s">
        <v>74</v>
      </c>
      <c r="L998" t="s">
        <v>74</v>
      </c>
      <c r="M998" t="s">
        <v>78</v>
      </c>
      <c r="N998" t="s">
        <v>79</v>
      </c>
      <c r="O998" t="s">
        <v>74</v>
      </c>
      <c r="P998" t="s">
        <v>74</v>
      </c>
      <c r="Q998" t="s">
        <v>74</v>
      </c>
      <c r="R998" t="s">
        <v>74</v>
      </c>
      <c r="S998" t="s">
        <v>74</v>
      </c>
      <c r="T998" t="s">
        <v>74</v>
      </c>
      <c r="U998" t="s">
        <v>18833</v>
      </c>
      <c r="V998" t="s">
        <v>18834</v>
      </c>
      <c r="W998" t="s">
        <v>18835</v>
      </c>
      <c r="X998" t="s">
        <v>18836</v>
      </c>
      <c r="Y998" t="s">
        <v>18837</v>
      </c>
      <c r="Z998" t="s">
        <v>18838</v>
      </c>
      <c r="AA998" t="s">
        <v>18839</v>
      </c>
      <c r="AB998" t="s">
        <v>18840</v>
      </c>
      <c r="AC998" t="s">
        <v>18841</v>
      </c>
      <c r="AD998" t="s">
        <v>18842</v>
      </c>
      <c r="AE998" t="s">
        <v>18843</v>
      </c>
      <c r="AF998" t="s">
        <v>74</v>
      </c>
      <c r="AG998">
        <v>95</v>
      </c>
      <c r="AH998">
        <v>6</v>
      </c>
      <c r="AI998">
        <v>6</v>
      </c>
      <c r="AJ998">
        <v>0</v>
      </c>
      <c r="AK998">
        <v>8</v>
      </c>
      <c r="AL998" t="s">
        <v>123</v>
      </c>
      <c r="AM998" t="s">
        <v>124</v>
      </c>
      <c r="AN998" t="s">
        <v>125</v>
      </c>
      <c r="AO998" t="s">
        <v>152</v>
      </c>
      <c r="AP998" t="s">
        <v>153</v>
      </c>
      <c r="AQ998" t="s">
        <v>74</v>
      </c>
      <c r="AR998" t="s">
        <v>140</v>
      </c>
      <c r="AS998" t="s">
        <v>154</v>
      </c>
      <c r="AT998" t="s">
        <v>18809</v>
      </c>
      <c r="AU998">
        <v>2020</v>
      </c>
      <c r="AV998">
        <v>14</v>
      </c>
      <c r="AW998">
        <v>11</v>
      </c>
      <c r="AX998" t="s">
        <v>74</v>
      </c>
      <c r="AY998" t="s">
        <v>74</v>
      </c>
      <c r="AZ998" t="s">
        <v>74</v>
      </c>
      <c r="BA998" t="s">
        <v>74</v>
      </c>
      <c r="BB998">
        <v>3959</v>
      </c>
      <c r="BC998">
        <v>3978</v>
      </c>
      <c r="BD998" t="s">
        <v>74</v>
      </c>
      <c r="BE998" t="s">
        <v>18844</v>
      </c>
      <c r="BF998" t="str">
        <f>HYPERLINK("http://dx.doi.org/10.5194/tc-14-3959-2020","http://dx.doi.org/10.5194/tc-14-3959-2020")</f>
        <v>http://dx.doi.org/10.5194/tc-14-3959-2020</v>
      </c>
      <c r="BG998" t="s">
        <v>74</v>
      </c>
      <c r="BH998" t="s">
        <v>74</v>
      </c>
      <c r="BI998">
        <v>20</v>
      </c>
      <c r="BJ998" t="s">
        <v>156</v>
      </c>
      <c r="BK998" t="s">
        <v>103</v>
      </c>
      <c r="BL998" t="s">
        <v>157</v>
      </c>
      <c r="BM998" t="s">
        <v>18845</v>
      </c>
      <c r="BN998" t="s">
        <v>74</v>
      </c>
      <c r="BO998" t="s">
        <v>917</v>
      </c>
      <c r="BP998" t="s">
        <v>74</v>
      </c>
      <c r="BQ998" t="s">
        <v>74</v>
      </c>
      <c r="BR998" t="s">
        <v>106</v>
      </c>
      <c r="BS998" t="s">
        <v>18846</v>
      </c>
      <c r="BT998" t="str">
        <f>HYPERLINK("https%3A%2F%2Fwww.webofscience.com%2Fwos%2Fwoscc%2Ffull-record%2FWOS:000592468300001","View Full Record in Web of Science")</f>
        <v>View Full Record in Web of Science</v>
      </c>
    </row>
    <row r="999" spans="1:72" x14ac:dyDescent="0.15">
      <c r="A999" t="s">
        <v>72</v>
      </c>
      <c r="B999" t="s">
        <v>18847</v>
      </c>
      <c r="C999" t="s">
        <v>74</v>
      </c>
      <c r="D999" t="s">
        <v>74</v>
      </c>
      <c r="E999" t="s">
        <v>74</v>
      </c>
      <c r="F999" t="s">
        <v>18848</v>
      </c>
      <c r="G999" t="s">
        <v>74</v>
      </c>
      <c r="H999" t="s">
        <v>74</v>
      </c>
      <c r="I999" t="s">
        <v>18849</v>
      </c>
      <c r="J999" t="s">
        <v>111</v>
      </c>
      <c r="K999" t="s">
        <v>74</v>
      </c>
      <c r="L999" t="s">
        <v>74</v>
      </c>
      <c r="M999" t="s">
        <v>78</v>
      </c>
      <c r="N999" t="s">
        <v>79</v>
      </c>
      <c r="O999" t="s">
        <v>74</v>
      </c>
      <c r="P999" t="s">
        <v>74</v>
      </c>
      <c r="Q999" t="s">
        <v>74</v>
      </c>
      <c r="R999" t="s">
        <v>74</v>
      </c>
      <c r="S999" t="s">
        <v>74</v>
      </c>
      <c r="T999" t="s">
        <v>74</v>
      </c>
      <c r="U999" t="s">
        <v>18850</v>
      </c>
      <c r="V999" t="s">
        <v>18851</v>
      </c>
      <c r="W999" t="s">
        <v>18852</v>
      </c>
      <c r="X999" t="s">
        <v>18853</v>
      </c>
      <c r="Y999" t="s">
        <v>18854</v>
      </c>
      <c r="Z999" t="s">
        <v>18855</v>
      </c>
      <c r="AA999" t="s">
        <v>18856</v>
      </c>
      <c r="AB999" t="s">
        <v>18857</v>
      </c>
      <c r="AC999" t="s">
        <v>18858</v>
      </c>
      <c r="AD999" t="s">
        <v>18859</v>
      </c>
      <c r="AE999" t="s">
        <v>18860</v>
      </c>
      <c r="AF999" t="s">
        <v>74</v>
      </c>
      <c r="AG999">
        <v>98</v>
      </c>
      <c r="AH999">
        <v>23</v>
      </c>
      <c r="AI999">
        <v>24</v>
      </c>
      <c r="AJ999">
        <v>2</v>
      </c>
      <c r="AK999">
        <v>8</v>
      </c>
      <c r="AL999" t="s">
        <v>123</v>
      </c>
      <c r="AM999" t="s">
        <v>124</v>
      </c>
      <c r="AN999" t="s">
        <v>125</v>
      </c>
      <c r="AO999" t="s">
        <v>126</v>
      </c>
      <c r="AP999" t="s">
        <v>127</v>
      </c>
      <c r="AQ999" t="s">
        <v>74</v>
      </c>
      <c r="AR999" t="s">
        <v>128</v>
      </c>
      <c r="AS999" t="s">
        <v>129</v>
      </c>
      <c r="AT999" t="s">
        <v>18809</v>
      </c>
      <c r="AU999">
        <v>2020</v>
      </c>
      <c r="AV999">
        <v>20</v>
      </c>
      <c r="AW999">
        <v>21</v>
      </c>
      <c r="AX999" t="s">
        <v>74</v>
      </c>
      <c r="AY999" t="s">
        <v>74</v>
      </c>
      <c r="AZ999" t="s">
        <v>74</v>
      </c>
      <c r="BA999" t="s">
        <v>74</v>
      </c>
      <c r="BB999">
        <v>13425</v>
      </c>
      <c r="BC999">
        <v>13441</v>
      </c>
      <c r="BD999" t="s">
        <v>74</v>
      </c>
      <c r="BE999" t="s">
        <v>18861</v>
      </c>
      <c r="BF999" t="str">
        <f>HYPERLINK("http://dx.doi.org/10.5194/acp-20-13425-2020","http://dx.doi.org/10.5194/acp-20-13425-2020")</f>
        <v>http://dx.doi.org/10.5194/acp-20-13425-2020</v>
      </c>
      <c r="BG999" t="s">
        <v>74</v>
      </c>
      <c r="BH999" t="s">
        <v>74</v>
      </c>
      <c r="BI999">
        <v>17</v>
      </c>
      <c r="BJ999" t="s">
        <v>132</v>
      </c>
      <c r="BK999" t="s">
        <v>103</v>
      </c>
      <c r="BL999" t="s">
        <v>133</v>
      </c>
      <c r="BM999" t="s">
        <v>18862</v>
      </c>
      <c r="BN999" t="s">
        <v>74</v>
      </c>
      <c r="BO999" t="s">
        <v>159</v>
      </c>
      <c r="BP999" t="s">
        <v>74</v>
      </c>
      <c r="BQ999" t="s">
        <v>74</v>
      </c>
      <c r="BR999" t="s">
        <v>106</v>
      </c>
      <c r="BS999" t="s">
        <v>18863</v>
      </c>
      <c r="BT999" t="str">
        <f>HYPERLINK("https%3A%2F%2Fwww.webofscience.com%2Fwos%2Fwoscc%2Ffull-record%2FWOS:000588611700002","View Full Record in Web of Science")</f>
        <v>View Full Record in Web of Science</v>
      </c>
    </row>
    <row r="1000" spans="1:72" x14ac:dyDescent="0.15">
      <c r="A1000" t="s">
        <v>72</v>
      </c>
      <c r="B1000" t="s">
        <v>18864</v>
      </c>
      <c r="C1000" t="s">
        <v>74</v>
      </c>
      <c r="D1000" t="s">
        <v>74</v>
      </c>
      <c r="E1000" t="s">
        <v>74</v>
      </c>
      <c r="F1000" t="s">
        <v>18865</v>
      </c>
      <c r="G1000" t="s">
        <v>74</v>
      </c>
      <c r="H1000" t="s">
        <v>74</v>
      </c>
      <c r="I1000" t="s">
        <v>18866</v>
      </c>
      <c r="J1000" t="s">
        <v>18867</v>
      </c>
      <c r="K1000" t="s">
        <v>74</v>
      </c>
      <c r="L1000" t="s">
        <v>74</v>
      </c>
      <c r="M1000" t="s">
        <v>78</v>
      </c>
      <c r="N1000" t="s">
        <v>79</v>
      </c>
      <c r="O1000" t="s">
        <v>74</v>
      </c>
      <c r="P1000" t="s">
        <v>74</v>
      </c>
      <c r="Q1000" t="s">
        <v>74</v>
      </c>
      <c r="R1000" t="s">
        <v>74</v>
      </c>
      <c r="S1000" t="s">
        <v>74</v>
      </c>
      <c r="T1000" t="s">
        <v>18868</v>
      </c>
      <c r="U1000" t="s">
        <v>18869</v>
      </c>
      <c r="V1000" t="s">
        <v>18870</v>
      </c>
      <c r="W1000" t="s">
        <v>18871</v>
      </c>
      <c r="X1000" t="s">
        <v>4500</v>
      </c>
      <c r="Y1000" t="s">
        <v>18872</v>
      </c>
      <c r="Z1000" t="s">
        <v>18873</v>
      </c>
      <c r="AA1000" t="s">
        <v>18874</v>
      </c>
      <c r="AB1000" t="s">
        <v>18875</v>
      </c>
      <c r="AC1000" t="s">
        <v>74</v>
      </c>
      <c r="AD1000" t="s">
        <v>74</v>
      </c>
      <c r="AE1000" t="s">
        <v>74</v>
      </c>
      <c r="AF1000" t="s">
        <v>74</v>
      </c>
      <c r="AG1000">
        <v>120</v>
      </c>
      <c r="AH1000">
        <v>38</v>
      </c>
      <c r="AI1000">
        <v>38</v>
      </c>
      <c r="AJ1000">
        <v>5</v>
      </c>
      <c r="AK1000">
        <v>31</v>
      </c>
      <c r="AL1000" t="s">
        <v>18876</v>
      </c>
      <c r="AM1000" t="s">
        <v>236</v>
      </c>
      <c r="AN1000" t="s">
        <v>18877</v>
      </c>
      <c r="AO1000" t="s">
        <v>18878</v>
      </c>
      <c r="AP1000" t="s">
        <v>18879</v>
      </c>
      <c r="AQ1000" t="s">
        <v>74</v>
      </c>
      <c r="AR1000" t="s">
        <v>18880</v>
      </c>
      <c r="AS1000" t="s">
        <v>18881</v>
      </c>
      <c r="AT1000" t="s">
        <v>18411</v>
      </c>
      <c r="AU1000">
        <v>2021</v>
      </c>
      <c r="AV1000">
        <v>45</v>
      </c>
      <c r="AW1000">
        <v>4</v>
      </c>
      <c r="AX1000" t="s">
        <v>74</v>
      </c>
      <c r="AY1000" t="s">
        <v>74</v>
      </c>
      <c r="AZ1000" t="s">
        <v>74</v>
      </c>
      <c r="BA1000" t="s">
        <v>74</v>
      </c>
      <c r="BB1000">
        <v>514</v>
      </c>
      <c r="BC1000">
        <v>540</v>
      </c>
      <c r="BD1000">
        <v>309133320967219</v>
      </c>
      <c r="BE1000" t="s">
        <v>18882</v>
      </c>
      <c r="BF1000" t="str">
        <f>HYPERLINK("http://dx.doi.org/10.1177/0309133320967219","http://dx.doi.org/10.1177/0309133320967219")</f>
        <v>http://dx.doi.org/10.1177/0309133320967219</v>
      </c>
      <c r="BG1000" t="s">
        <v>74</v>
      </c>
      <c r="BH1000" t="s">
        <v>17215</v>
      </c>
      <c r="BI1000">
        <v>27</v>
      </c>
      <c r="BJ1000" t="s">
        <v>156</v>
      </c>
      <c r="BK1000" t="s">
        <v>103</v>
      </c>
      <c r="BL1000" t="s">
        <v>157</v>
      </c>
      <c r="BM1000" t="s">
        <v>18883</v>
      </c>
      <c r="BN1000" t="s">
        <v>74</v>
      </c>
      <c r="BO1000" t="s">
        <v>74</v>
      </c>
      <c r="BP1000" t="s">
        <v>74</v>
      </c>
      <c r="BQ1000" t="s">
        <v>74</v>
      </c>
      <c r="BR1000" t="s">
        <v>106</v>
      </c>
      <c r="BS1000" t="s">
        <v>18884</v>
      </c>
      <c r="BT1000" t="str">
        <f>HYPERLINK("https%3A%2F%2Fwww.webofscience.com%2Fwos%2Fwoscc%2Ffull-record%2FWOS:000618461700001","View Full Record in Web of Science")</f>
        <v>View Full Record in Web of Science</v>
      </c>
    </row>
    <row r="1001" spans="1:72" x14ac:dyDescent="0.15">
      <c r="A1001" t="s">
        <v>72</v>
      </c>
      <c r="B1001" t="s">
        <v>18885</v>
      </c>
      <c r="C1001" t="s">
        <v>74</v>
      </c>
      <c r="D1001" t="s">
        <v>74</v>
      </c>
      <c r="E1001" t="s">
        <v>74</v>
      </c>
      <c r="F1001" t="s">
        <v>18886</v>
      </c>
      <c r="G1001" t="s">
        <v>74</v>
      </c>
      <c r="H1001" t="s">
        <v>74</v>
      </c>
      <c r="I1001" t="s">
        <v>18887</v>
      </c>
      <c r="J1001" t="s">
        <v>18888</v>
      </c>
      <c r="K1001" t="s">
        <v>74</v>
      </c>
      <c r="L1001" t="s">
        <v>74</v>
      </c>
      <c r="M1001" t="s">
        <v>78</v>
      </c>
      <c r="N1001" t="s">
        <v>1145</v>
      </c>
      <c r="O1001" t="s">
        <v>74</v>
      </c>
      <c r="P1001" t="s">
        <v>74</v>
      </c>
      <c r="Q1001" t="s">
        <v>74</v>
      </c>
      <c r="R1001" t="s">
        <v>74</v>
      </c>
      <c r="S1001" t="s">
        <v>74</v>
      </c>
      <c r="T1001" t="s">
        <v>74</v>
      </c>
      <c r="U1001" t="s">
        <v>18889</v>
      </c>
      <c r="V1001" t="s">
        <v>18890</v>
      </c>
      <c r="W1001" t="s">
        <v>18891</v>
      </c>
      <c r="X1001" t="s">
        <v>6489</v>
      </c>
      <c r="Y1001" t="s">
        <v>18892</v>
      </c>
      <c r="Z1001" t="s">
        <v>18893</v>
      </c>
      <c r="AA1001" t="s">
        <v>74</v>
      </c>
      <c r="AB1001" t="s">
        <v>18894</v>
      </c>
      <c r="AC1001" t="s">
        <v>18895</v>
      </c>
      <c r="AD1001" t="s">
        <v>18895</v>
      </c>
      <c r="AE1001" t="s">
        <v>18896</v>
      </c>
      <c r="AF1001" t="s">
        <v>74</v>
      </c>
      <c r="AG1001">
        <v>30</v>
      </c>
      <c r="AH1001">
        <v>2</v>
      </c>
      <c r="AI1001">
        <v>2</v>
      </c>
      <c r="AJ1001">
        <v>0</v>
      </c>
      <c r="AK1001">
        <v>14</v>
      </c>
      <c r="AL1001" t="s">
        <v>955</v>
      </c>
      <c r="AM1001" t="s">
        <v>528</v>
      </c>
      <c r="AN1001" t="s">
        <v>529</v>
      </c>
      <c r="AO1001" t="s">
        <v>74</v>
      </c>
      <c r="AP1001" t="s">
        <v>18897</v>
      </c>
      <c r="AQ1001" t="s">
        <v>74</v>
      </c>
      <c r="AR1001" t="s">
        <v>18898</v>
      </c>
      <c r="AS1001" t="s">
        <v>18899</v>
      </c>
      <c r="AT1001" t="s">
        <v>18900</v>
      </c>
      <c r="AU1001">
        <v>2020</v>
      </c>
      <c r="AV1001">
        <v>7</v>
      </c>
      <c r="AW1001">
        <v>1</v>
      </c>
      <c r="AX1001" t="s">
        <v>74</v>
      </c>
      <c r="AY1001" t="s">
        <v>74</v>
      </c>
      <c r="AZ1001" t="s">
        <v>74</v>
      </c>
      <c r="BA1001" t="s">
        <v>74</v>
      </c>
      <c r="BB1001" t="s">
        <v>74</v>
      </c>
      <c r="BC1001" t="s">
        <v>74</v>
      </c>
      <c r="BD1001">
        <v>380</v>
      </c>
      <c r="BE1001" t="s">
        <v>18901</v>
      </c>
      <c r="BF1001" t="str">
        <f>HYPERLINK("http://dx.doi.org/10.1038/s41597-020-00722-9","http://dx.doi.org/10.1038/s41597-020-00722-9")</f>
        <v>http://dx.doi.org/10.1038/s41597-020-00722-9</v>
      </c>
      <c r="BG1001" t="s">
        <v>74</v>
      </c>
      <c r="BH1001" t="s">
        <v>74</v>
      </c>
      <c r="BI1001">
        <v>6</v>
      </c>
      <c r="BJ1001" t="s">
        <v>534</v>
      </c>
      <c r="BK1001" t="s">
        <v>103</v>
      </c>
      <c r="BL1001" t="s">
        <v>535</v>
      </c>
      <c r="BM1001" t="s">
        <v>18902</v>
      </c>
      <c r="BN1001">
        <v>33177524</v>
      </c>
      <c r="BO1001" t="s">
        <v>1105</v>
      </c>
      <c r="BP1001" t="s">
        <v>74</v>
      </c>
      <c r="BQ1001" t="s">
        <v>74</v>
      </c>
      <c r="BR1001" t="s">
        <v>106</v>
      </c>
      <c r="BS1001" t="s">
        <v>18903</v>
      </c>
      <c r="BT1001" t="str">
        <f>HYPERLINK("https%3A%2F%2Fwww.webofscience.com%2Fwos%2Fwoscc%2Ffull-record%2FWOS:000593906800002","View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2024-07-28T15:23:40Z</dcterms:created>
  <dcterms:modified xsi:type="dcterms:W3CDTF">2024-07-28T15:23:40Z</dcterms:modified>
</cp:coreProperties>
</file>